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drawings/drawing1.xml" ContentType="application/vnd.openxmlformats-officedocument.drawing+xml"/>
  <Override PartName="/xl/worksheets/sheet1.xml" ContentType="application/vnd.openxmlformats-officedocument.spreadsheetml.worksheet+xml"/>
  <Override PartName="/xl/comments2.xml" ContentType="application/vnd.openxmlformats-officedocument.spreadsheetml.comments+xml"/>
  <Default Extension="vml" ContentType="application/vnd.openxmlformats-officedocument.vmlDrawing"/>
  <Default Extension="bin" ContentType="application/vnd.openxmlformats-officedocument.spreadsheetml.printerSettings"/>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xl/calcChain.xml" ContentType="application/vnd.openxmlformats-officedocument.spreadsheetml.calcChain+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1" Type="http://schemas.openxmlformats.org/officeDocument/2006/relationships/officeDocument" Target="xl/workbook.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C:\Users\YashMahendra\Downloads\"/>
    </mc:Choice>
  </mc:AlternateContent>
  <bookViews>
    <workbookView xWindow="-120" yWindow="-120" windowWidth="29040" windowHeight="17520" activeTab="0"/>
  </bookViews>
  <sheets>
    <sheet name="Front Page" sheetId="7" r:id="rId3"/>
    <sheet name="Model" sheetId="1" r:id="rId4"/>
    <sheet name="Exec Comp" sheetId="10" r:id="rId5"/>
    <sheet name="Summary Page" sheetId="9" r:id="rId6"/>
    <sheet name="Update Log" sheetId="8" r:id="rId7"/>
  </sheets>
  <definedNames>
    <definedName name="AA.AlternatePriceSourceStartPeriod">"Q1-2018"</definedName>
    <definedName name="AA.CIK">"80661"</definedName>
    <definedName name="AA.CompareQuarters.LatestMRQ">"Q3-2018"</definedName>
    <definedName name="AA.CSIN">"FHFK200110"</definedName>
    <definedName name="AA.CurationVersion">"2023.11.1.0"</definedName>
    <definedName name="AA.DBMacroVersion">"1.0.13.0"</definedName>
    <definedName name="AA.HardcodeChecker.LatestMRQ">"Q3-2019"</definedName>
    <definedName name="AA.MetadataVersion">"Q3-2023.30"</definedName>
    <definedName name="AA.ModelChecks.LatestMRQ">"Q3-2021"</definedName>
    <definedName name="AA.ModelChecks.LatestVersionNumber">"2.38.0.0"</definedName>
    <definedName name="AA.ModelVersion">"Q3-2024.22"</definedName>
    <definedName name="AA.NonLibraryWideCurationVersion">"C"</definedName>
    <definedName name="AA.PartialUpdate.BsAvailable">"TRUE"</definedName>
    <definedName name="AA.PartialUpdate.CfsAvailable">"FALSE"</definedName>
    <definedName name="AA.PartialUpdate.IsAvailable">"TRUE"</definedName>
    <definedName name="AA.PeriodLayout">"QFY"</definedName>
    <definedName name="AA.PersonalMacro.VersionNumber">"1.5.1.5"</definedName>
    <definedName name="AA.RowNameEnforcerVersion">"2023.11.1.0"</definedName>
    <definedName name="AA.SessionToUploadId">""</definedName>
    <definedName name="AA.StartWorkModelVersion">"Q3-2024.21"</definedName>
    <definedName name="AA.StartWorkType">""</definedName>
    <definedName name="AA.SubyearType">"Q"</definedName>
    <definedName name="AA.TemplateUpgradeAttempted">"TRUE"</definedName>
    <definedName name="AA.TemplateVersion">"7.5.1.0"</definedName>
    <definedName name="AA.UpdateType">"Regular"</definedName>
    <definedName name="AA.VerifyUnitsAtModelVersion">"Q1-2018.21"</definedName>
    <definedName name="EC_CEO_BasePay">'Exec Comp'!$7:$7</definedName>
    <definedName name="EC_CEO_EquityComp_Percent">'Exec Comp'!$12:$12</definedName>
    <definedName name="EC_CEO_SharesOwned">'Exec Comp'!$15:$15</definedName>
    <definedName name="EC_CEO_TotalComp">'Exec Comp'!$11:$11</definedName>
    <definedName name="EC_CFO_BasePay">'Exec Comp'!$17:$17</definedName>
    <definedName name="EC_CFO_EquityComp_Percent">'Exec Comp'!$22:$22</definedName>
    <definedName name="EC_CFO_SharesOwned">'Exec Comp'!$24:$24</definedName>
    <definedName name="EC_CFO_TotalComp">'Exec Comp'!$21:$21</definedName>
    <definedName name="EC_CMO_BasePay">'Exec Comp'!$26:$26</definedName>
    <definedName name="EC_CMO_EquityComp_Percent">'Exec Comp'!$32:$32</definedName>
    <definedName name="EC_CMO_SharesOwned">'Exec Comp'!$34:$34</definedName>
    <definedName name="EC_CMO_TotalComp">'Exec Comp'!$31:$31</definedName>
    <definedName name="EC_Director_Compensation_Cash">'Exec Comp'!$55:$55</definedName>
    <definedName name="EC_Director_Compensation_Total">'Exec Comp'!$82:$82</definedName>
    <definedName name="EC_Directors_Current">'Exec Comp'!$37:$37</definedName>
    <definedName name="EC_Directors_Current_Independent">'Exec Comp'!$38:$38</definedName>
    <definedName name="EC_Directors_Nominees">'Exec Comp'!$40:$40</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Page'!$M$13:$P$20</definedName>
    <definedName name="FP_StockPriceOverride">'Front Page'!$C$20:$H$20</definedName>
    <definedName name="HP.MRFX">Model!$B$1098</definedName>
    <definedName name="HP.ReportCurrency">Model!$B$1097</definedName>
    <definedName name="HP.Ticker">Model!$A$2</definedName>
    <definedName name="HP.TradeCurrency">Model!$B$1095</definedName>
    <definedName name="HP.TradeCurrency.HardCoded">Model!$B$1096</definedName>
    <definedName name="MO.ApplyTradeCurrencyScaling">Model!$B$1094</definedName>
    <definedName name="MO.CFY">Model!$B$1102</definedName>
    <definedName name="MO.CompanyName">Model!$A$1</definedName>
    <definedName name="MO.DataSourceIndex">Model!$B$1105</definedName>
    <definedName name="MO.DataSourceName">Model!$A$4</definedName>
    <definedName name="MO.FirstForecastedFiscalYear">Model!$B$1103</definedName>
    <definedName name="MO.KPI.1">Model!$A$987</definedName>
    <definedName name="MO.KPI.10">Model!$A$996</definedName>
    <definedName name="MO.KPI.11">Model!$A$997</definedName>
    <definedName name="MO.KPI.12">Model!$A$998</definedName>
    <definedName name="MO.KPI.13">Model!$A$999</definedName>
    <definedName name="MO.KPI.14">Model!$A$1000</definedName>
    <definedName name="MO.KPI.15">Model!$A$1001</definedName>
    <definedName name="MO.KPI.16">Model!$A$1002</definedName>
    <definedName name="MO.KPI.17">Model!$A$1003</definedName>
    <definedName name="MO.KPI.18">Model!$A$1004</definedName>
    <definedName name="MO.KPI.19">Model!$A$1005</definedName>
    <definedName name="MO.KPI.2">Model!$A$988</definedName>
    <definedName name="MO.KPI.20">Model!$A$1006</definedName>
    <definedName name="MO.KPI.21">Model!$A$1007</definedName>
    <definedName name="MO.KPI.22">Model!$A$1008</definedName>
    <definedName name="MO.KPI.23">Model!$A$1009</definedName>
    <definedName name="MO.KPI.24">Model!$A$1010</definedName>
    <definedName name="MO.KPI.25">Model!$A$1011</definedName>
    <definedName name="MO.KPI.26">Model!$A$1012</definedName>
    <definedName name="MO.KPI.27">Model!$A$1013</definedName>
    <definedName name="MO.KPI.28">Model!$A$1014</definedName>
    <definedName name="MO.KPI.29">Model!$A$1015</definedName>
    <definedName name="MO.KPI.3">Model!$A$989</definedName>
    <definedName name="MO.KPI.30">Model!$A$1016</definedName>
    <definedName name="MO.KPI.31">Model!$A$1017</definedName>
    <definedName name="MO.KPI.32">Model!$A$1018</definedName>
    <definedName name="MO.KPI.33">Model!$A$1019</definedName>
    <definedName name="MO.KPI.34">Model!$A$1020</definedName>
    <definedName name="MO.KPI.35">Model!$A$1021</definedName>
    <definedName name="MO.KPI.36">Model!$A$1022</definedName>
    <definedName name="MO.KPI.37">Model!$A$1023</definedName>
    <definedName name="MO.KPI.38">Model!$A$1024</definedName>
    <definedName name="MO.KPI.39">Model!$A$1025</definedName>
    <definedName name="MO.KPI.4">Model!$A$990</definedName>
    <definedName name="MO.KPI.40">Model!$A$1026</definedName>
    <definedName name="MO.KPI.5">Model!$A$991</definedName>
    <definedName name="MO.KPI.6">Model!$A$992</definedName>
    <definedName name="MO.KPI.7">Model!$A$993</definedName>
    <definedName name="MO.KPI.8">Model!$A$994</definedName>
    <definedName name="MO.KPI.9">Model!$A$995</definedName>
    <definedName name="MO.KPI.Count">Model!$B$1104</definedName>
    <definedName name="MO.LastPrice">Model!$B$3</definedName>
    <definedName name="MO.LastPriceDate">Model!$B$1091</definedName>
    <definedName name="MO.LastPriceFormula">Model!$B$1093</definedName>
    <definedName name="MO.LastPriceHardcoded">Model!$B$1090</definedName>
    <definedName name="MO.MRFP">Model!$B$1101</definedName>
    <definedName name="MO.MRFPColumnNumber">Model!$B$1100</definedName>
    <definedName name="MO.MRFX.Hardcoded">Model!$B$1099</definedName>
    <definedName name="MO.RealTime">Model!$B$4</definedName>
    <definedName name="MO.RealTimeStockPriceToggle">Model!$B$1092</definedName>
    <definedName name="MO.ReportCurrency">Model!$B$1097</definedName>
    <definedName name="MO.ReportFX">Model!$A$5</definedName>
    <definedName name="MO.Ticker">Model!$A$2</definedName>
    <definedName name="MO.Ticker.Bloomberg">Model!$A$967</definedName>
    <definedName name="MO.Ticker.Canalyst">Model!$A$966</definedName>
    <definedName name="MO.Ticker.CapIQ">Model!$A$968</definedName>
    <definedName name="MO.Ticker.FactSet">Model!$A$969</definedName>
    <definedName name="MO.Ticker.Thomson">Model!$A$970</definedName>
    <definedName name="MO.TradingCurrency">Model!$A$3</definedName>
    <definedName name="MO.ValuationToggle">Model!$B$720</definedName>
    <definedName name="MO_BS_APandAE">Model!$917:$917</definedName>
    <definedName name="MO_BS_AR">Model!$900:$900</definedName>
    <definedName name="MO_BS_Cash">Model!$897:$897</definedName>
    <definedName name="MO_BS_CommonStock">Model!$925:$925</definedName>
    <definedName name="MO_BS_ContributedSurplus">Model!$926:$926</definedName>
    <definedName name="MO_BS_DefRev">Model!$913:$913</definedName>
    <definedName name="MO_BS_Goodwill">Model!$906:$906</definedName>
    <definedName name="MO_BS_Intangibles">Model!$907:$907</definedName>
    <definedName name="MO_BS_NCI">Model!$930:$930</definedName>
    <definedName name="MO_BS_OCI">Model!$928:$928</definedName>
    <definedName name="MO_BS_PPE">Model!$905:$905</definedName>
    <definedName name="MO_BS_PreferredStock">Model!$924:$924</definedName>
    <definedName name="MO_BS_PrepaidExpenses">Model!$902:$902</definedName>
    <definedName name="MO_BS_RestrictedCash">Model!$898:$898</definedName>
    <definedName name="MO_BS_RetainedEarnings">Model!$927:$927</definedName>
    <definedName name="MO_BS_SE">Model!$929:$929</definedName>
    <definedName name="MO_BS_TA">Model!$910:$910</definedName>
    <definedName name="MO_BS_TaxAssets_Deferred">Model!$908:$908</definedName>
    <definedName name="MO_BS_TaxLiabilities_Deferred">Model!$915:$915</definedName>
    <definedName name="MO_BS_TL">Model!$921:$921</definedName>
    <definedName name="MO_BS_TLSE">Model!$931:$931</definedName>
    <definedName name="MO_BSS_BVPS">Model!$688:$688</definedName>
    <definedName name="MO_BSS_NLR">Model!$675:$675</definedName>
    <definedName name="MO_BSS_NTR">Model!$676:$676</definedName>
    <definedName name="MO_BSS_NUPR">Model!$674:$674</definedName>
    <definedName name="MO_BSS_ReserveRatio">Model!$678:$678</definedName>
    <definedName name="MO_BSS_ROA">Model!$692:$692</definedName>
    <definedName name="MO_BSS_ROE">Model!$693:$693</definedName>
    <definedName name="MO_BSS_ROTE">Model!$695:$695</definedName>
    <definedName name="MO_BSS_SolvencyRatio">Model!$679:$679</definedName>
    <definedName name="MO_BSS_TangibleCommonEquity">Model!$686:$686</definedName>
    <definedName name="MO_BSS_TBVPS">Model!$690:$690</definedName>
    <definedName name="MO_BSS_TotalCommonEquity">Model!$683:$683</definedName>
    <definedName name="MO_BSS_TotalEquity">Model!$681:$681</definedName>
    <definedName name="MO_CCFS_Balance_Begin">Model!$794:$794</definedName>
    <definedName name="MO_CCFS_Balance_End">Model!$795:$795</definedName>
    <definedName name="MO_CCFS_CFF">Model!$789:$789</definedName>
    <definedName name="MO_CCFS_CFI">Model!$774:$774</definedName>
    <definedName name="MO_CCFS_CFO">Model!$758:$758</definedName>
    <definedName name="MO_CCFS_CFO_BeforeWC">Model!$747:$747</definedName>
    <definedName name="MO_CCFS_FX">Model!$791:$791</definedName>
    <definedName name="MO_CCFS_NetChange">Model!$792:$792</definedName>
    <definedName name="MO_CCFS_Sup_CashInterest">Model!$797:$797</definedName>
    <definedName name="MO_CCFS_Sup_CashTax">Model!$798:$798</definedName>
    <definedName name="MO_CFS_Amortization">Model!$804:$804</definedName>
    <definedName name="MO_CFS_Balance_Begin">Model!$860:$860</definedName>
    <definedName name="MO_CFS_Balance_End">Model!$861:$861</definedName>
    <definedName name="MO_CFS_Capex">Model!$836:$836</definedName>
    <definedName name="MO_CFS_CFF">Model!$855:$855</definedName>
    <definedName name="MO_CFS_CFI">Model!$840:$840</definedName>
    <definedName name="MO_CFS_CFO">Model!$824:$824</definedName>
    <definedName name="MO_CFS_CFO_BeforeWC">Model!$813:$813</definedName>
    <definedName name="MO_CFS_DeferredTax">Model!$811:$811</definedName>
    <definedName name="MO_CFS_Depreciation">Model!$803:$803</definedName>
    <definedName name="MO_CFS_Dividend_Common">Model!$851:$851</definedName>
    <definedName name="MO_CFS_Dividend_Prefs">Model!$850:$850</definedName>
    <definedName name="MO_CFS_FX">Model!$857:$857</definedName>
    <definedName name="MO_CFS_NetChange">Model!$858:$858</definedName>
    <definedName name="MO_CFS_NI">Model!$802:$802</definedName>
    <definedName name="MO_CFS_Sup_CashInterest">Model!$863:$863</definedName>
    <definedName name="MO_CFS_Sup_CashTax">Model!$864:$864</definedName>
    <definedName name="MO_CFS_WC_APandAE">Model!$821:$821</definedName>
    <definedName name="MO_CFS_WC_AR">Model!$814:$814</definedName>
    <definedName name="MO_CFS_WC_DefRev">Model!$819:$819</definedName>
    <definedName name="MO_CFS_WC_PrepaidExpenses">Model!$816:$816</definedName>
    <definedName name="MO_CFSUM_NetShares">Model!$707:$707</definedName>
    <definedName name="MO_CFSUM_NetShares_Price">Model!$708:$708</definedName>
    <definedName name="MO_Checks_Bottom">Model!$C$936:$XFD$961</definedName>
    <definedName name="MO_Checks_BS">Model!$933:$933</definedName>
    <definedName name="MO_Checks_CF">Model!$866:$866</definedName>
    <definedName name="MO_Checks_IS">Model!$600:$600</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Common_QEndDate_LWD">Model!$1084:$1084</definedName>
    <definedName name="MO_CR_Debt">Model!$700:$700</definedName>
    <definedName name="MO_CR_Debt_LT">Model!$699:$699</definedName>
    <definedName name="MO_CR_Debt_ST">Model!$698:$698</definedName>
    <definedName name="MO_CR_Debt_ToCapitalRatio">Model!$704:$704</definedName>
    <definedName name="MO_CR_IE">Model!$710:$710</definedName>
    <definedName name="MO_CR_InterestRate_Debt">Model!$711:$711</definedName>
    <definedName name="MO_CR_NetDebtIssuance">Model!$706:$706</definedName>
    <definedName name="MO_CR_NetShares">Model!$707:$707</definedName>
    <definedName name="MO_CR_NetShares_Price">Model!$708:$708</definedName>
    <definedName name="MO_CR_TotalCapitalization">Model!$702:$702</definedName>
    <definedName name="MO_CR_TotalCommonEquity">Model!$701:$701</definedName>
    <definedName name="MO_DAC_ChangeInDAC">Model!$316:$316</definedName>
    <definedName name="MO_DAC_DAC">Model!$312:$312</definedName>
    <definedName name="MO_DAC_PAEIncurred">Model!$314:$314</definedName>
    <definedName name="MO_DAC_PAEPaid">Model!$315:$315</definedName>
    <definedName name="MO_DAC_PAEPayoutRatio">Model!$318:$318</definedName>
    <definedName name="MO_DAF_A">Model!$876:$876</definedName>
    <definedName name="MO_DAF_A_Percentage">Model!$882:$882</definedName>
    <definedName name="MO_DAF_Capex">Model!$887:$887</definedName>
    <definedName name="MO_DAF_D">Model!$870:$870</definedName>
    <definedName name="MO_DAF_D_Percentage">Model!$881:$881</definedName>
    <definedName name="MO_DAF_DA">Model!$886:$886</definedName>
    <definedName name="MO_DAF_Intangibles_BoP">Model!$875:$875</definedName>
    <definedName name="MO_DAF_Intangibles_Capex">Model!$877:$877</definedName>
    <definedName name="MO_DAF_Intangibles_Capex_Percent">Model!$888:$888</definedName>
    <definedName name="MO_DAF_Intangibles_EoP">Model!$879:$879</definedName>
    <definedName name="MO_DAF_Intangibles_Life">Model!$884:$884</definedName>
    <definedName name="MO_DAF_Intangibles_Other">Model!$878:$878</definedName>
    <definedName name="MO_DAF_PPE_BoP">Model!$869:$869</definedName>
    <definedName name="MO_DAF_PPE_Capex">Model!$871:$871</definedName>
    <definedName name="MO_DAF_PPE_EoP">Model!$873:$873</definedName>
    <definedName name="MO_DAF_PPE_Life">Model!$883:$883</definedName>
    <definedName name="MO_DAF_PPE_Other">Model!$872:$872</definedName>
    <definedName name="MO_DS_Dividend">Model!$668:$668</definedName>
    <definedName name="MO_DS_DPS">Model!$669:$669</definedName>
    <definedName name="MO_DS_PayoutRatio">Model!$671:$671</definedName>
    <definedName name="MO_II_InvestmentBalance">Model!$420:$420</definedName>
    <definedName name="MO_II_NetIG">Model!$462:$462</definedName>
    <definedName name="MO_II_NetII">Model!$459:$459</definedName>
    <definedName name="MO_II_NetIIYield">Model!$440:$440</definedName>
    <definedName name="MO_IS_Dividend_Prefs">Model!$597:$597</definedName>
    <definedName name="MO_IS_EBT">Model!$592:$592</definedName>
    <definedName name="MO_IS_FirstRow">Model!$571:$571</definedName>
    <definedName name="MO_IS_NCI">Model!$595:$595</definedName>
    <definedName name="MO_IS_NI_ContinOp">Model!$594:$594</definedName>
    <definedName name="MO_IS_REV">Model!$582:$582</definedName>
    <definedName name="MO_IS_Tax">Model!$593:$593</definedName>
    <definedName name="MO_KPI_ChangeInCUPR">Model!$553:$553</definedName>
    <definedName name="MO_KPI_ChangeInDAC">Model!$316:$316</definedName>
    <definedName name="MO_KPI_ChangeInGUPR">Model!$552:$552</definedName>
    <definedName name="MO_KPI_ChangeInNLR">Model!$563:$563</definedName>
    <definedName name="MO_KPI_ChangeInNUPR">Model!$554:$554</definedName>
    <definedName name="MO_KPI_CombinedRatio">Model!$535:$535</definedName>
    <definedName name="MO_KPI_CUP">Model!$549:$549</definedName>
    <definedName name="MO_KPI_DAC">Model!$312:$312</definedName>
    <definedName name="MO_KPI_EmployeeCount">Model!$568:$568</definedName>
    <definedName name="MO_KPI_GLR">Model!$557:$557</definedName>
    <definedName name="MO_KPI_GUPR">Model!$548:$548</definedName>
    <definedName name="MO_KPI_InvestmentBalance">Model!$420:$420</definedName>
    <definedName name="MO_KPI_Loss">Model!$276:$276</definedName>
    <definedName name="MO_KPI_Loss_exCATS">Model!$269:$269</definedName>
    <definedName name="MO_KPI_LossIncurred">Model!$561:$561</definedName>
    <definedName name="MO_KPI_LossPaid">Model!$562:$562</definedName>
    <definedName name="MO_KPI_LossRatio">Model!$257:$257</definedName>
    <definedName name="MO_KPI_NEP">Model!$236:$236</definedName>
    <definedName name="MO_KPI_NetIG">Model!$462:$462</definedName>
    <definedName name="MO_KPI_NetII">Model!$459:$459</definedName>
    <definedName name="MO_KPI_NetIIYield">Model!$440:$440</definedName>
    <definedName name="MO_KPI_NLR">Model!$559:$559</definedName>
    <definedName name="MO_KPI_NUPR">Model!$550:$550</definedName>
    <definedName name="MO_KPI_NWP">Model!$220:$220</definedName>
    <definedName name="MO_KPI_OOE">Model!$516:$516</definedName>
    <definedName name="MO_KPI_OOERatio">Model!$518:$518</definedName>
    <definedName name="MO_KPI_PAE">Model!$511:$511</definedName>
    <definedName name="MO_KPI_PAEIncurred">Model!$314:$314</definedName>
    <definedName name="MO_KPI_PAEPaid">Model!$315:$315</definedName>
    <definedName name="MO_KPI_PAERatio">Model!$513:$513</definedName>
    <definedName name="MO_KPI_PIF">Model!$210:$210</definedName>
    <definedName name="MO_KPI_RR">Model!$558:$558</definedName>
    <definedName name="MO_KPI_UI">Model!$539:$539</definedName>
    <definedName name="MO_KPI_UnderwritingExpense">Model!$532:$532</definedName>
    <definedName name="MO_KPI_WPERatio">Model!$228:$228</definedName>
    <definedName name="MO_LR_ChangeInNLR">Model!$563:$563</definedName>
    <definedName name="MO_LR_GLR">Model!$557:$557</definedName>
    <definedName name="MO_LR_LossIncurred">Model!$561:$561</definedName>
    <definedName name="MO_LR_LossPaid">Model!$562:$562</definedName>
    <definedName name="MO_LR_LossPayoutRatio">Model!$565:$565</definedName>
    <definedName name="MO_LR_NLR">Model!$559:$559</definedName>
    <definedName name="MO_LR_RR">Model!$558:$558</definedName>
    <definedName name="MO_OI_OtherIncome">Model!$470:$470</definedName>
    <definedName name="MO_OS_EmployeeCount">Model!$568:$568</definedName>
    <definedName name="MO_RIS_Adjustments_Dilution_GAAP">Model!$632:$632</definedName>
    <definedName name="MO_RIS_Adjustments_Dilution_NONGAAP">Model!$635:$635</definedName>
    <definedName name="MO_RIS_Adjustments_NONGAAP">Model!$634:$634</definedName>
    <definedName name="MO_RIS_DisCont">Model!$628:$628</definedName>
    <definedName name="MO_RIS_Dividend_Prefs">Model!$630:$630</definedName>
    <definedName name="MO_RIS_EBT">Model!$621:$621</definedName>
    <definedName name="MO_RIS_EI">Model!$627:$627</definedName>
    <definedName name="MO_RIS_EPS_WAB">Model!$641:$641</definedName>
    <definedName name="MO_RIS_EPS_WAD">Model!$642:$642</definedName>
    <definedName name="MO_RIS_EPS_WAD_Adj">Model!$643:$643</definedName>
    <definedName name="MO_RIS_IE">Model!$618:$618</definedName>
    <definedName name="MO_RIS_InvestmentExpense">Model!$617:$617</definedName>
    <definedName name="MO_RIS_Loss">Model!$613:$613</definedName>
    <definedName name="MO_RIS_NCI">Model!$629:$629</definedName>
    <definedName name="MO_RIS_NEP">Model!$606:$606</definedName>
    <definedName name="MO_RIS_NetIG">Model!$608:$608</definedName>
    <definedName name="MO_RIS_NetII">Model!$607:$607</definedName>
    <definedName name="MO_RIS_NI_ContinOp">Model!$626:$626</definedName>
    <definedName name="MO_RIS_NI_GAAP_Basic">Model!$631:$631</definedName>
    <definedName name="MO_RIS_NI_GAAP_Diluted">Model!$633:$633</definedName>
    <definedName name="MO_RIS_NI_NONGAAP_Diluted">Model!$636:$636</definedName>
    <definedName name="MO_RIS_OI">Model!$619:$619</definedName>
    <definedName name="MO_RIS_OnetimeUnderwritingExpense">Model!$616:$616</definedName>
    <definedName name="MO_RIS_OOE">Model!$615:$615</definedName>
    <definedName name="MO_RIS_OtherIncome">Model!$609:$609</definedName>
    <definedName name="MO_RIS_OTI">Model!$620:$620</definedName>
    <definedName name="MO_RIS_PAE">Model!$614:$614</definedName>
    <definedName name="MO_RIS_REV">Model!$610:$610</definedName>
    <definedName name="MO_RIS_ShareCount_EoPB">Model!$651:$651</definedName>
    <definedName name="MO_RIS_ShareCount_WAB">Model!$646:$646</definedName>
    <definedName name="MO_RIS_ShareCount_WAD">Model!$647:$647</definedName>
    <definedName name="MO_RIS_ShareCount_WAD_Adj">Model!$648:$648</definedName>
    <definedName name="MO_RIS_Tax_Current">Model!$624:$624</definedName>
    <definedName name="MO_RIS_Tax_Deferred">Model!$625:$625</definedName>
    <definedName name="MO_RIS_TaxRate_Current">Model!$638:$638</definedName>
    <definedName name="MO_RIS_TaxRate_Deferred">Model!$639:$639</definedName>
    <definedName name="MO_SCA_Date_CoverPage">Model!$660:$660</definedName>
    <definedName name="MO_SCA_Ratio_DilutedOverBasic">Model!$663:$663</definedName>
    <definedName name="MO_SCA_ShareCount_CoverPage">Model!$659:$659</definedName>
    <definedName name="MO_SCA_ShareCount_CoverPage_Class1">Model!$659:$659</definedName>
    <definedName name="MO_SCA_ShareCount_CoverPage_Ticker1">Model!$659:$659</definedName>
    <definedName name="MO_SCA_ShareCount_DilutiveShares">Model!$662:$662</definedName>
    <definedName name="MO_SCA_ShareCount_EoP">Model!$651:$651</definedName>
    <definedName name="MO_SCA_ShareCount_EoP_Class1">Model!$651:$651</definedName>
    <definedName name="MO_SCA_ShareCount_EoP_Diluted">Model!$665:$665</definedName>
    <definedName name="MO_SCA_ShareCount_EoP_Growth_Dilutive_QoQ">Model!$652:$652</definedName>
    <definedName name="MO_SCA_ShareCount_EoP_Growth_Dilutive_YoY">Model!$653:$653</definedName>
    <definedName name="MO_SCA_ShareCount_EoP_Growth_NetIssuance_QoQ">Model!$654:$654</definedName>
    <definedName name="MO_SCA_ShareCount_EoP_Growth_NetIssuance_YoY">Model!$655:$655</definedName>
    <definedName name="MO_SCA_ShareCount_EoP_Growth_QoQ">Model!$656:$656</definedName>
    <definedName name="MO_SCA_ShareCount_EoP_Growth_YoY">Model!$657:$657</definedName>
    <definedName name="MO_SCA_ShareCount_EoP_Ticker1">Model!$651:$651</definedName>
    <definedName name="MO_Section_AdjustedNumbers">Model!$602:$602</definedName>
    <definedName name="MO_Section_BalanceSheet">Model!$890:$890</definedName>
    <definedName name="MO_Section_BalanceSheetSummary">Model!$673:$673</definedName>
    <definedName name="MO_Section_BoardDiversity">'Exec Comp'!$36:$36</definedName>
    <definedName name="MO_Section_CapitalResources">Model!$697:$697</definedName>
    <definedName name="MO_Section_CashFlowStatement">Model!$800:$800</definedName>
    <definedName name="MO_Section_ConsolidatedSummary">Model!$6:$6</definedName>
    <definedName name="MO_Section_ConsolidatedSummarySection">Model!$6:$6</definedName>
    <definedName name="MO_Section_CumulativeCashFlowStatement">Model!$734:$734</definedName>
    <definedName name="MO_Section_DAC">Model!$309:$309</definedName>
    <definedName name="MO_Section_DAForecasting">Model!$868:$868</definedName>
    <definedName name="MO_Section_DirectorCompensation">'Exec Comp'!$42:$42</definedName>
    <definedName name="MO_Section_DividendSummary">Model!$667:$667</definedName>
    <definedName name="MO_Section_ExecutiveCompensation">'Exec Comp'!$6:$6</definedName>
    <definedName name="MO_Section_II">Model!$376:$376</definedName>
    <definedName name="MO_Section_IncomeStatement">Model!$570:$570</definedName>
    <definedName name="MO_Section_Insurance">Model!$29:$29</definedName>
    <definedName name="MO_Section_KeyMetricApplicationsGrowth">Model!$321:$321</definedName>
    <definedName name="MO_Section_KeyMetricNetPremiumWrittenbyGeography">Model!$360:$360</definedName>
    <definedName name="MO_Section_KeyMetricsEmployeesFS">Model!$567:$567</definedName>
    <definedName name="MO_Section_LastRow">Model!$1107:$1107</definedName>
    <definedName name="MO_Section_LR">Model!$556:$556</definedName>
    <definedName name="MO_Section_ModelChecks">Model!$935:$935</definedName>
    <definedName name="MO_Section_OI">Model!$464:$464</definedName>
    <definedName name="MO_Section_OtherAlignmentDataPoints">'Exec Comp'!$85:$85</definedName>
    <definedName name="MO_Section_RevisedIncomeStatement">Model!$605:$605</definedName>
    <definedName name="MO_Section_SegmentedResultsCommercialLinesFS">Model!$132:$132</definedName>
    <definedName name="MO_Section_SegmentedResultsPersonalLinesFS">Model!$30:$30</definedName>
    <definedName name="MO_Section_SegmentedResultsPropertyFS">Model!$167:$167</definedName>
    <definedName name="MO_Section_SegmentSummary">Model!$202:$202</definedName>
    <definedName name="MO_Section_SegmentSummaryA">Model!$476:$476</definedName>
    <definedName name="MO_Section_ShareCountAnalysis">Model!$650:$650</definedName>
    <definedName name="MO_Section_SIC">Model!$713:$713</definedName>
    <definedName name="MO_Section_SupplementalData">Model!$320:$320</definedName>
    <definedName name="MO_Section_Tables">Model!$963:$963</definedName>
    <definedName name="MO_Section_Tegus">'Exec Comp'!$90:$90</definedName>
    <definedName name="MO_Section_UI">Model!$6:$6</definedName>
    <definedName name="MO_Section_UPR">Model!$545:$545</definedName>
    <definedName name="MO_Section_UR">Model!$500:$500</definedName>
    <definedName name="MO_Section_Valuation">Model!$719:$719</definedName>
    <definedName name="MO_SIC_StatutoryCapital">Model!$714:$714</definedName>
    <definedName name="MO_SIC_StatutoryIncome">Model!$715:$715</definedName>
    <definedName name="MO_SNA_ConsensusEstimatePeriodNumber">Model!$1042:$1042</definedName>
    <definedName name="MO_SNA_ConsensusEstimatePeriodType">Model!$1041:$1041</definedName>
    <definedName name="MO_SNA_FPStartDate">Model!$1054:$1054</definedName>
    <definedName name="MO_SNA_Guidance_ApplicablePeriod_FY">Model!$1037:$1037</definedName>
    <definedName name="MO_SNA_Guidance_ApplicablePeriod_Q">Model!$1031:$1031</definedName>
    <definedName name="MO_SNA_Guidance_IsLatest_FY">Model!$1036:$1036</definedName>
    <definedName name="MO_SNA_Guidance_ReportDate_FY">Model!$1035:$1035</definedName>
    <definedName name="MO_SNA_Guidance_ReportDate_Q">Model!$1030:$1030</definedName>
    <definedName name="MO_SNA_IsHistoricalPeriod">Model!$1055:$1055</definedName>
    <definedName name="MO_SNA_LastDataRow">Model!$931:$931</definedName>
    <definedName name="MO_SPT_FXAverage">Model!$1077:$1077</definedName>
    <definedName name="MO_SPT_FXAverage_Sources">Model!$1078:$1082</definedName>
    <definedName name="MO_SPT_FXAverage_Sources_Bloomberg">Model!$1079:$1079</definedName>
    <definedName name="MO_SPT_FXAverage_Sources_CapIQ">Model!$1080:$1080</definedName>
    <definedName name="MO_SPT_FXAverage_Sources_FactSet">Model!$1081:$1081</definedName>
    <definedName name="MO_SPT_FXAverage_Sources_RealTimeOff">Model!$1078:$1078</definedName>
    <definedName name="MO_SPT_FXAverage_Sources_Thomson">Model!$1082:$1082</definedName>
    <definedName name="MO_SPT_FXEoP">Model!$1086:$1086</definedName>
    <definedName name="MO_SPT_StockAverage">Model!$1070:$1070</definedName>
    <definedName name="MO_SPT_StockAverage_Sources">Model!$1071:$1075</definedName>
    <definedName name="MO_SPT_StockAverage_Sources_Bloomberg">Model!$1072:$1072</definedName>
    <definedName name="MO_SPT_StockAverage_Sources_CapIQ">Model!$1073:$1073</definedName>
    <definedName name="MO_SPT_StockAverage_Sources_FactSet">Model!$1074:$1074</definedName>
    <definedName name="MO_SPT_StockAverage_Sources_RealTimeOff">Model!$1071:$1071</definedName>
    <definedName name="MO_SPT_StockAverage_Sources_Thomson">Model!$1075:$1075</definedName>
    <definedName name="MO_SPT_StockEoP">Model!$1085:$1085</definedName>
    <definedName name="MO_SPT_StockHigh">Model!$1056:$1056</definedName>
    <definedName name="MO_SPT_StockHigh_Sources">Model!$1057:$1061</definedName>
    <definedName name="MO_SPT_StockHigh_Sources_Bloomberg">Model!$1058:$1058</definedName>
    <definedName name="MO_SPT_StockHigh_Sources_CapIQ">Model!$1059:$1059</definedName>
    <definedName name="MO_SPT_StockHigh_Sources_FactSet">Model!$1060:$1060</definedName>
    <definedName name="MO_SPT_StockHigh_Sources_RealTimeOff">Model!$1057:$1057</definedName>
    <definedName name="MO_SPT_StockHigh_Sources_Thomson">Model!$1061:$1061</definedName>
    <definedName name="MO_SPT_StockLow">Model!$1063:$1063</definedName>
    <definedName name="MO_SPT_StockLow_Sources">Model!$1064:$1068</definedName>
    <definedName name="MO_SPT_StockLow_Sources_Bloomberg">Model!$1065:$1065</definedName>
    <definedName name="MO_SPT_StockLow_Sources_CapIQ">Model!$1066:$1066</definedName>
    <definedName name="MO_SPT_StockLow_Sources_FactSet">Model!$1067:$1067</definedName>
    <definedName name="MO_SPT_StockLow_Sources_RealTimeOff">Model!$1064:$1064</definedName>
    <definedName name="MO_SPT_StockLow_Sources_Thomson">Model!$1068:$1068</definedName>
    <definedName name="MO_SS_Breakdown_REV_ProdServ_1">Model!$477:$477</definedName>
    <definedName name="MO_SS_Breakdown_REV_ProdServ_2">Model!$478:$478</definedName>
    <definedName name="MO_SS_Breakdown_REV_ProdServ_3">Model!$479:$479</definedName>
    <definedName name="MO_SS_Breakdown_REV_ProdServ_4">Model!$480:$480</definedName>
    <definedName name="MO_SS_Breakdown_REV_ProdServ_5">Model!$481:$481</definedName>
    <definedName name="MO_SS_Breakdown_REV_ProdServ_Mix_1">Model!$485:$485</definedName>
    <definedName name="MO_SS_Breakdown_REV_ProdServ_Mix_2">Model!$486:$486</definedName>
    <definedName name="MO_SS_Breakdown_REV_ProdServ_Mix_3">Model!$487:$487</definedName>
    <definedName name="MO_SS_Breakdown_REV_ProdServ_Mix_4">Model!$488:$488</definedName>
    <definedName name="MO_SS_Breakdown_REV_ProdServ_Mix_5">Model!$489:$489</definedName>
    <definedName name="MO_SS_Breakdown_REV_ProdServ_Mix_Total">Model!$491:$491</definedName>
    <definedName name="MO_SS_Breakdown_REV_ProdServ_Total">Model!$483:$483</definedName>
    <definedName name="MO_SubSection_BS_SE">Model!$923:$923</definedName>
    <definedName name="MO_SubSection_BS_TA">Model!$891:$891</definedName>
    <definedName name="MO_SubSection_BS_TL">Model!$912:$912</definedName>
    <definedName name="MO_SubSection_CCFS_CFF">Model!$776:$776</definedName>
    <definedName name="MO_SubSection_CCFS_CFI">Model!$760:$760</definedName>
    <definedName name="MO_SubSection_CCFS_CFO">Model!$735:$735</definedName>
    <definedName name="MO_SubSection_CFS_CFF">Model!$842:$842</definedName>
    <definedName name="MO_SubSection_CFS_CFI">Model!$826:$826</definedName>
    <definedName name="MO_SubSection_CFS_CFO">Model!$801:$801</definedName>
    <definedName name="MO_UI_Loss">Model!$276:$276</definedName>
    <definedName name="MO_UI_Loss_exCATS">Model!$269:$269</definedName>
    <definedName name="MO_UI_NEP">Model!$236:$236</definedName>
    <definedName name="MO_UI_NWP">Model!$220:$220</definedName>
    <definedName name="MO_UI_OOE">Model!$516:$516</definedName>
    <definedName name="MO_UI_PAE">Model!$511:$511</definedName>
    <definedName name="MO_UI_PIF">Model!$210:$210</definedName>
    <definedName name="MO_UI_UI">Model!$539:$539</definedName>
    <definedName name="MO_UI_UnderwritingExpense">Model!$532:$532</definedName>
    <definedName name="MO_UPR_ChangeInCUP">Model!$553:$553</definedName>
    <definedName name="MO_UPR_ChangeInGUPR">Model!$552:$552</definedName>
    <definedName name="MO_UPR_ChangeInNUPR">Model!$554:$554</definedName>
    <definedName name="MO_UPR_CUP">Model!$549:$549</definedName>
    <definedName name="MO_UPR_GUPR">Model!$548:$548</definedName>
    <definedName name="MO_UPR_NUPR">Model!$550:$550</definedName>
    <definedName name="MO_UR_CombinedRatio">Model!$535:$535</definedName>
    <definedName name="MO_UR_LossRatio">Model!$257:$257</definedName>
    <definedName name="MO_UR_OOERatio">Model!$518:$518</definedName>
    <definedName name="MO_UR_PAERatio">Model!$513:$513</definedName>
    <definedName name="MO_UR_WPERatio">Model!$228:$228</definedName>
    <definedName name="MO_VA_FX_Average">Model!$730:$730</definedName>
    <definedName name="MO_VA_FX_EoP">Model!$731:$731</definedName>
    <definedName name="MO_VA_MarketCap">Model!$721:$721</definedName>
    <definedName name="MO_VA_P_ToB">Model!$724:$724</definedName>
    <definedName name="MO_VA_P_ToE">Model!$723:$723</definedName>
    <definedName name="MO_VA_StockPrice">Model!$720:$720</definedName>
    <definedName name="MO_VA_StockPrice_Avg">Model!$728:$728</definedName>
    <definedName name="MO_VA_StockPrice_EoP">Model!$729:$729</definedName>
    <definedName name="MO_VA_StockPrice_High">Model!$726:$726</definedName>
    <definedName name="MO_VA_StockPrice_Low">Model!$727:$727</definedName>
    <definedName name="MO_VA_StockPrice_TradingCurrency">Model!$732:$732</definedName>
    <definedName name="_xlnm.Print_Area" localSheetId="1">Model!$A$1:$BR$931</definedName>
    <definedName name="_xlnm.Print_Area" localSheetId="3">'Summary Page'!$A$1:$BR$91</definedName>
    <definedName name="_xlnm.Print_Titles" localSheetId="1">Model!$5:$5</definedName>
    <definedName name="SP.CompanyName">'Summary Page'!$A$1</definedName>
    <definedName name="SP.ReportFX">'Summary Page'!$B$2</definedName>
    <definedName name="SP.ValuationToggle">'Summary Page'!$B$4</definedName>
    <definedName name="SP_BSS_BVPS">'Summary Page'!$86:$86</definedName>
    <definedName name="SP_BSS_NLR">'Summary Page'!$83:$83</definedName>
    <definedName name="SP_BSS_NTR">'Summary Page'!$84:$84</definedName>
    <definedName name="SP_BSS_NUPR">'Summary Page'!$82:$82</definedName>
    <definedName name="SP_BSS_TBVPS">'Summary Page'!$87:$87</definedName>
    <definedName name="SP_Checks_SummaryPage">'Summary Page'!$C$94:$XFD$96</definedName>
    <definedName name="SP_Common_Column_A">'Summary Page'!$A:$A</definedName>
    <definedName name="SP_Common_Column_B">'Summary Page'!$B:$B</definedName>
    <definedName name="SP_Common_ColumnHeader">'Summary Page'!$2:$2</definedName>
    <definedName name="SP_Common_QEndDate">'Summary Page'!$1:$1</definedName>
    <definedName name="SP_CS_MarketCap">'Summary Page'!$6:$6</definedName>
    <definedName name="SP_CS_ShareCount_EoP_Diluted">'Summary Page'!$5:$5</definedName>
    <definedName name="SP_CS_StockPrice">'Summary Page'!$4:$4</definedName>
    <definedName name="SP_DS_DPS">'Summary Page'!$73:$73</definedName>
    <definedName name="SP_DS_PayoutRatio">'Summary Page'!$74:$74</definedName>
    <definedName name="SP_GF_DisCont">'Summary Page'!$61:$61</definedName>
    <definedName name="SP_GF_Div_Prefs">'Summary Page'!$63:$63</definedName>
    <definedName name="SP_GF_EBT">'Summary Page'!$58:$58</definedName>
    <definedName name="SP_GF_EI">'Summary Page'!$60:$60</definedName>
    <definedName name="SP_GF_EPS_WAD">'Summary Page'!$65:$65</definedName>
    <definedName name="SP_GF_IE">'Summary Page'!$55:$55</definedName>
    <definedName name="SP_GF_InvestmentExpense">'Summary Page'!$54:$54</definedName>
    <definedName name="SP_GF_Loss">'Summary Page'!$50:$50</definedName>
    <definedName name="SP_GF_NCI">'Summary Page'!$62:$62</definedName>
    <definedName name="SP_GF_NEP">'Summary Page'!$45:$45</definedName>
    <definedName name="SP_GF_NetIG">'Summary Page'!$47:$47</definedName>
    <definedName name="SP_GF_NetII">'Summary Page'!$46:$46</definedName>
    <definedName name="SP_GF_NI">'Summary Page'!$64:$64</definedName>
    <definedName name="SP_GF_OI">'Summary Page'!$56:$56</definedName>
    <definedName name="SP_GF_OnetimeUnderwritinExpense">'Summary Page'!$53:$53</definedName>
    <definedName name="SP_GF_OOE">'Summary Page'!$52:$52</definedName>
    <definedName name="SP_GF_OtherIncome">'Summary Page'!$48:$48</definedName>
    <definedName name="SP_GF_OTI">'Summary Page'!$57:$57</definedName>
    <definedName name="SP_GF_PAE">'Summary Page'!$51:$51</definedName>
    <definedName name="SP_GF_Rev">'Summary Page'!$49:$49</definedName>
    <definedName name="SP_GF_ShareCount">'Summary Page'!$66:$66</definedName>
    <definedName name="SP_GF_Tax">'Summary Page'!$59:$59</definedName>
    <definedName name="SP_II_InvestmentBalance">'Summary Page'!$32:$32</definedName>
    <definedName name="SP_II_NetIG">'Summary Page'!$36:$36</definedName>
    <definedName name="SP_II_NetII">'Summary Page'!$34:$34</definedName>
    <definedName name="SP_MA_ROA">'Summary Page'!$77:$77</definedName>
    <definedName name="SP_MA_ROE">'Summary Page'!$78:$78</definedName>
    <definedName name="SP_MA_ROTE">'Summary Page'!$79:$79</definedName>
    <definedName name="SP_NGF_EPS">'Summary Page'!$70:$70</definedName>
    <definedName name="SP_NGF_NI">'Summary Page'!$69:$69</definedName>
    <definedName name="SP_OI_OtherIncome">'Summary Page'!$42:$42</definedName>
    <definedName name="SP_Section_BalanceSheetSummary">'Summary Page'!$81:$81</definedName>
    <definedName name="SP_Section_CapitalizationSummary">'Summary Page'!$3:$3</definedName>
    <definedName name="SP_Section_Checks">'Summary Page'!$93:$93</definedName>
    <definedName name="SP_Section_DividendSummary">'Summary Page'!$72:$72</definedName>
    <definedName name="SP_Section_GAAPFinancials">'Summary Page'!$44:$44</definedName>
    <definedName name="SP_Section_II">'Summary Page'!$31:$31</definedName>
    <definedName name="SP_Section_LastRow">'Summary Page'!$98:$98</definedName>
    <definedName name="SP_Section_NonGAAPFinancials">'Summary Page'!$68:$68</definedName>
    <definedName name="SP_Section_OI">'Summary Page'!$38:$38</definedName>
    <definedName name="SP_Section_ProfitabilityRatios">'Summary Page'!$76:$76</definedName>
    <definedName name="SP_Section_UI">'Summary Page'!$8:$8</definedName>
    <definedName name="SP_Section_UR">'Summary Page'!$25:$25</definedName>
    <definedName name="SP_Section_ValuationMetrics">'Summary Page'!$89:$89</definedName>
    <definedName name="SP_UI_Loss">'Summary Page'!$17:$17</definedName>
    <definedName name="SP_UI_NWP">'Summary Page'!$15:$15</definedName>
    <definedName name="SP_UI_OOE">'Summary Page'!$19:$19</definedName>
    <definedName name="SP_UI_PAE">'Summary Page'!$18:$18</definedName>
    <definedName name="SP_UI_UI">'Summary Page'!$23:$23</definedName>
    <definedName name="SP_UI_UnderwritingExpense">'Summary Page'!$21:$21</definedName>
    <definedName name="SP_UR_CombinedRatio">'Summary Page'!$29:$29</definedName>
    <definedName name="SP_UR_LossRatio">'Summary Page'!$26:$26</definedName>
    <definedName name="SP_UR_OOERatio">'Summary Page'!$28:$28</definedName>
    <definedName name="SP_UR_PAERatio">'Summary Page'!$27:$27</definedName>
    <definedName name="SP_VM_P_ToB">'Summary Page'!$91:$91</definedName>
    <definedName name="SP_VM_P_ToE">'Summary Page'!$90:$90</definedName>
    <definedName name="tb_ConsensusEstimate">Model!$A$1040:$BR$1051</definedName>
    <definedName name="tb_EntireModel">Model!$A$1:$BR$933</definedName>
    <definedName name="tb_Guidance_FY">Model!$A$1034:$BR$1038</definedName>
    <definedName name="tb_Guidance_Q">Model!$A$1029:$BR$1032</definedName>
    <definedName name="tb_KeyOutputs">Model!$A$978:$A$984</definedName>
    <definedName name="tb_KPIs">Model!$A$986:$A$1027</definedName>
    <definedName name="tb_StockPrice">Model!$A$1053:$BR$1083</definedName>
    <definedName name="tb_Tickers">Model!$A$965:$A$970</definedName>
    <definedName name="tb_UpdateLog">'Update Log'!$C$10:$H$57</definedName>
    <definedName name="tb_ValuationToggle">Model!$A$972:$B$976</definedName>
    <definedName name="UL.CSIN">'Update Log'!$H$7</definedName>
    <definedName name="UL.ModelVersion">'Update Log'!$H$8</definedName>
    <definedName name="UL.MRQ">'Update Log'!$F$7</definedName>
    <definedName name="UL.MRQColNum">'Update Log'!$E$7</definedName>
    <definedName name="WS.CanalystName" localSheetId="2">"Exec Comp"</definedName>
    <definedName name="WS.CanalystName" localSheetId="0">"Front Page"</definedName>
    <definedName name="WS.CanalystName" localSheetId="1">"Model"</definedName>
    <definedName name="WS.CanalystName" localSheetId="3">"Summary Page"</definedName>
    <definedName name="WS.CanalystName" localSheetId="4">"Update Log"</definedName>
    <definedName name="WS.HasWorkingRange" localSheetId="2">"TRUE"</definedName>
    <definedName name="WS.WorkingRangeType" localSheetId="2">"Standard"</definedName>
    <definedName name="WS.WorksheetType" localSheetId="2">"Supplemental"</definedName>
    <definedName name="WS_ColumnHeader" localSheetId="2">'Exec Comp'!$5:$5</definedName>
    <definedName name="WS_LastRow" localSheetId="2">'Exec Comp'!$90:$90</definedName>
    <definedName name="WS_PeriodMetadata_FPDays" localSheetId="2">'Exec Comp'!$3:$3</definedName>
    <definedName name="WS_PeriodMetadata_PAnnotation" localSheetId="2">'Exec Comp'!$2:$2</definedName>
    <definedName name="WS_PeriodMetadata_PEndDate" localSheetId="2">'Exec Comp'!$4:$4</definedName>
    <definedName name="WS_RowTitle" localSheetId="2">'Exec Comp'!$A:$A</definedName>
    <definedName name="WS_WorkingRange_FirstColumn" localSheetId="2">'Exec Comp'!$C:$C</definedName>
    <definedName name="WS_WorkingRange_FirstRow" localSheetId="2">'Exec Comp'!$6:$6</definedName>
    <definedName name="WS_WorkingRange_LastColumn" localSheetId="2">'Exec Comp'!$BR:$BR</definedName>
    <definedName name="WS_WorkingRange_LastRow" localSheetId="2">'Exec Comp'!$90:$90</definedName>
    <definedName name="z_FHFK200110_MO_AN_deferredtaxes">Model!$603:$603</definedName>
    <definedName name="z_FHFK200110_MO_BlankRow_AN">Model!$604:$604</definedName>
    <definedName name="z_FHFK200110_MO_BlankRow_BS_5">Model!$911:$911</definedName>
    <definedName name="z_FHFK200110_MO_BlankRow_BS_6">Model!$922:$922</definedName>
    <definedName name="z_FHFK200110_MO_BlankRow_BS_7">Model!$932:$932</definedName>
    <definedName name="z_FHFK200110_MO_BlankRow_BS_8">Model!$934:$934</definedName>
    <definedName name="z_FHFK200110_MO_BlankRow_BSS">Model!$677:$677</definedName>
    <definedName name="z_FHFK200110_MO_BlankRow_BSS_1">Model!$680:$680</definedName>
    <definedName name="z_FHFK200110_MO_BlankRow_BSS_2">"Deleted"</definedName>
    <definedName name="z_FHFK200110_MO_BlankRow_BSS_3">Model!$691:$691</definedName>
    <definedName name="z_FHFK200110_MO_BlankRow_BSS_4">Model!$696:$696</definedName>
    <definedName name="z_FHFK200110_MO_BlankRow_BSS_5">Model!$687:$687</definedName>
    <definedName name="z_FHFK200110_MO_BlankRow_CCFS">Model!$759:$759</definedName>
    <definedName name="z_FHFK200110_MO_BlankRow_CCFS_1">Model!$775:$775</definedName>
    <definedName name="z_FHFK200110_MO_BlankRow_CCFS_2">Model!$790:$790</definedName>
    <definedName name="z_FHFK200110_MO_BlankRow_CCFS_3">Model!$793:$793</definedName>
    <definedName name="z_FHFK200110_MO_BlankRow_CCFS_4">Model!$799:$799</definedName>
    <definedName name="z_FHFK200110_MO_BlankRow_CCFS_5">Model!$796:$796</definedName>
    <definedName name="z_FHFK200110_MO_BlankRow_CFS">Model!$825:$825</definedName>
    <definedName name="z_FHFK200110_MO_BlankRow_CFS_1">Model!$841:$841</definedName>
    <definedName name="z_FHFK200110_MO_BlankRow_CFS_2">Model!$856:$856</definedName>
    <definedName name="z_FHFK200110_MO_BlankRow_CFS_3">Model!$859:$859</definedName>
    <definedName name="z_FHFK200110_MO_BlankRow_CFS_4">Model!$865:$865</definedName>
    <definedName name="z_FHFK200110_MO_BlankRow_CFS_5">Model!$867:$867</definedName>
    <definedName name="z_FHFK200110_MO_BlankRow_CFS_6">Model!$862:$862</definedName>
    <definedName name="z_FHFK200110_MO_BlankRow_DAF">Model!$874:$874</definedName>
    <definedName name="z_FHFK200110_MO_BlankRow_DAF_1">Model!$880:$880</definedName>
    <definedName name="z_FHFK200110_MO_BlankRow_DAF_2">Model!$885:$885</definedName>
    <definedName name="z_FHFK200110_MO_BlankRow_DAF_3">Model!$889:$889</definedName>
    <definedName name="z_FHFK200110_MO_BlankRow_DS">Model!$670:$670</definedName>
    <definedName name="z_FHFK200110_MO_BlankRow_DS_1">Model!$672:$672</definedName>
    <definedName name="z_FHFK200110_MO_BlankRow_IS">Model!$599:$599</definedName>
    <definedName name="z_FHFK200110_MO_BlankRow_IS_1">Model!$601:$601</definedName>
    <definedName name="z_FHFK200110_MO_BlankRow_MA">Model!$722:$722</definedName>
    <definedName name="z_FHFK200110_MO_BlankRow_MA_1">Model!$733:$733</definedName>
    <definedName name="z_FHFK200110_MO_BlankRow_MA_2">Model!$725:$725</definedName>
    <definedName name="z_FHFK200110_MO_BlankRow_OS">Model!$16:$16</definedName>
    <definedName name="z_FHFK200110_MO_BlankRow_OS_1">Model!$246:$246</definedName>
    <definedName name="z_FHFK200110_MO_BlankRow_OS_10">Model!$555:$555</definedName>
    <definedName name="z_FHFK200110_MO_BlankRow_OS_100">Model!$238:$238</definedName>
    <definedName name="z_FHFK200110_MO_BlankRow_OS_101">Model!$13:$13</definedName>
    <definedName name="z_FHFK200110_MO_BlankRow_OS_102">Model!$60:$60</definedName>
    <definedName name="z_FHFK200110_MO_BlankRow_OS_103">Model!$63:$63</definedName>
    <definedName name="z_FHFK200110_MO_BlankRow_OS_104">Model!$66:$66</definedName>
    <definedName name="z_FHFK200110_MO_BlankRow_OS_105">Model!$89:$89</definedName>
    <definedName name="z_FHFK200110_MO_BlankRow_OS_106">Model!$92:$92</definedName>
    <definedName name="z_FHFK200110_MO_BlankRow_OS_107">Model!$119:$119</definedName>
    <definedName name="z_FHFK200110_MO_BlankRow_OS_108">Model!$123:$123</definedName>
    <definedName name="z_FHFK200110_MO_BlankRow_OS_109">Model!$126:$126</definedName>
    <definedName name="z_FHFK200110_MO_BlankRow_OS_11">Model!$560:$560</definedName>
    <definedName name="z_FHFK200110_MO_BlankRow_OS_110">Model!$154:$154</definedName>
    <definedName name="z_FHFK200110_MO_BlankRow_OS_111">Model!$158:$158</definedName>
    <definedName name="z_FHFK200110_MO_BlankRow_OS_112">Model!$161:$161</definedName>
    <definedName name="z_FHFK200110_MO_BlankRow_OS_113">Model!$189:$189</definedName>
    <definedName name="z_FHFK200110_MO_BlankRow_OS_114">Model!$193:$193</definedName>
    <definedName name="z_FHFK200110_MO_BlankRow_OS_115">Model!$196:$196</definedName>
    <definedName name="z_FHFK200110_MO_BlankRow_OS_116">Model!$229:$229</definedName>
    <definedName name="z_FHFK200110_MO_BlankRow_OS_117">Model!$265:$265</definedName>
    <definedName name="z_FHFK200110_MO_BlankRow_OS_118">Model!$285:$285</definedName>
    <definedName name="z_FHFK200110_MO_BlankRow_OS_119">Model!$292:$292</definedName>
    <definedName name="z_FHFK200110_MO_BlankRow_OS_12">Model!$564:$564</definedName>
    <definedName name="z_FHFK200110_MO_BlankRow_OS_120">Model!$311:$311</definedName>
    <definedName name="z_FHFK200110_MO_BlankRow_OS_121">Model!$484:$484</definedName>
    <definedName name="z_FHFK200110_MO_BlankRow_OS_122">Model!$499:$499</definedName>
    <definedName name="z_FHFK200110_MO_BlankRow_OS_123">"Deleted"</definedName>
    <definedName name="z_FHFK200110_MO_BlankRow_OS_124">Model!$510:$510</definedName>
    <definedName name="z_FHFK200110_MO_BlankRow_OS_125">Model!$547:$547</definedName>
    <definedName name="z_FHFK200110_MO_BlankRow_OS_126">Model!$324:$324</definedName>
    <definedName name="z_FHFK200110_MO_BlankRow_OS_127">Model!$326:$326</definedName>
    <definedName name="z_FHFK200110_MO_BlankRow_OS_128">"Deleted"</definedName>
    <definedName name="z_FHFK200110_MO_BlankRow_OS_129">Model!$332:$332</definedName>
    <definedName name="z_FHFK200110_MO_BlankRow_OS_13">Model!$566:$566</definedName>
    <definedName name="z_FHFK200110_MO_BlankRow_OS_130">Model!$334:$334</definedName>
    <definedName name="z_FHFK200110_MO_BlankRow_OS_131">"Deleted"</definedName>
    <definedName name="z_FHFK200110_MO_BlankRow_OS_132">Model!$340:$340</definedName>
    <definedName name="z_FHFK200110_MO_BlankRow_OS_133">Model!$342:$342</definedName>
    <definedName name="z_FHFK200110_MO_BlankRow_OS_134">Model!$345:$345</definedName>
    <definedName name="z_FHFK200110_MO_BlankRow_OS_135">Model!$348:$348</definedName>
    <definedName name="z_FHFK200110_MO_BlankRow_OS_136">Model!$350:$350</definedName>
    <definedName name="z_FHFK200110_MO_BlankRow_OS_137">Model!$352:$352</definedName>
    <definedName name="z_FHFK200110_MO_BlankRow_OS_138">Model!$355:$355</definedName>
    <definedName name="z_FHFK200110_MO_BlankRow_OS_139">Model!$357:$357</definedName>
    <definedName name="z_FHFK200110_MO_BlankRow_OS_14">"Deleted"</definedName>
    <definedName name="z_FHFK200110_MO_BlankRow_OS_140">Model!$359:$359</definedName>
    <definedName name="z_FHFK200110_MO_BlankRow_OS_141">Model!$258:$258</definedName>
    <definedName name="z_FHFK200110_MO_BlankRow_OS_142">Model!$277:$277</definedName>
    <definedName name="z_FHFK200110_MO_BlankRow_OS_143">Model!$300:$300</definedName>
    <definedName name="z_FHFK200110_MO_BlankRow_OS_144">Model!$319:$319</definedName>
    <definedName name="z_FHFK200110_MO_BlankRow_OS_145">Model!$329:$329</definedName>
    <definedName name="z_FHFK200110_MO_BlankRow_OS_146">Model!$337:$337</definedName>
    <definedName name="z_FHFK200110_MO_BlankRow_OS_147">Model!$492:$492</definedName>
    <definedName name="z_FHFK200110_MO_BlankRow_OS_148">Model!$503:$503</definedName>
    <definedName name="z_FHFK200110_MO_BlankRow_OS_149">Model!$515:$515</definedName>
    <definedName name="z_FHFK200110_MO_BlankRow_OS_15">Model!$422:$422</definedName>
    <definedName name="z_FHFK200110_MO_BlankRow_OS_150">Model!$520:$520</definedName>
    <definedName name="z_FHFK200110_MO_BlankRow_OS_151">Model!$534:$534</definedName>
    <definedName name="z_FHFK200110_MO_BlankRow_OS_152">Model!$544:$544</definedName>
    <definedName name="z_FHFK200110_MO_BlankRow_OS_153">Model!$658:$658</definedName>
    <definedName name="z_FHFK200110_MO_BlankRow_OS_154">Model!$666:$666</definedName>
    <definedName name="z_FHFK200110_MO_BlankRow_OS_155">Model!$569:$569</definedName>
    <definedName name="z_FHFK200110_MO_BlankRow_OS_156">Model!$661:$661</definedName>
    <definedName name="z_FHFK200110_MO_BlankRow_OS_157">Model!$664:$664</definedName>
    <definedName name="z_FHFK200110_MO_BlankRow_OS_158">'Exec Comp'!$14:$14</definedName>
    <definedName name="z_FHFK200110_MO_BlankRow_OS_159">'Exec Comp'!$16:$16</definedName>
    <definedName name="z_FHFK200110_MO_BlankRow_OS_16">Model!$441:$441</definedName>
    <definedName name="z_FHFK200110_MO_BlankRow_OS_160">'Exec Comp'!$23:$23</definedName>
    <definedName name="z_FHFK200110_MO_BlankRow_OS_161">'Exec Comp'!$25:$25</definedName>
    <definedName name="z_FHFK200110_MO_BlankRow_OS_162">'Exec Comp'!$33:$33</definedName>
    <definedName name="z_FHFK200110_MO_BlankRow_OS_163">'Exec Comp'!$35:$35</definedName>
    <definedName name="z_FHFK200110_MO_BlankRow_OS_164">'Exec Comp'!$39:$39</definedName>
    <definedName name="z_FHFK200110_MO_BlankRow_OS_165">'Exec Comp'!$41:$41</definedName>
    <definedName name="z_FHFK200110_MO_BlankRow_OS_166">'Exec Comp'!$84:$84</definedName>
    <definedName name="z_FHFK200110_MO_BlankRow_OS_167">'Exec Comp'!$89:$89</definedName>
    <definedName name="z_FHFK200110_MO_BlankRow_OS_17">Model!$460:$460</definedName>
    <definedName name="z_FHFK200110_MO_BlankRow_OS_18">Model!$463:$463</definedName>
    <definedName name="z_FHFK200110_MO_BlankRow_OS_19">"Deleted"</definedName>
    <definedName name="z_FHFK200110_MO_BlankRow_OS_2">"Deleted"</definedName>
    <definedName name="z_FHFK200110_MO_BlankRow_OS_20">Model!$472:$472</definedName>
    <definedName name="z_FHFK200110_MO_BlankRow_OS_21">"Deleted"</definedName>
    <definedName name="z_FHFK200110_MO_BlankRow_OS_22">Model!$475:$475</definedName>
    <definedName name="z_FHFK200110_MO_BlankRow_OS_23">Model!$716:$716</definedName>
    <definedName name="z_FHFK200110_MO_BlankRow_OS_24">Model!$718:$718</definedName>
    <definedName name="z_FHFK200110_MO_BlankRow_OS_25">Model!$110:$110</definedName>
    <definedName name="z_FHFK200110_MO_BlankRow_OS_26">Model!$139:$139</definedName>
    <definedName name="z_FHFK200110_MO_BlankRow_OS_27">Model!$174:$174</definedName>
    <definedName name="z_FHFK200110_MO_BlankRow_OS_3">Model!$28:$28</definedName>
    <definedName name="z_FHFK200110_MO_BlankRow_OS_30">"Deleted"</definedName>
    <definedName name="z_FHFK200110_MO_BlankRow_OS_31">Model!$129:$129</definedName>
    <definedName name="z_FHFK200110_MO_BlankRow_OS_32">Model!$131:$131</definedName>
    <definedName name="z_FHFK200110_MO_BlankRow_OS_33">Model!$147:$147</definedName>
    <definedName name="z_FHFK200110_MO_BlankRow_OS_34">"Deleted"</definedName>
    <definedName name="z_FHFK200110_MO_BlankRow_OS_35">Model!$164:$164</definedName>
    <definedName name="z_FHFK200110_MO_BlankRow_OS_36">Model!$166:$166</definedName>
    <definedName name="z_FHFK200110_MO_BlankRow_OS_37">Model!$180:$180</definedName>
    <definedName name="z_FHFK200110_MO_BlankRow_OS_38">"Deleted"</definedName>
    <definedName name="z_FHFK200110_MO_BlankRow_OS_39">Model!$199:$199</definedName>
    <definedName name="z_FHFK200110_MO_BlankRow_OS_4">Model!$308:$308</definedName>
    <definedName name="z_FHFK200110_MO_BlankRow_OS_40">Model!$201:$201</definedName>
    <definedName name="z_FHFK200110_MO_BlankRow_OS_41">Model!$703:$703</definedName>
    <definedName name="z_FHFK200110_MO_BlankRow_OS_42">Model!$705:$705</definedName>
    <definedName name="z_FHFK200110_MO_BlankRow_OS_43">Model!$709:$709</definedName>
    <definedName name="z_FHFK200110_MO_BlankRow_OS_44">Model!$712:$712</definedName>
    <definedName name="z_FHFK200110_MO_BlankRow_OS_45">"Deleted"</definedName>
    <definedName name="z_FHFK200110_MO_BlankRow_OS_46">Model!$20:$20</definedName>
    <definedName name="z_FHFK200110_MO_BlankRow_OS_47">"Deleted"</definedName>
    <definedName name="z_FHFK200110_MO_BlankRow_OS_48">Model!$24:$24</definedName>
    <definedName name="z_FHFK200110_MO_BlankRow_OS_49">Model!$46:$46</definedName>
    <definedName name="z_FHFK200110_MO_BlankRow_OS_50">Model!$37:$37</definedName>
    <definedName name="z_FHFK200110_MO_BlankRow_OS_51">Model!$39:$39</definedName>
    <definedName name="z_FHFK200110_MO_BlankRow_OS_52">Model!$49:$49</definedName>
    <definedName name="z_FHFK200110_MO_BlankRow_OS_53">Model!$52:$52</definedName>
    <definedName name="z_FHFK200110_MO_BlankRow_OS_54">Model!$54:$54</definedName>
    <definedName name="z_FHFK200110_MO_BlankRow_OS_55">Model!$57:$57</definedName>
    <definedName name="z_FHFK200110_MO_BlankRow_OS_56">"Deleted"</definedName>
    <definedName name="z_FHFK200110_MO_BlankRow_OS_57">"Deleted"</definedName>
    <definedName name="z_FHFK200110_MO_BlankRow_OS_58">Model!$68:$68</definedName>
    <definedName name="z_FHFK200110_MO_BlankRow_OS_59">Model!$75:$75</definedName>
    <definedName name="z_FHFK200110_MO_BlankRow_OS_6">Model!$313:$313</definedName>
    <definedName name="z_FHFK200110_MO_BlankRow_OS_60">Model!$78:$78</definedName>
    <definedName name="z_FHFK200110_MO_BlankRow_OS_61">Model!$81:$81</definedName>
    <definedName name="z_FHFK200110_MO_BlankRow_OS_62">Model!$83:$83</definedName>
    <definedName name="z_FHFK200110_MO_BlankRow_OS_63">Model!$86:$86</definedName>
    <definedName name="z_FHFK200110_MO_BlankRow_OS_64">"Deleted"</definedName>
    <definedName name="z_FHFK200110_MO_BlankRow_OS_65">Model!$95:$95</definedName>
    <definedName name="z_FHFK200110_MO_BlankRow_OS_66">Model!$97:$97</definedName>
    <definedName name="z_FHFK200110_MO_BlankRow_OS_67">Model!$107:$107</definedName>
    <definedName name="z_FHFK200110_MO_BlankRow_OS_68">Model!$112:$112</definedName>
    <definedName name="z_FHFK200110_MO_BlankRow_OS_69">Model!$115:$115</definedName>
    <definedName name="z_FHFK200110_MO_BlankRow_OS_7">Model!$317:$317</definedName>
    <definedName name="z_FHFK200110_MO_BlankRow_OS_70">"Deleted"</definedName>
    <definedName name="z_FHFK200110_MO_BlankRow_OS_71">Model!$142:$142</definedName>
    <definedName name="z_FHFK200110_MO_BlankRow_OS_72">Model!$145:$145</definedName>
    <definedName name="z_FHFK200110_MO_BlankRow_OS_73">Model!$150:$150</definedName>
    <definedName name="z_FHFK200110_MO_BlankRow_OS_74">"Deleted"</definedName>
    <definedName name="z_FHFK200110_MO_BlankRow_OS_75">Model!$177:$177</definedName>
    <definedName name="z_FHFK200110_MO_BlankRow_OS_76">Model!$182:$182</definedName>
    <definedName name="z_FHFK200110_MO_BlankRow_OS_77">Model!$185:$185</definedName>
    <definedName name="z_FHFK200110_MO_BlankRow_OS_78">Model!$399:$399</definedName>
    <definedName name="z_FHFK200110_MO_BlankRow_OS_79">Model!$404:$404</definedName>
    <definedName name="z_FHFK200110_MO_BlankRow_OS_8">Model!$375:$375</definedName>
    <definedName name="z_FHFK200110_MO_BlankRow_OS_80">Model!$409:$409</definedName>
    <definedName name="z_FHFK200110_MO_BlankRow_OS_81">"Deleted"</definedName>
    <definedName name="z_FHFK200110_MO_BlankRow_OS_82">"Deleted"</definedName>
    <definedName name="z_FHFK200110_MO_BlankRow_OS_83">"Deleted"</definedName>
    <definedName name="z_FHFK200110_MO_BlankRow_OS_84">"Deleted"</definedName>
    <definedName name="z_FHFK200110_MO_BlankRow_OS_85">Model!$213:$213</definedName>
    <definedName name="z_FHFK200110_MO_BlankRow_OS_86">Model!$221:$221</definedName>
    <definedName name="z_FHFK200110_MO_BlankRow_OS_87">"Deleted"</definedName>
    <definedName name="z_FHFK200110_MO_BlankRow_OS_88">"Deleted"</definedName>
    <definedName name="z_FHFK200110_MO_BlankRow_OS_89">Model!$374:$374</definedName>
    <definedName name="z_FHFK200110_MO_BlankRow_OS_9">Model!$551:$551</definedName>
    <definedName name="z_FHFK200110_MO_BlankRow_OS_90">"Deleted"</definedName>
    <definedName name="z_FHFK200110_MO_BlankRow_OS_91">"Deleted"</definedName>
    <definedName name="z_FHFK200110_MO_BlankRow_OS_92">"Deleted"</definedName>
    <definedName name="z_FHFK200110_MO_BlankRow_OS_93">"Deleted"</definedName>
    <definedName name="z_FHFK200110_MO_BlankRow_OS_94">"Deleted"</definedName>
    <definedName name="z_FHFK200110_MO_BlankRow_OS_95">Model!$526:$526</definedName>
    <definedName name="z_FHFK200110_MO_BlankRow_OS_96">Model!$531:$531</definedName>
    <definedName name="z_FHFK200110_MO_BlankRow_OS_97">Model!$538:$538</definedName>
    <definedName name="z_FHFK200110_MO_BlankRow_OS_98">"Deleted"</definedName>
    <definedName name="z_FHFK200110_MO_BlankRow_OS_99">Model!$104:$104</definedName>
    <definedName name="z_FHFK200110_MO_BlankRow_RIS">Model!$612:$612</definedName>
    <definedName name="z_FHFK200110_MO_BlankRow_RIS_1">Model!$623:$623</definedName>
    <definedName name="z_FHFK200110_MO_BlankRow_RIS_2">Model!$637:$637</definedName>
    <definedName name="z_FHFK200110_MO_BlankRow_RIS_3">Model!$640:$640</definedName>
    <definedName name="z_FHFK200110_MO_BlankRow_RIS_4">Model!$645:$645</definedName>
    <definedName name="z_FHFK200110_MO_BlankRow_RIS_5">Model!$649:$649</definedName>
    <definedName name="z_FHFK200110_MO_BlankRow_SNA">Model!$962:$962</definedName>
    <definedName name="z_FHFK200110_MO_BlankRow_SNA_1">Model!$964:$964</definedName>
    <definedName name="z_FHFK200110_MO_BlankRow_SNA_10">Model!$1076:$1076</definedName>
    <definedName name="z_FHFK200110_MO_BlankRow_SNA_11">Model!$1083:$1083</definedName>
    <definedName name="z_FHFK200110_MO_BlankRow_SNA_12">Model!$1088:$1088</definedName>
    <definedName name="z_FHFK200110_MO_BlankRow_SNA_13">Model!$1106:$1106</definedName>
    <definedName name="z_FHFK200110_MO_BlankRow_SNA_14">Model!$1087:$1087</definedName>
    <definedName name="z_FHFK200110_MO_BlankRow_SNA_15">Model!$1027:$1027</definedName>
    <definedName name="z_FHFK200110_MO_BlankRow_SNA_16">Model!$1028:$1028</definedName>
    <definedName name="z_FHFK200110_MO_BlankRow_SNA_17">Model!$1032:$1032</definedName>
    <definedName name="z_FHFK200110_MO_BlankRow_SNA_18">Model!$1033:$1033</definedName>
    <definedName name="z_FHFK200110_MO_BlankRow_SNA_19">Model!$1038:$1038</definedName>
    <definedName name="z_FHFK200110_MO_BlankRow_SNA_2">Model!$971:$971</definedName>
    <definedName name="z_FHFK200110_MO_BlankRow_SNA_20">Model!$1039:$1039</definedName>
    <definedName name="z_FHFK200110_MO_BlankRow_SNA_3">Model!$977:$977</definedName>
    <definedName name="z_FHFK200110_MO_BlankRow_SNA_4">Model!$984:$984</definedName>
    <definedName name="z_FHFK200110_MO_BlankRow_SNA_5">Model!$985:$985</definedName>
    <definedName name="z_FHFK200110_MO_BlankRow_SNA_6">Model!$1051:$1051</definedName>
    <definedName name="z_FHFK200110_MO_BlankRow_SNA_7">Model!$1052:$1052</definedName>
    <definedName name="z_FHFK200110_MO_BlankRow_SNA_8">Model!$1062:$1062</definedName>
    <definedName name="z_FHFK200110_MO_BlankRow_SNA_9">Model!$1069:$1069</definedName>
    <definedName name="z_FHFK200110_MO_BS_accountspayableaccruedexpenses">Model!$917:$917</definedName>
    <definedName name="z_FHFK200110_MO_BS_accruedinvestmentincome">Model!$899:$899</definedName>
    <definedName name="z_FHFK200110_MO_BS_Assets">Model!$891:$891</definedName>
    <definedName name="z_FHFK200110_MO_BS_BSCheck">Model!$933:$933</definedName>
    <definedName name="z_FHFK200110_MO_BS_cash">Model!$897:$897</definedName>
    <definedName name="z_FHFK200110_MO_BS_commonequities">Model!$894:$894</definedName>
    <definedName name="z_FHFK200110_MO_BS_commonshares">Model!$925:$925</definedName>
    <definedName name="z_FHFK200110_MO_BS_Debt">Model!$919:$919</definedName>
    <definedName name="z_FHFK200110_MO_BS_Deferredacquisitioncosts">Model!$903:$903</definedName>
    <definedName name="z_FHFK200110_MO_BS_Dividendspayable">Model!$916:$916</definedName>
    <definedName name="z_FHFK200110_MO_BS_fixedmaturities">Model!$892:$892</definedName>
    <definedName name="z_FHFK200110_MO_BS_goodwill">Model!$906:$906</definedName>
    <definedName name="z_FHFK200110_MO_BS_incometaxes">Model!$904:$904</definedName>
    <definedName name="z_FHFK200110_MO_BS_incometaxes_1">Model!$918:$918</definedName>
    <definedName name="z_FHFK200110_MO_BS_intangibleassets">Model!$907:$907</definedName>
    <definedName name="z_FHFK200110_MO_BS_Liabilities">Model!$912:$912</definedName>
    <definedName name="z_FHFK200110_MO_BS_lossandlossadjustmentexpensereserves">Model!$914:$914</definedName>
    <definedName name="z_FHFK200110_MO_BS_NCI">Model!$930:$930</definedName>
    <definedName name="z_FHFK200110_MO_BS_netdeferredincometaxes">Model!$908:$908</definedName>
    <definedName name="z_FHFK200110_MO_BS_netdeferredincometaxes_1">Model!$915:$915</definedName>
    <definedName name="z_FHFK200110_MO_BS_nonredeemablepreferredstocks">Model!$893:$893</definedName>
    <definedName name="z_FHFK200110_MO_BS_Otherassets">Model!$909:$909</definedName>
    <definedName name="z_FHFK200110_MO_BS_paidincapital">Model!$926:$926</definedName>
    <definedName name="z_FHFK200110_MO_BS_Preferredshares">Model!$924:$924</definedName>
    <definedName name="z_FHFK200110_MO_BS_premiumsreceivable">Model!$900:$900</definedName>
    <definedName name="z_FHFK200110_MO_BS_prepaidreinsurancepremiums">Model!$902:$902</definedName>
    <definedName name="z_FHFK200110_MO_BS_propertyandequipment">Model!$905:$905</definedName>
    <definedName name="z_FHFK200110_MO_BS_redeemablenoncontrollinginterest">Model!$920:$920</definedName>
    <definedName name="z_FHFK200110_MO_BS_reinsurancerecoverables">Model!$901:$901</definedName>
    <definedName name="z_FHFK200110_MO_BS_restrictedcash">Model!$898:$898</definedName>
    <definedName name="z_FHFK200110_MO_BS_retainedearnings">Model!$927:$927</definedName>
    <definedName name="z_FHFK200110_MO_BS_ShareholdersEquity">Model!$923:$923</definedName>
    <definedName name="z_FHFK200110_MO_BS_shortterminvestments">Model!$895:$895</definedName>
    <definedName name="z_FHFK200110_MO_BS_TotalaccumulatedothercomprehensiveincomeattributabletoProgressive">Model!$928:$928</definedName>
    <definedName name="z_FHFK200110_MO_BS_TotalAssets">Model!$910:$910</definedName>
    <definedName name="z_FHFK200110_MO_BS_totalinvestments">Model!$896:$896</definedName>
    <definedName name="z_FHFK200110_MO_BS_TotalLiabilities">Model!$921:$921</definedName>
    <definedName name="z_FHFK200110_MO_BS_TotalLiabilitiesSE">Model!$931:$931</definedName>
    <definedName name="z_FHFK200110_MO_BS_TotalSE">Model!$929:$929</definedName>
    <definedName name="z_FHFK200110_MO_BS_unearnedpremiums">Model!$913:$913</definedName>
    <definedName name="z_FHFK200110_MO_BSS_BookValueperCommonShare">Model!$688:$688</definedName>
    <definedName name="z_FHFK200110_MO_BSS_consensusestimatesbookvaluepercommonshare">Model!$689:$689</definedName>
    <definedName name="z_FHFK200110_MO_BSS_ConsensusEstimatesReturnonAverageCommonEquity">Model!$694:$694</definedName>
    <definedName name="z_FHFK200110_MO_BSS_DebttoTotalCapitalRatio">"Deleted"</definedName>
    <definedName name="z_FHFK200110_MO_BSS_Goodwill">Model!$684:$684</definedName>
    <definedName name="z_FHFK200110_MO_BSS_Intangibleassets">Model!$685:$685</definedName>
    <definedName name="z_FHFK200110_MO_BSS_minimumamountofstatutorycapitalrequired">Model!$717:$717</definedName>
    <definedName name="z_FHFK200110_MO_BSS_NetLossReserves">Model!$675:$675</definedName>
    <definedName name="z_FHFK200110_MO_BSS_NetTechnicalReserves">Model!$676:$676</definedName>
    <definedName name="z_FHFK200110_MO_BSS_NetUnearnedPremiumReserves">Model!$674:$674</definedName>
    <definedName name="z_FHFK200110_MO_BSS_Preferredshares">Model!$682:$682</definedName>
    <definedName name="z_FHFK200110_MO_BSS_ReserveRatio">Model!$678:$678</definedName>
    <definedName name="z_FHFK200110_MO_BSS_ReturnonAverageCommonEquity">Model!$693:$693</definedName>
    <definedName name="z_FHFK200110_MO_BSS_ReturnonAverageTangibleCommonEquity">Model!$695:$695</definedName>
    <definedName name="z_FHFK200110_MO_BSS_ReturnonAverageTotalAssets">Model!$692:$692</definedName>
    <definedName name="z_FHFK200110_MO_BSS_SolvencyRatio">Model!$679:$679</definedName>
    <definedName name="z_FHFK200110_MO_BSS_statutorynetincome">Model!$715:$715</definedName>
    <definedName name="z_FHFK200110_MO_BSS_statutorysurplusandcapital">Model!$714:$714</definedName>
    <definedName name="z_FHFK200110_MO_BSS_TangibleBookValueperCommonShare">Model!$690:$690</definedName>
    <definedName name="z_FHFK200110_MO_BSS_TotalCommonShareholdersEquity">Model!$683:$683</definedName>
    <definedName name="z_FHFK200110_MO_BSS_TotalEquity">Model!$681:$681</definedName>
    <definedName name="z_FHFK200110_MO_BSS_TotalTangibleCommonEquity">Model!$686:$686</definedName>
    <definedName name="z_FHFK200110_MO_CCFS_accountspayableaccruedexpenses">Model!$755:$755</definedName>
    <definedName name="z_FHFK200110_MO_CCFS_AcquisitionofadditionalsharesofARXHoldingCorp">"Deleted"</definedName>
    <definedName name="z_FHFK200110_MO_CCFS_AcquisitionofadditionalsharesofARXHoldingCorp_1">Model!$786:$786</definedName>
    <definedName name="z_FHFK200110_MO_CCFS_Acquisitionofbusiness">Model!$773:$773</definedName>
    <definedName name="z_FHFK200110_MO_CCFS_Acquisitionoftreasuryshares">Model!$787:$787</definedName>
    <definedName name="z_FHFK200110_MO_CCFS_Acquisitionoftreasurysharesacquiredinopenmarket">Model!$788:$788</definedName>
    <definedName name="z_FHFK200110_MO_CCFS_Amortizationofequitybasedcompensation">Model!$740:$740</definedName>
    <definedName name="z_FHFK200110_MO_CCFS_amortizationofintangibleassets">Model!$738:$738</definedName>
    <definedName name="z_FHFK200110_MO_CCFS_BeginningCashBalance">Model!$794:$794</definedName>
    <definedName name="z_FHFK200110_MO_CCFS_Cashpaidforincometaxes">Model!$798:$798</definedName>
    <definedName name="z_FHFK200110_MO_CCFS_Cashpaidforinterest">Model!$797:$797</definedName>
    <definedName name="z_FHFK200110_MO_CCFS_CFF">Model!$776:$776</definedName>
    <definedName name="z_FHFK200110_MO_CCFS_CFI">Model!$760:$760</definedName>
    <definedName name="z_FHFK200110_MO_CCFS_CFO">Model!$735:$735</definedName>
    <definedName name="z_FHFK200110_MO_CCFS_CFObeforeWC">Model!$747:$747</definedName>
    <definedName name="z_FHFK200110_MO_CCFS_collateralonderivativeinstruments">Model!$769:$769</definedName>
    <definedName name="z_FHFK200110_MO_CCFS_Deferredacquisitioncosts">Model!$751:$751</definedName>
    <definedName name="z_FHFK200110_MO_CCFS_deferredtax">Model!$745:$745</definedName>
    <definedName name="z_FHFK200110_MO_CCFS_depreciation">Model!$737:$737</definedName>
    <definedName name="z_FHFK200110_MO_CCFS_Dividendspaidtopreferredshareholders">Model!$784:$784</definedName>
    <definedName name="z_FHFK200110_MO_CCFS_Dividendspaidtoshareholders">Model!$785:$785</definedName>
    <definedName name="z_FHFK200110_MO_CCFS_EndingCashBalance">Model!$795:$795</definedName>
    <definedName name="z_FHFK200110_MO_CCFS_FX">Model!$791:$791</definedName>
    <definedName name="z_FHFK200110_MO_CCFS_Gainslossesonextinguishmentofdebt">Model!$744:$744</definedName>
    <definedName name="z_FHFK200110_MO_CCFS_GoodwillImpairment">Model!$743:$743</definedName>
    <definedName name="z_FHFK200110_MO_CCFS_incometaxes">Model!$752:$752</definedName>
    <definedName name="z_FHFK200110_MO_CCFS_lossandlossadjustmentexpensereserves">Model!$754:$754</definedName>
    <definedName name="z_FHFK200110_MO_CCFS_maturitiespaydownscalls">Model!$765:$765</definedName>
    <definedName name="z_FHFK200110_MO_CCFS_maturitiespaydownscalls_1">Model!$766:$766</definedName>
    <definedName name="z_FHFK200110_MO_CCFS_netamortizationoffixedincomesecurities">Model!$739:$739</definedName>
    <definedName name="z_FHFK200110_MO_CCFS_netcashacquiredinexchangetransaction">Model!$772:$772</definedName>
    <definedName name="z_FHFK200110_MO_CCFS_NetCFF">Model!$789:$789</definedName>
    <definedName name="z_FHFK200110_MO_CCFS_NetCFI">Model!$774:$774</definedName>
    <definedName name="z_FHFK200110_MO_CCFS_NetCFO">Model!$758:$758</definedName>
    <definedName name="z_FHFK200110_MO_CCFS_NetChangeinCashBalance">Model!$792:$792</definedName>
    <definedName name="z_FHFK200110_MO_CCFS_netgainslossesondispositionofpropertyandequipment">Model!$742:$742</definedName>
    <definedName name="z_FHFK200110_MO_CCFS_netincome">Model!$736:$736</definedName>
    <definedName name="z_FHFK200110_MO_CCFS_netlossonexchangetransaction">Model!$746:$746</definedName>
    <definedName name="z_FHFK200110_MO_CCFS_Netproceedsfromdebtissuance">Model!$780:$780</definedName>
    <definedName name="z_FHFK200110_MO_CCFS_NetproceedsfromissuanceofSerialPreferredShares">Model!$779:$779</definedName>
    <definedName name="z_FHFK200110_MO_CCFS_netrealizedgainslossesonsecurities">Model!$741:$741</definedName>
    <definedName name="z_FHFK200110_MO_CCFS_netsalespurchasesofshortterminvestments">Model!$767:$767</definedName>
    <definedName name="z_FHFK200110_MO_CCFS_netunsettledsecuritytransactions">Model!$768:$768</definedName>
    <definedName name="z_FHFK200110_MO_CCFS_Other">Model!$757:$757</definedName>
    <definedName name="z_FHFK200110_MO_CCFS_Paymentofacquiredcompanydebt">Model!$781:$781</definedName>
    <definedName name="z_FHFK200110_MO_CCFS_Paymentsofdebt">Model!$782:$782</definedName>
    <definedName name="z_FHFK200110_MO_CCFS_premiumsreceivable">Model!$748:$748</definedName>
    <definedName name="z_FHFK200110_MO_CCFS_prepaidreinsurancepremiums">Model!$750:$750</definedName>
    <definedName name="z_FHFK200110_MO_CCFS_Proceedsfromexerciseofequityoptions">Model!$777:$777</definedName>
    <definedName name="z_FHFK200110_MO_CCFS_Purchasesofequitysecurities">Model!$762:$762</definedName>
    <definedName name="z_FHFK200110_MO_CCFS_purchasesoffixedmaturities">Model!$761:$761</definedName>
    <definedName name="z_FHFK200110_MO_CCFS_purchasesofpropertyandequipment">Model!$770:$770</definedName>
    <definedName name="z_FHFK200110_MO_CCFS_Reacquisitionofdebt">Model!$783:$783</definedName>
    <definedName name="z_FHFK200110_MO_CCFS_reinsurancerecoverables">Model!$749:$749</definedName>
    <definedName name="z_FHFK200110_MO_CCFS_restrictedcash">Model!$756:$756</definedName>
    <definedName name="z_FHFK200110_MO_CCFS_Salesofequitysecurities">Model!$764:$764</definedName>
    <definedName name="z_FHFK200110_MO_CCFS_salesoffixedmaturities">Model!$763:$763</definedName>
    <definedName name="z_FHFK200110_MO_CCFS_salesofpropertyandequipment">Model!$771:$771</definedName>
    <definedName name="z_FHFK200110_MO_CCFS_Taxbenefitfromvestingofequitybasedcompensation">Model!$778:$778</definedName>
    <definedName name="z_FHFK200110_MO_CCFS_unearnedpremiums">Model!$753:$753</definedName>
    <definedName name="z_FHFK200110_MO_CFS_accountspayableaccruedexpenses">Model!$821:$821</definedName>
    <definedName name="z_FHFK200110_MO_CFS_AcquisitionofadditionalsharesofARXHoldingCorp">"Deleted"</definedName>
    <definedName name="z_FHFK200110_MO_CFS_AcquisitionofadditionalsharesofARXHoldingCorp_1">Model!$852:$852</definedName>
    <definedName name="z_FHFK200110_MO_CFS_Acquisitionofbusiness">Model!$839:$839</definedName>
    <definedName name="z_FHFK200110_MO_CFS_Acquisitionoftreasuryshares">Model!$853:$853</definedName>
    <definedName name="z_FHFK200110_MO_CFS_Acquisitionoftreasurysharesacquiredinopenmarket">Model!$854:$854</definedName>
    <definedName name="z_FHFK200110_MO_CFS_Amortizationofequitybasedcompensation">Model!$806:$806</definedName>
    <definedName name="z_FHFK200110_MO_CFS_amortizationofintangibleassets">Model!$804:$804</definedName>
    <definedName name="z_FHFK200110_MO_CFS_BeginningCashBalance">Model!$860:$860</definedName>
    <definedName name="z_FHFK200110_MO_CFS_Cashpaidforincometaxes">Model!$864:$864</definedName>
    <definedName name="z_FHFK200110_MO_CFS_Cashpaidforinterest">Model!$863:$863</definedName>
    <definedName name="z_FHFK200110_MO_CFS_CFCheck">Model!$866:$866</definedName>
    <definedName name="z_FHFK200110_MO_CFS_CFF">Model!$842:$842</definedName>
    <definedName name="z_FHFK200110_MO_CFS_CFI">Model!$826:$826</definedName>
    <definedName name="z_FHFK200110_MO_CFS_CFO">Model!$801:$801</definedName>
    <definedName name="z_FHFK200110_MO_CFS_CFObeforeWC">Model!$813:$813</definedName>
    <definedName name="z_FHFK200110_MO_CFS_collateralonderivativeinstruments">Model!$835:$835</definedName>
    <definedName name="z_FHFK200110_MO_CFS_Deferredacquisitioncosts">Model!$817:$817</definedName>
    <definedName name="z_FHFK200110_MO_CFS_deferredtax">Model!$811:$811</definedName>
    <definedName name="z_FHFK200110_MO_CFS_depreciation">Model!$803:$803</definedName>
    <definedName name="z_FHFK200110_MO_CFS_Dividendspaidtopreferredshareholders">Model!$850:$850</definedName>
    <definedName name="z_FHFK200110_MO_CFS_Dividendspaidtoshareholders">Model!$851:$851</definedName>
    <definedName name="z_FHFK200110_MO_CFS_EndingCashBalance">Model!$861:$861</definedName>
    <definedName name="z_FHFK200110_MO_CFS_FX">Model!$857:$857</definedName>
    <definedName name="z_FHFK200110_MO_CFS_Gainslossesonextinguishmentofdebt">Model!$810:$810</definedName>
    <definedName name="z_FHFK200110_MO_CFS_GoodwillImpairment">Model!$809:$809</definedName>
    <definedName name="z_FHFK200110_MO_CFS_incometaxes">Model!$818:$818</definedName>
    <definedName name="z_FHFK200110_MO_CFS_lossandlossadjustmentexpensereserves">Model!$820:$820</definedName>
    <definedName name="z_FHFK200110_MO_CFS_maturitiespaydownscalls">Model!$831:$831</definedName>
    <definedName name="z_FHFK200110_MO_CFS_maturitiespaydownscalls_1">Model!$832:$832</definedName>
    <definedName name="z_FHFK200110_MO_CFS_netamortizationoffixedincomesecurities">Model!$805:$805</definedName>
    <definedName name="z_FHFK200110_MO_CFS_netcashacquiredinexchangetransaction">Model!$838:$838</definedName>
    <definedName name="z_FHFK200110_MO_CFS_NetCFF">Model!$855:$855</definedName>
    <definedName name="z_FHFK200110_MO_CFS_NetCFI">Model!$840:$840</definedName>
    <definedName name="z_FHFK200110_MO_CFS_NetCFO">Model!$824:$824</definedName>
    <definedName name="z_FHFK200110_MO_CFS_NetChangeinCashBalance">Model!$858:$858</definedName>
    <definedName name="z_FHFK200110_MO_CFS_netgainslossesondispositionofpropertyandequipment">Model!$808:$808</definedName>
    <definedName name="z_FHFK200110_MO_CFS_netincome">Model!$802:$802</definedName>
    <definedName name="z_FHFK200110_MO_CFS_netlossonexchangetransaction">Model!$812:$812</definedName>
    <definedName name="z_FHFK200110_MO_CFS_Netproceedsfromdebtissuance">Model!$846:$846</definedName>
    <definedName name="z_FHFK200110_MO_CFS_NetproceedsfromissuanceofSerialPreferredShares">Model!$845:$845</definedName>
    <definedName name="z_FHFK200110_MO_CFS_netrealizedgainslossesonsecurities">Model!$807:$807</definedName>
    <definedName name="z_FHFK200110_MO_CFS_netsalespurchasesofshortterminvestments">Model!$833:$833</definedName>
    <definedName name="z_FHFK200110_MO_CFS_netunsettledsecuritytransactions">Model!$834:$834</definedName>
    <definedName name="z_FHFK200110_MO_CFS_Other">Model!$823:$823</definedName>
    <definedName name="z_FHFK200110_MO_CFS_Paymentofacquiredcompanydebt">Model!$847:$847</definedName>
    <definedName name="z_FHFK200110_MO_CFS_Paymentsofdebt">Model!$848:$848</definedName>
    <definedName name="z_FHFK200110_MO_CFS_premiumsreceivable">Model!$814:$814</definedName>
    <definedName name="z_FHFK200110_MO_CFS_prepaidreinsurancepremiums">Model!$816:$816</definedName>
    <definedName name="z_FHFK200110_MO_CFS_Proceedsfromexerciseofequityoptions">Model!$843:$843</definedName>
    <definedName name="z_FHFK200110_MO_CFS_Purchasesofequitysecurities">Model!$828:$828</definedName>
    <definedName name="z_FHFK200110_MO_CFS_purchasesoffixedmaturities">Model!$827:$827</definedName>
    <definedName name="z_FHFK200110_MO_CFS_purchasesofpropertyandequipment">Model!$836:$836</definedName>
    <definedName name="z_FHFK200110_MO_CFS_Reacquisitionofdebt">Model!$849:$849</definedName>
    <definedName name="z_FHFK200110_MO_CFS_reinsurancerecoverables">Model!$815:$815</definedName>
    <definedName name="z_FHFK200110_MO_CFS_restrictedcash">Model!$822:$822</definedName>
    <definedName name="z_FHFK200110_MO_CFS_Salesofequitysecurities">Model!$830:$830</definedName>
    <definedName name="z_FHFK200110_MO_CFS_salesoffixedmaturities">Model!$829:$829</definedName>
    <definedName name="z_FHFK200110_MO_CFS_salesofpropertyandequipment">Model!$837:$837</definedName>
    <definedName name="z_FHFK200110_MO_CFS_Taxbenefitfromvestingofequitybasedcompensation">Model!$844:$844</definedName>
    <definedName name="z_FHFK200110_MO_CFS_unearnedpremiums">Model!$819:$819</definedName>
    <definedName name="z_FHFK200110_MO_Checks_SNA_BalanceSheetisnotRepeated">Model!$954:$954</definedName>
    <definedName name="z_FHFK200110_MO_Checks_SNA_CashBalancePositive">Model!$951:$951</definedName>
    <definedName name="z_FHFK200110_MO_Checks_SNA_CashFlowisnotRepeated">Model!$952:$952</definedName>
    <definedName name="z_FHFK200110_MO_Checks_SNA_CFFsubtotalFYSumofQs">Model!$961:$961</definedName>
    <definedName name="z_FHFK200110_MO_Checks_SNA_CFIsubtotalFYSumofQs">Model!$960:$960</definedName>
    <definedName name="z_FHFK200110_MO_Checks_SNA_CFOBeforeWCsubtotalFYSumofQs">Model!$958:$958</definedName>
    <definedName name="z_FHFK200110_MO_Checks_SNA_CFOsubtotalFYSumofQs">Model!$959:$959</definedName>
    <definedName name="z_FHFK200110_MO_Checks_SNA_CUPCUPinBS">Model!$947:$947</definedName>
    <definedName name="z_FHFK200110_MO_Checks_SNA_DACVOBADACVOBAinBS">Model!$945:$945</definedName>
    <definedName name="z_FHFK200110_MO_Checks_SNA_EndingCFEndingCumulativeCF">Model!$955:$955</definedName>
    <definedName name="z_FHFK200110_MO_Checks_SNA_GLRGLRinBS">Model!$948:$948</definedName>
    <definedName name="z_FHFK200110_MO_Checks_SNA_GUPRGUPRinBS">Model!$946:$946</definedName>
    <definedName name="z_FHFK200110_MO_Checks_SNA_IncomeStatementisnotRepeated">Model!$953:$953</definedName>
    <definedName name="z_FHFK200110_MO_Checks_SNA_LossLAELossLAEinRIS">Model!$939:$939</definedName>
    <definedName name="z_FHFK200110_MO_Checks_SNA_NEPNEPinRIS">Model!$938:$938</definedName>
    <definedName name="z_FHFK200110_MO_Checks_SNA_NetIncomeonReportedISNIonRevised">Model!$937:$937</definedName>
    <definedName name="z_FHFK200110_MO_Checks_SNA_NetIncomeonRevisedISNIonCFstatement">Model!$936:$936</definedName>
    <definedName name="z_FHFK200110_MO_Checks_SNA_NetInvestmentGainNetInvestmentGaininRIS">Model!$943:$943</definedName>
    <definedName name="z_FHFK200110_MO_Checks_SNA_NetInvestmentIncomeNetInvestmentIncomeinRIS">Model!$942:$942</definedName>
    <definedName name="z_FHFK200110_MO_Checks_SNA_NetTechnicalReserveNUPRNLR">Model!$950:$950</definedName>
    <definedName name="z_FHFK200110_MO_Checks_SNA_OtherOperatingExpenseOtherOperatingExpenseinRIS">Model!$941:$941</definedName>
    <definedName name="z_FHFK200110_MO_Checks_SNA_PolicyAcquisitionExpensePAEinRIS">Model!$940:$940</definedName>
    <definedName name="z_FHFK200110_MO_Checks_SNA_RISAdjustedNIFYSumofQs">Model!$957:$957</definedName>
    <definedName name="z_FHFK200110_MO_Checks_SNA_RISNIFYSumofQs">Model!$956:$956</definedName>
    <definedName name="z_FHFK200110_MO_Checks_SNA_RRRRinBS">Model!$949:$949</definedName>
    <definedName name="z_FHFK200110_MO_Checks_SNA_UnderwritingExpenseTotalExpense">Model!$944:$944</definedName>
    <definedName name="z_FHFK200110_MO_DAF_AmortizationaspercentageofIntangiblesBoP">Model!$882:$882</definedName>
    <definedName name="z_FHFK200110_MO_DAF_Amortizationofintangibles">Model!$876:$876</definedName>
    <definedName name="z_FHFK200110_MO_DAF_Capexofintangibles">Model!$877:$877</definedName>
    <definedName name="z_FHFK200110_MO_DAF_CapexofPPE">Model!$871:$871</definedName>
    <definedName name="z_FHFK200110_MO_DAF_DepreciationaspercentageofPPEBoP">Model!$881:$881</definedName>
    <definedName name="z_FHFK200110_MO_DAF_Depreciationoffixedassets">Model!$870:$870</definedName>
    <definedName name="z_FHFK200110_MO_DAF_Impliedlifeoffixedassets">Model!$883:$883</definedName>
    <definedName name="z_FHFK200110_MO_DAF_Impliedlifeofintangibles">Model!$884:$884</definedName>
    <definedName name="z_FHFK200110_MO_DAF_IntangiblesBoP">Model!$875:$875</definedName>
    <definedName name="z_FHFK200110_MO_DAF_IntangiblesEoP">Model!$879:$879</definedName>
    <definedName name="z_FHFK200110_MO_DAF_Othernetadditionstointangibles">Model!$878:$878</definedName>
    <definedName name="z_FHFK200110_MO_DAF_OthernetadditionstoPPE">Model!$872:$872</definedName>
    <definedName name="z_FHFK200110_MO_DAF_Percentageofcapexallocatedtointangibleassets">Model!$888:$888</definedName>
    <definedName name="z_FHFK200110_MO_DAF_PPEBoP">Model!$869:$869</definedName>
    <definedName name="z_FHFK200110_MO_DAF_PPEEoP">Model!$873:$873</definedName>
    <definedName name="z_FHFK200110_MO_DAF_TotalCapex">Model!$887:$887</definedName>
    <definedName name="z_FHFK200110_MO_DAF_TotalDA">Model!$886:$886</definedName>
    <definedName name="z_FHFK200110_MO_DS_DividendPerCommonShare">Model!$669:$669</definedName>
    <definedName name="z_FHFK200110_MO_DS_DividendsPaidtoCommonShareholders">Model!$668:$668</definedName>
    <definedName name="z_FHFK200110_MO_DS_PayoutRatio">Model!$671:$671</definedName>
    <definedName name="z_FHFK200110_MO_GA_AgencyPersonalLinesnetwrittenpremiumsgrowth">Model!$51:$51</definedName>
    <definedName name="z_FHFK200110_MO_GA_DirectPersonalLinesnetwrittenpremiumsgrowth">Model!$80:$80</definedName>
    <definedName name="z_FHFK200110_MO_Header_ColumnHeader">Model!$5:$5</definedName>
    <definedName name="z_FHFK200110_MO_Header_CompanySubTitle">Model!$2:$2</definedName>
    <definedName name="z_FHFK200110_MO_Header_CompanyTitle">Model!$1:$1</definedName>
    <definedName name="z_FHFK200110_MO_Header_FPDays">Model!$3:$3</definedName>
    <definedName name="z_FHFK200110_MO_Header_HeaderRow">'Exec Comp'!$1:$1</definedName>
    <definedName name="z_FHFK200110_MO_Header_HeaderRow_1">'Exec Comp'!$2:$2</definedName>
    <definedName name="z_FHFK200110_MO_Header_HeaderRow_2">'Exec Comp'!$3:$3</definedName>
    <definedName name="z_FHFK200110_MO_Header_HeaderRow_3">'Exec Comp'!$4:$4</definedName>
    <definedName name="z_FHFK200110_MO_Header_HeaderRow_4">'Exec Comp'!$5:$5</definedName>
    <definedName name="z_FHFK200110_MO_Header_QEndDate">Model!$4:$4</definedName>
    <definedName name="z_FHFK200110_MO_IS_Feesandotherrevenues">Model!$579:$579</definedName>
    <definedName name="z_FHFK200110_MO_IS_Gainslossesonextinguishmentofdebt">Model!$581:$581</definedName>
    <definedName name="z_FHFK200110_MO_IS_Goodwillimpairment">Model!$589:$589</definedName>
    <definedName name="z_FHFK200110_MO_IS_incomebeforeincometaxes">Model!$592:$592</definedName>
    <definedName name="z_FHFK200110_MO_IS_interestexpense">Model!$590:$590</definedName>
    <definedName name="z_FHFK200110_MO_IS_investmentexpenses">Model!$587:$587</definedName>
    <definedName name="z_FHFK200110_MO_IS_investmentincome">Model!$572:$572</definedName>
    <definedName name="z_FHFK200110_MO_IS_ISCheck">Model!$600:$600</definedName>
    <definedName name="z_FHFK200110_MO_IS_lossesandlossadjustmentexpenses">Model!$583:$583</definedName>
    <definedName name="z_FHFK200110_MO_IS_Netholdingperiodgainslossesonsecurities">Model!$577:$577</definedName>
    <definedName name="z_FHFK200110_MO_IS_netimpairmentlossesrecognizedinearnings">Model!$575:$575</definedName>
    <definedName name="z_FHFK200110_MO_IS_netincome">Model!$594:$594</definedName>
    <definedName name="z_FHFK200110_MO_IS_netincomeattributabletoprogressive">Model!$596:$596</definedName>
    <definedName name="z_FHFK200110_MO_IS_Netincomeavailabletocommonshareholders">Model!$598:$598</definedName>
    <definedName name="z_FHFK200110_MO_IS_netincomelossattributabletononcontrollinginterestnci">Model!$595:$595</definedName>
    <definedName name="z_FHFK200110_MO_IS_netpremiumsearned">Model!$571:$571</definedName>
    <definedName name="z_FHFK200110_MO_IS_netrealizedgainslossesonsecurities">Model!$576:$576</definedName>
    <definedName name="z_FHFK200110_MO_IS_noncreditlosses">Model!$574:$574</definedName>
    <definedName name="z_FHFK200110_MO_IS_Otherunderwritingexpenses">Model!$585:$585</definedName>
    <definedName name="z_FHFK200110_MO_IS_Policyacquisitioncosts">Model!$584:$584</definedName>
    <definedName name="z_FHFK200110_MO_IS_Policyholdercreditexpense">Model!$586:$586</definedName>
    <definedName name="z_FHFK200110_MO_IS_Preferredsharedividends">Model!$597:$597</definedName>
    <definedName name="z_FHFK200110_MO_IS_provisionforincometaxes">Model!$593:$593</definedName>
    <definedName name="z_FHFK200110_MO_IS_serviceexpenses">Model!$588:$588</definedName>
    <definedName name="z_FHFK200110_MO_IS_servicerevenues">Model!$580:$580</definedName>
    <definedName name="z_FHFK200110_MO_IS_totalexpenses">Model!$591:$591</definedName>
    <definedName name="z_FHFK200110_MO_IS_totalnetrealizedgainslossesonsecurities">Model!$578:$578</definedName>
    <definedName name="z_FHFK200110_MO_IS_totalottilosses">Model!$573:$573</definedName>
    <definedName name="z_FHFK200110_MO_IS_totalrevenues">Model!$582:$582</definedName>
    <definedName name="z_FHFK200110_MO_MA_AverageFXRate">Model!$730:$730</definedName>
    <definedName name="z_FHFK200110_MO_MA_EoPFXRate">Model!$731:$731</definedName>
    <definedName name="z_FHFK200110_MO_MA_StockEoP">Model!$729:$729</definedName>
    <definedName name="z_FHFK200110_MO_MA_StockPriceTradingCurAvg">Model!$732:$732</definedName>
    <definedName name="z_FHFK200110_MO_OS_AdjustedEarningsPerShareNoAdjustmentsWAD">Model!$25:$25</definedName>
    <definedName name="z_FHFK200110_MO_OS_AgencyAutoAnnualizedEarnedPremiumperPolicy">Model!$47:$47</definedName>
    <definedName name="z_FHFK200110_MO_OS_AgencyAutoLossLAEimplied">Model!$278:$278</definedName>
    <definedName name="z_FHFK200110_MO_OS_AgencyAutoLossLAERatio">Model!$59:$59</definedName>
    <definedName name="z_FHFK200110_MO_OS_AgencyAutoNewApplicationsGrowth">Model!$322:$322</definedName>
    <definedName name="z_FHFK200110_MO_OS_AgencyAutoPersonalLinesPercentageofWrittenPremiumsEarned">Model!$53:$53</definedName>
    <definedName name="z_FHFK200110_MO_OS_AgencyAutoPoliciesinForceAvgofPeriod">Model!$45:$45</definedName>
    <definedName name="z_FHFK200110_MO_OS_AgencyAutoPoliciesinForceBeginningofPeriod">Model!$40:$40</definedName>
    <definedName name="z_FHFK200110_MO_OS_AgencyAutoPoliciesinForceChangeduringperiod">Model!$41:$41</definedName>
    <definedName name="z_FHFK200110_MO_OS_AgencyAutoPoliciesinForceEndofPeriod">Model!$203:$203</definedName>
    <definedName name="z_FHFK200110_MO_OS_AgencyAutoPoliciesinForceEndofPeriod_1">Model!$42:$42</definedName>
    <definedName name="z_FHFK200110_MO_OS_AgencyAutoPolicyLifeExpectancyTrailing12MonthsGrowth">Model!$328:$328</definedName>
    <definedName name="z_FHFK200110_MO_OS_AgencyAutoPolicyLifeExpectancyTrailing3MonthsGrowth">Model!$327:$327</definedName>
    <definedName name="z_FHFK200110_MO_OS_AgencyAutoRenewalApplicationsGrowth">Model!$323:$323</definedName>
    <definedName name="z_FHFK200110_MO_OS_AgencyAutoUnderwritingExpenseRatio">Model!$62:$62</definedName>
    <definedName name="z_FHFK200110_MO_OS_AgencyAutoUnderwritingIncome">Model!$64:$64</definedName>
    <definedName name="z_FHFK200110_MO_OS_AgencyAutoUnderwritingMargin">Model!$301:$301</definedName>
    <definedName name="z_FHFK200110_MO_OS_AgencyAutoWrittenPremiumPerPolicyGrowth">Model!$325:$325</definedName>
    <definedName name="z_FHFK200110_MO_OS_AgencyPersonalLinesCombinedRatio">Model!$65:$65</definedName>
    <definedName name="z_FHFK200110_MO_OS_AgencyPersonalLinesLossLAEimplied">Model!$58:$58</definedName>
    <definedName name="z_FHFK200110_MO_OS_AgencyPersonalLinesLossLAERatio">Model!$259:$259</definedName>
    <definedName name="z_FHFK200110_MO_OS_AgencyPersonalLinesNetEarnedPremiums">Model!$230:$230</definedName>
    <definedName name="z_FHFK200110_MO_OS_AgencyPersonalLinesNetEarnedPremiums_1">Model!$55:$55</definedName>
    <definedName name="z_FHFK200110_MO_OS_AgencyPersonalLinesNetEarnedPremiumsofTotalNetEarnedPremium">Model!$239:$239</definedName>
    <definedName name="z_FHFK200110_MO_OS_AgencyPersonalLinesNetWrittenPremiums">Model!$214:$214</definedName>
    <definedName name="z_FHFK200110_MO_OS_AgencyPersonalLinesNetWrittenPremiums_1">Model!$50:$50</definedName>
    <definedName name="z_FHFK200110_MO_OS_AgencyPersonalLinespercentageofwrittenpremiumsearned">Model!$222:$222</definedName>
    <definedName name="z_FHFK200110_MO_OS_AgencyPersonalLinesUnderwritingExpenseimplied">Model!$61:$61</definedName>
    <definedName name="z_FHFK200110_MO_OS_AgencyPersonalLinesUnderwritingExpenseRatio">Model!$286:$286</definedName>
    <definedName name="z_FHFK200110_MO_OS_AgencyPersonalLinesUnderwritingIncomemm">Model!$293:$293</definedName>
    <definedName name="z_FHFK200110_MO_OS_AgencyPersonalLinesUnderwritingMargin">Model!$67:$67</definedName>
    <definedName name="z_FHFK200110_MO_OS_Agencyresidentialpassthroughobligations_4">Model!$447:$447</definedName>
    <definedName name="z_FHFK200110_MO_OS_Agencyresidentialpassthroughobligationsavgofperiod">Model!$393:$393</definedName>
    <definedName name="z_FHFK200110_MO_OS_AgencyresidentialpassthroughobligationsEndofPeriod">Model!$382:$382</definedName>
    <definedName name="z_FHFK200110_MO_OS_Agencyresidentialpassthroughobligationsyield">Model!$428:$428</definedName>
    <definedName name="z_FHFK200110_MO_OS_AllOtherNetPremiumWritten">Model!$372:$372</definedName>
    <definedName name="z_FHFK200110_MO_OS_ArizonaNetPremiumWritten">Model!$370:$370</definedName>
    <definedName name="z_FHFK200110_MO_OS_CaliforniaNetPremiumWritten">Model!$363:$363</definedName>
    <definedName name="z_FHFK200110_MO_OS_CatastropheLossesIncurred">Model!$273:$273</definedName>
    <definedName name="z_FHFK200110_MO_OS_CatastropheLossesIncurred_2">Model!$505:$505</definedName>
    <definedName name="z_FHFK200110_MO_OS_CatastropheLossesIncurredRatio">Model!$254:$254</definedName>
    <definedName name="z_FHFK200110_MO_OS_CededUnearnedPremiums">Model!$549:$549</definedName>
    <definedName name="z_FHFK200110_MO_OS_CEOAllothercompensation">'Exec Comp'!$10:$10</definedName>
    <definedName name="z_FHFK200110_MO_OS_CEOBasePay">'Exec Comp'!$7:$7</definedName>
    <definedName name="z_FHFK200110_MO_OS_CEOcomptiedtoequity">'Exec Comp'!$12:$12</definedName>
    <definedName name="z_FHFK200110_MO_OS_CEOEoPsharesbeneficiallyowned">'Exec Comp'!$15:$15</definedName>
    <definedName name="z_FHFK200110_MO_OS_CEONonequityincentiveplans">'Exec Comp'!$9:$9</definedName>
    <definedName name="z_FHFK200110_MO_OS_CEOStockAwards">'Exec Comp'!$8:$8</definedName>
    <definedName name="z_FHFK200110_MO_OS_CEOStockOwnershipGuidelinestimesbasesalary">'Exec Comp'!$86:$86</definedName>
    <definedName name="z_FHFK200110_MO_OS_CEOTotalComp">'Exec Comp'!$11:$11</definedName>
    <definedName name="z_FHFK200110_MO_OS_CFOAllothercompensation">'Exec Comp'!$20:$20</definedName>
    <definedName name="z_FHFK200110_MO_OS_CFOBasePay">'Exec Comp'!$17:$17</definedName>
    <definedName name="z_FHFK200110_MO_OS_CFOcomptiedtoequity">'Exec Comp'!$22:$22</definedName>
    <definedName name="z_FHFK200110_MO_OS_CFOEoPsharesbeneficiallyowned">'Exec Comp'!$24:$24</definedName>
    <definedName name="z_FHFK200110_MO_OS_CFONonequityincentiveplans">'Exec Comp'!$19:$19</definedName>
    <definedName name="z_FHFK200110_MO_OS_CFOStockAwards">'Exec Comp'!$18:$18</definedName>
    <definedName name="z_FHFK200110_MO_OS_CFOTotalComp">'Exec Comp'!$21:$21</definedName>
    <definedName name="z_FHFK200110_MO_OS_ChangeinCededUnearnedPremiums">Model!$553:$553</definedName>
    <definedName name="z_FHFK200110_MO_OS_ChangeinDACandVOBA">Model!$316:$316</definedName>
    <definedName name="z_FHFK200110_MO_OS_ChangeinGrossUnearnedPremiumReserves">Model!$552:$552</definedName>
    <definedName name="z_FHFK200110_MO_OS_ChangeinNetLossReserves">Model!$563:$563</definedName>
    <definedName name="z_FHFK200110_MO_OS_ChangeinNetUnearnedPremiumReserves">Model!$554:$554</definedName>
    <definedName name="z_FHFK200110_MO_OS_ChangeinPropertyBusinessEndofPeriod">Model!$172:$172</definedName>
    <definedName name="z_FHFK200110_MO_OS_ChangeinTotalCommercialLinesEndofPeriod">Model!$137:$137</definedName>
    <definedName name="z_FHFK200110_MO_OS_ChangeinTotalPersonalLinesEndofPeriod">Model!$102:$102</definedName>
    <definedName name="z_FHFK200110_MO_OS_ChangeinTotalPoliciesinForceEndofPeriod">"Deleted"</definedName>
    <definedName name="z_FHFK200110_MO_OS_CMOAllothercompensation">'Exec Comp'!$30:$30</definedName>
    <definedName name="z_FHFK200110_MO_OS_CMOBasePay">'Exec Comp'!$26:$26</definedName>
    <definedName name="z_FHFK200110_MO_OS_CMOBonus">'Exec Comp'!$27:$27</definedName>
    <definedName name="z_FHFK200110_MO_OS_CMOcomptiedtoequity">'Exec Comp'!$32:$32</definedName>
    <definedName name="z_FHFK200110_MO_OS_CMOEoPsharesbeneficiallyowned">'Exec Comp'!$34:$34</definedName>
    <definedName name="z_FHFK200110_MO_OS_CMONonequityincentiveplans">'Exec Comp'!$29:$29</definedName>
    <definedName name="z_FHFK200110_MO_OS_CMOStockAwards">'Exec Comp'!$28:$28</definedName>
    <definedName name="z_FHFK200110_MO_OS_CMOTotalComp">'Exec Comp'!$31:$31</definedName>
    <definedName name="z_FHFK200110_MO_OS_CombinedRatioexclCatastropheLossesIncurredandPriorAccidentYearsDevelopment">Model!$524:$524</definedName>
    <definedName name="z_FHFK200110_MO_OS_CombinedRatioexclPriorAccidentYearsDevelopment">Model!$529:$529</definedName>
    <definedName name="z_FHFK200110_MO_OS_CommercialLinesAnnualizedEarnedPremiumperPolicy">Model!$140:$140</definedName>
    <definedName name="z_FHFK200110_MO_OS_CommercialLinesCatastropheLossIncurred">Model!$152:$152</definedName>
    <definedName name="z_FHFK200110_MO_OS_CommercialLinesCatastropheLossIncurred_1">Model!$271:$271</definedName>
    <definedName name="z_FHFK200110_MO_OS_CommercialLinesCatastropheLossRatio">Model!$252:$252</definedName>
    <definedName name="z_FHFK200110_MO_OS_CommercialLinesCatastropheLossRatio_1">Model!$156:$156</definedName>
    <definedName name="z_FHFK200110_MO_OS_CommercialLinesLossLAEimplied">Model!$281:$281</definedName>
    <definedName name="z_FHFK200110_MO_OS_CommercialLinesLossLAEimplied_1">Model!$153:$153</definedName>
    <definedName name="z_FHFK200110_MO_OS_CommercialLinesLossLAERatio">Model!$262:$262</definedName>
    <definedName name="z_FHFK200110_MO_OS_CommercialLinesLossLAERatio_4">Model!$157:$157</definedName>
    <definedName name="z_FHFK200110_MO_OS_CommercialLinesLossLAERatioexcludingCatastropheLossesIncurred">Model!$151:$151</definedName>
    <definedName name="z_FHFK200110_MO_OS_CommercialLinesLossLAERatioexcludingCatastropheLossesIncurred_1">Model!$248:$248</definedName>
    <definedName name="z_FHFK200110_MO_OS_CommercialLinesLossLAERatioexcludingCatastropheLossesIncurred_2">Model!$155:$155</definedName>
    <definedName name="z_FHFK200110_MO_OS_CommercialLinesLossLAERatioexcludingCatastropheLossesIncurred_3">Model!$267:$267</definedName>
    <definedName name="z_FHFK200110_MO_OS_CommercialLinesNetEarnedPremiums">Model!$148:$148</definedName>
    <definedName name="z_FHFK200110_MO_OS_CommercialLinesNetEarnedPremiumsofTotalNetEarnedPremium">Model!$242:$242</definedName>
    <definedName name="z_FHFK200110_MO_OS_CommercialLinesNetWrittenPremiums">Model!$143:$143</definedName>
    <definedName name="z_FHFK200110_MO_OS_CommercialLinesNewApplicationsGrowth">Model!$346:$346</definedName>
    <definedName name="z_FHFK200110_MO_OS_CommercialLinesPercentageofWrittenPremiumsEarned">Model!$225:$225</definedName>
    <definedName name="z_FHFK200110_MO_OS_CommercialLinesPoliciesinForceEndofPeriod">Model!$208:$208</definedName>
    <definedName name="z_FHFK200110_MO_OS_CommercialLinesPolicyLifeExpectancyTrailing12MonthsGrowth">Model!$351:$351</definedName>
    <definedName name="z_FHFK200110_MO_OS_CommercialLinesRenewalApplicationsGrowth">Model!$347:$347</definedName>
    <definedName name="z_FHFK200110_MO_OS_CommercialLinesUnderwritingCombinedRatio">Model!$163:$163</definedName>
    <definedName name="z_FHFK200110_MO_OS_CommercialLinesUnderwritingExpenseimplied">Model!$159:$159</definedName>
    <definedName name="z_FHFK200110_MO_OS_CommercialLinesUnderwritingExpenseRatio">Model!$289:$289</definedName>
    <definedName name="z_FHFK200110_MO_OS_CommercialLinesUnderwritingExpenseRatio_1">Model!$160:$160</definedName>
    <definedName name="z_FHFK200110_MO_OS_CommercialLinesUnderwritingIncome_1">Model!$162:$162</definedName>
    <definedName name="z_FHFK200110_MO_OS_CommercialLinesUnderwritingIncomemm">Model!$296:$296</definedName>
    <definedName name="z_FHFK200110_MO_OS_CommercialLinesUnderwritingMargin">Model!$165:$165</definedName>
    <definedName name="z_FHFK200110_MO_OS_CommercialLinesUnderwritingMargin_1">Model!$304:$304</definedName>
    <definedName name="z_FHFK200110_MO_OS_CommercialLinesWrittenPremiumPerPolicyGrowth">Model!$349:$349</definedName>
    <definedName name="z_FHFK200110_MO_OS_Commercialmortgagebackedsecurities">Model!$383:$383</definedName>
    <definedName name="z_FHFK200110_MO_OS_Commercialmortgagebackedsecurities_4">Model!$448:$448</definedName>
    <definedName name="z_FHFK200110_MO_OS_Commercialmortgagebackedsecuritiesavgofperiod">Model!$394:$394</definedName>
    <definedName name="z_FHFK200110_MO_OS_Commercialmortgagebackedsecuritiesyield">Model!$429:$429</definedName>
    <definedName name="z_FHFK200110_MO_OS_commercialnetearnedpremiums">Model!$233:$233</definedName>
    <definedName name="z_FHFK200110_MO_OS_commercialnetwrittenpremiums">Model!$217:$217</definedName>
    <definedName name="z_FHFK200110_MO_OS_commercialnetwrittenpremiumsgrowth">Model!$144:$144</definedName>
    <definedName name="z_FHFK200110_MO_OS_commercialpercentageofwrittenpremiumsearned">Model!$146:$146</definedName>
    <definedName name="z_FHFK200110_MO_OS_commonequities">"Deleted"</definedName>
    <definedName name="z_FHFK200110_MO_OS_Commonequities_5">Model!$411:$411</definedName>
    <definedName name="z_FHFK200110_MO_OS_Commonequities_9">Model!$455:$455</definedName>
    <definedName name="z_FHFK200110_MO_OS_commonequitiesavgbalance">"Deleted"</definedName>
    <definedName name="z_FHFK200110_MO_OS_commonequitiesavgbalancegrowth">"Deleted"</definedName>
    <definedName name="z_FHFK200110_MO_OS_Commonequitiesavgofperiod">Model!$415:$415</definedName>
    <definedName name="z_FHFK200110_MO_OS_commonequitiesnetincome">"Deleted"</definedName>
    <definedName name="z_FHFK200110_MO_OS_Commonequitiesyield_1">Model!$436:$436</definedName>
    <definedName name="z_FHFK200110_MO_OS_commonequitiesyieldannualized">"Deleted"</definedName>
    <definedName name="z_FHFK200110_MO_OS_ConsensusEstimatesAdjustedEarningsPerShare">Model!$26:$26</definedName>
    <definedName name="z_FHFK200110_MO_OS_consensusestimatestotalcombinedratio">Model!$536:$536</definedName>
    <definedName name="z_FHFK200110_MO_OS_ConsensusEstimatesTotalCombinedRatio_1">Model!$22:$22</definedName>
    <definedName name="z_FHFK200110_MO_OS_consensusestimatestotalnetearnedpremiums">Model!$237:$237</definedName>
    <definedName name="z_FHFK200110_MO_OS_ConsensusEstimatesTotalNetEarnedPremiums_1">Model!$18:$18</definedName>
    <definedName name="z_FHFK200110_MO_OS_consensusestimatestotalunderwritingincome">Model!$540:$540</definedName>
    <definedName name="z_FHFK200110_MO_OS_Corporatedebtsecurities">Model!$380:$380</definedName>
    <definedName name="z_FHFK200110_MO_OS_Corporatedebtsecurities_4">Model!$445:$445</definedName>
    <definedName name="z_FHFK200110_MO_OS_Corporatedebtsecuritiesavgofperiod">Model!$391:$391</definedName>
    <definedName name="z_FHFK200110_MO_OS_Corporatedebtsecuritiesyield">Model!$426:$426</definedName>
    <definedName name="z_FHFK200110_MO_OS_Coverpagecommonstockoutstanding">Model!$659:$659</definedName>
    <definedName name="z_FHFK200110_MO_OS_DACandVOBA">Model!$312:$312</definedName>
    <definedName name="z_FHFK200110_MO_OS_Dateofcoverpagesharecount">Model!$660:$660</definedName>
    <definedName name="z_FHFK200110_MO_OS_DebttoCapitalRatio">Model!$704:$704</definedName>
    <definedName name="z_FHFK200110_MO_OS_Dilutedsharecounttobasicsharecountratio">Model!$663:$663</definedName>
    <definedName name="z_FHFK200110_MO_OS_DilutiveShares">Model!$662:$662</definedName>
    <definedName name="z_FHFK200110_MO_OS_DirectAutoAnnualizedEarnedPremiumperPolicy">Model!$76:$76</definedName>
    <definedName name="z_FHFK200110_MO_OS_DirectAutoLossLAEimplied">Model!$279:$279</definedName>
    <definedName name="z_FHFK200110_MO_OS_DirectAutoLossLAERatio">Model!$88:$88</definedName>
    <definedName name="z_FHFK200110_MO_OS_DirectAutoNewApplicationsGrowth">Model!$330:$330</definedName>
    <definedName name="z_FHFK200110_MO_OS_DirectAutoPoliciesinForceAvgofPeriod">Model!$74:$74</definedName>
    <definedName name="z_FHFK200110_MO_OS_DirectAutoPoliciesinForceBeginningofPeriod">Model!$69:$69</definedName>
    <definedName name="z_FHFK200110_MO_OS_DirectAutoPoliciesinForceChangeduringperiod">Model!$70:$70</definedName>
    <definedName name="z_FHFK200110_MO_OS_DirectAutoPoliciesinForceEndofPeriod">Model!$204:$204</definedName>
    <definedName name="z_FHFK200110_MO_OS_DirectAutoPoliciesinForceEndofPeriod_1">Model!$71:$71</definedName>
    <definedName name="z_FHFK200110_MO_OS_DirectAutoPolicyLifeExpectancyTrailing12MonthsGrowth">Model!$336:$336</definedName>
    <definedName name="z_FHFK200110_MO_OS_DirectAutoPolicyLifeExpectancyTrailing3MonthsGrowth">Model!$335:$335</definedName>
    <definedName name="z_FHFK200110_MO_OS_DirectAutoRenewalApplicationsGrowth">Model!$331:$331</definedName>
    <definedName name="z_FHFK200110_MO_OS_DirectAutoUnderwritingExpenseRatio">Model!$91:$91</definedName>
    <definedName name="z_FHFK200110_MO_OS_DirectAutoUnderwritingIncome">Model!$93:$93</definedName>
    <definedName name="z_FHFK200110_MO_OS_DirectAutoUnderwritingMargin">Model!$302:$302</definedName>
    <definedName name="z_FHFK200110_MO_OS_DirectAutoWrittenPremiumPerPolicyGrowth">Model!$333:$333</definedName>
    <definedName name="z_FHFK200110_MO_OS_Director10allothercomp">'Exec Comp'!$78:$78</definedName>
    <definedName name="z_FHFK200110_MO_OS_Director10cashcomp">'Exec Comp'!$52:$52</definedName>
    <definedName name="z_FHFK200110_MO_OS_Director10stockawardcomp">'Exec Comp'!$65:$65</definedName>
    <definedName name="z_FHFK200110_MO_OS_Director11allothercomp">'Exec Comp'!$79:$79</definedName>
    <definedName name="z_FHFK200110_MO_OS_Director11cashcomp">'Exec Comp'!$53:$53</definedName>
    <definedName name="z_FHFK200110_MO_OS_Director11stockawardcomp">'Exec Comp'!$66:$66</definedName>
    <definedName name="z_FHFK200110_MO_OS_Director12allothercomp">'Exec Comp'!$80:$80</definedName>
    <definedName name="z_FHFK200110_MO_OS_Director12cashcomp">'Exec Comp'!$54:$54</definedName>
    <definedName name="z_FHFK200110_MO_OS_Director12stockawardcomp">'Exec Comp'!$67:$67</definedName>
    <definedName name="z_FHFK200110_MO_OS_Director1allothercomp">'Exec Comp'!$69:$69</definedName>
    <definedName name="z_FHFK200110_MO_OS_Director1cashcomp">'Exec Comp'!$43:$43</definedName>
    <definedName name="z_FHFK200110_MO_OS_Director1stockawardcomp">'Exec Comp'!$56:$56</definedName>
    <definedName name="z_FHFK200110_MO_OS_Director2allothercomp">'Exec Comp'!$70:$70</definedName>
    <definedName name="z_FHFK200110_MO_OS_Director2cashcomp">'Exec Comp'!$44:$44</definedName>
    <definedName name="z_FHFK200110_MO_OS_Director2stockawardcomp">'Exec Comp'!$57:$57</definedName>
    <definedName name="z_FHFK200110_MO_OS_Director3allothercomp">'Exec Comp'!$71:$71</definedName>
    <definedName name="z_FHFK200110_MO_OS_Director3cashcomp">'Exec Comp'!$45:$45</definedName>
    <definedName name="z_FHFK200110_MO_OS_Director3stockawardcomp">'Exec Comp'!$58:$58</definedName>
    <definedName name="z_FHFK200110_MO_OS_Director4allothercomp">'Exec Comp'!$72:$72</definedName>
    <definedName name="z_FHFK200110_MO_OS_Director4cashcomp">'Exec Comp'!$46:$46</definedName>
    <definedName name="z_FHFK200110_MO_OS_Director4stockawardcomp">'Exec Comp'!$59:$59</definedName>
    <definedName name="z_FHFK200110_MO_OS_Director5allothercomp">'Exec Comp'!$73:$73</definedName>
    <definedName name="z_FHFK200110_MO_OS_Director5cashcomp">'Exec Comp'!$47:$47</definedName>
    <definedName name="z_FHFK200110_MO_OS_Director5stockawardcomp">'Exec Comp'!$60:$60</definedName>
    <definedName name="z_FHFK200110_MO_OS_Director6allothercomp">'Exec Comp'!$74:$74</definedName>
    <definedName name="z_FHFK200110_MO_OS_Director6cashcomp">'Exec Comp'!$48:$48</definedName>
    <definedName name="z_FHFK200110_MO_OS_Director6stockawardcomp">'Exec Comp'!$61:$61</definedName>
    <definedName name="z_FHFK200110_MO_OS_Director7allothercomp">'Exec Comp'!$75:$75</definedName>
    <definedName name="z_FHFK200110_MO_OS_Director7cashcomp">'Exec Comp'!$49:$49</definedName>
    <definedName name="z_FHFK200110_MO_OS_Director7stockawardcomp">'Exec Comp'!$62:$62</definedName>
    <definedName name="z_FHFK200110_MO_OS_Director8allothercomp">'Exec Comp'!$76:$76</definedName>
    <definedName name="z_FHFK200110_MO_OS_Director8cashcomp">'Exec Comp'!$50:$50</definedName>
    <definedName name="z_FHFK200110_MO_OS_Director8stockawardcomp">'Exec Comp'!$63:$63</definedName>
    <definedName name="z_FHFK200110_MO_OS_Director9allothercomp">'Exec Comp'!$77:$77</definedName>
    <definedName name="z_FHFK200110_MO_OS_Director9cashcomp">'Exec Comp'!$51:$51</definedName>
    <definedName name="z_FHFK200110_MO_OS_Director9stockawardcomp">'Exec Comp'!$64:$64</definedName>
    <definedName name="z_FHFK200110_MO_OS_DirectorsStockOwnershipGuidelines">'Exec Comp'!$88:$88</definedName>
    <definedName name="z_FHFK200110_MO_OS_DirectPersonalLinesCombinedRatio">Model!$94:$94</definedName>
    <definedName name="z_FHFK200110_MO_OS_DirectPersonalLinesLossLAEimplied">Model!$87:$87</definedName>
    <definedName name="z_FHFK200110_MO_OS_DirectPersonalLinesLossLAERatio">Model!$260:$260</definedName>
    <definedName name="z_FHFK200110_MO_OS_DirectPersonalLinesNetEarnedPremiums">Model!$231:$231</definedName>
    <definedName name="z_FHFK200110_MO_OS_DirectPersonalLinesNetEarnedPremiums_1">Model!$84:$84</definedName>
    <definedName name="z_FHFK200110_MO_OS_DirectPersonalLinesNetEarnedPremiumsofTotalNetEarnedPremium">Model!$240:$240</definedName>
    <definedName name="z_FHFK200110_MO_OS_DirectPersonalLinesNetWrittenPremiums">Model!$215:$215</definedName>
    <definedName name="z_FHFK200110_MO_OS_DirectPersonalLinesNetWrittenPremiums_1">Model!$79:$79</definedName>
    <definedName name="z_FHFK200110_MO_OS_DirectPersonalLinespercentageofwrittenpremiumsearned">Model!$223:$223</definedName>
    <definedName name="z_FHFK200110_MO_OS_DirectPersonalLinesPercentageofWrittenPremiumsEarned_1">Model!$82:$82</definedName>
    <definedName name="z_FHFK200110_MO_OS_DirectPersonalLinesUnderwritingExpenseimplied">Model!$90:$90</definedName>
    <definedName name="z_FHFK200110_MO_OS_DirectPersonalLinesUnderwritingExpenseRatio">Model!$287:$287</definedName>
    <definedName name="z_FHFK200110_MO_OS_DirectPersonalLinesUnderwritingIncome">Model!$294:$294</definedName>
    <definedName name="z_FHFK200110_MO_OS_DirectPersonalLinesUnderwritingMargin">Model!$96:$96</definedName>
    <definedName name="z_FHFK200110_MO_OS_Discrepancy">Model!$283:$283</definedName>
    <definedName name="z_FHFK200110_MO_OS_EffectiveInterestRateonDebt">Model!$711:$711</definedName>
    <definedName name="z_FHFK200110_MO_OS_EoPTotalDilutedCommonStockOutstanding">Model!$665:$665</definedName>
    <definedName name="z_FHFK200110_MO_OS_EstimatedSharePriceforIssuanceBuybacks">Model!$708:$708</definedName>
    <definedName name="z_FHFK200110_MO_OS_Feesandotherrevenue_1">"Deleted"</definedName>
    <definedName name="z_FHFK200110_MO_OS_FeesandOtherRevenueMix">Model!$489:$489</definedName>
    <definedName name="z_FHFK200110_MO_OS_Feesandotherrevenues">Model!$467:$467</definedName>
    <definedName name="z_FHFK200110_MO_OS_Feesandotherrevenuesgrowth">Model!$468:$468</definedName>
    <definedName name="z_FHFK200110_MO_OS_fixedmaturities">"Deleted"</definedName>
    <definedName name="z_FHFK200110_MO_OS_fixedmaturitiesavgbalance">"Deleted"</definedName>
    <definedName name="z_FHFK200110_MO_OS_fixedmaturitiesavgbalancegrowth">"Deleted"</definedName>
    <definedName name="z_FHFK200110_MO_OS_fixedmaturitiesnetincome">"Deleted"</definedName>
    <definedName name="z_FHFK200110_MO_OS_fixedmaturitiesyieldannualized">"Deleted"</definedName>
    <definedName name="z_FHFK200110_MO_OS_FloridaNetPremiumWritten">Model!$361:$361</definedName>
    <definedName name="z_FHFK200110_MO_OS_Foreigngovernmentobligations_4">Model!$444:$444</definedName>
    <definedName name="z_FHFK200110_MO_OS_Foreigngovernmentobligationsavgofperiod">Model!$390:$390</definedName>
    <definedName name="z_FHFK200110_MO_OS_ForeigngovernmentobligationsEndofPeriod">Model!$379:$379</definedName>
    <definedName name="z_FHFK200110_MO_OS_Foreigngovernmentobligationsyield">Model!$425:$425</definedName>
    <definedName name="z_FHFK200110_MO_OS_Gainslossesonextinguishmentofdebt">Model!$469:$469</definedName>
    <definedName name="z_FHFK200110_MO_OS_GainsLossesonExtinguishmentofDebt_1">Model!$482:$482</definedName>
    <definedName name="z_FHFK200110_MO_OS_GainsLossesonExtinguishmentofDebt_2">Model!$497:$497</definedName>
    <definedName name="z_FHFK200110_MO_OS_GeorgiaNetPremiumWritten">Model!$364:$364</definedName>
    <definedName name="z_FHFK200110_MO_OS_GrossLossReserves">Model!$557:$557</definedName>
    <definedName name="z_FHFK200110_MO_OS_GrossUnearnedPremiumReserves">Model!$548:$548</definedName>
    <definedName name="z_FHFK200110_MO_OS_InterestExpense">Model!$710:$710</definedName>
    <definedName name="z_FHFK200110_MO_OS_InterestExpense_1">Model!$496:$496</definedName>
    <definedName name="z_FHFK200110_MO_OS_investmentexpenses">"Deleted"</definedName>
    <definedName name="z_FHFK200110_MO_OS_Investmentexpenses_1">Model!$458:$458</definedName>
    <definedName name="z_FHFK200110_MO_OS_Investmentexpenseyield">Model!$439:$439</definedName>
    <definedName name="z_FHFK200110_MO_OS_Investmentincome_1">Model!$457:$457</definedName>
    <definedName name="z_FHFK200110_MO_OS_Investmentincomeyield">Model!$438:$438</definedName>
    <definedName name="z_FHFK200110_MO_OS_Longtermdebt">Model!$699:$699</definedName>
    <definedName name="z_FHFK200110_MO_OS_LossandLAEexclCatastropheLossesIncurredandPriorAccidentYearsDevelopment">Model!$269:$269</definedName>
    <definedName name="z_FHFK200110_MO_OS_LossandLAEexclCatastropheLossesIncurredandPriorAccidentYearsDevelopment_1">Model!$504:$504</definedName>
    <definedName name="z_FHFK200110_MO_OS_LossandLAEexclPriorAccidentYearsDevelopment">Model!$274:$274</definedName>
    <definedName name="z_FHFK200110_MO_OS_LossandLAEexclPriorAccidentYearsDevelopment_1">Model!$506:$506</definedName>
    <definedName name="z_FHFK200110_MO_OS_LossandLAEIncurred">Model!$561:$561</definedName>
    <definedName name="z_FHFK200110_MO_OS_LossandLAEPaidImplied">Model!$562:$562</definedName>
    <definedName name="z_FHFK200110_MO_OS_LossandLAERatioexclCatastropheLossesIncurredandPriorAccidentYearsDevelopment">Model!$250:$250</definedName>
    <definedName name="z_FHFK200110_MO_OS_LossandLAEratioexclPriorAccidentYearsDevelopment">Model!$255:$255</definedName>
    <definedName name="z_FHFK200110_MO_OS_LossPayoutRatio">Model!$565:$565</definedName>
    <definedName name="z_FHFK200110_MO_OS_LouisianaNetPremiumWritten">Model!$371:$371</definedName>
    <definedName name="z_FHFK200110_MO_OS_MarketCapEoP">'Exec Comp'!$13:$13</definedName>
    <definedName name="z_FHFK200110_MO_OS_MarketCapEoP_1">'Exec Comp'!$83:$83</definedName>
    <definedName name="z_FHFK200110_MO_OS_MichiganNetPremiumWritten">Model!$366:$366</definedName>
    <definedName name="z_FHFK200110_MO_OS_NEOreportingtoCEOStockOwnershipGuidelines">'Exec Comp'!$87:$87</definedName>
    <definedName name="z_FHFK200110_MO_OS_NetDebtIssuanceRepayment">Model!$706:$706</definedName>
    <definedName name="z_FHFK200110_MO_OS_NetEarnedPremiumofTotalRevenue">Model!$485:$485</definedName>
    <definedName name="z_FHFK200110_MO_OS_NetIncomefromContinuedOperation">"Deleted"</definedName>
    <definedName name="z_FHFK200110_MO_OS_NetInvestmentGains">Model!$462:$462</definedName>
    <definedName name="z_FHFK200110_MO_OS_NetInvestmentGains_2">Model!$479:$479</definedName>
    <definedName name="z_FHFK200110_MO_OS_NetInvestmentGainsasaofTotalInvestments">Model!$461:$461</definedName>
    <definedName name="z_FHFK200110_MO_OS_NetInvestmentGainsofTotalRevenue">Model!$487:$487</definedName>
    <definedName name="z_FHFK200110_MO_OS_NetInvestmentIncome">Model!$459:$459</definedName>
    <definedName name="z_FHFK200110_MO_OS_NetInvestmentIncome_2">Model!$478:$478</definedName>
    <definedName name="z_FHFK200110_MO_OS_NetInvestmentIncome_4">Model!$494:$494</definedName>
    <definedName name="z_FHFK200110_MO_OS_NetInvestmentIncomeofTotalRevenue">Model!$486:$486</definedName>
    <definedName name="z_FHFK200110_MO_OS_NetInvestmentIncomeYieldAnnualized">Model!$440:$440</definedName>
    <definedName name="z_FHFK200110_MO_OS_NetLossReserves">Model!$559:$559</definedName>
    <definedName name="z_FHFK200110_MO_OS_NetShareIssuanceBuybacks">Model!$707:$707</definedName>
    <definedName name="z_FHFK200110_MO_OS_NetUnearnedPremiumReserves">Model!$550:$550</definedName>
    <definedName name="z_FHFK200110_MO_OS_NewJerseyNetPremiumWritten">Model!$369:$369</definedName>
    <definedName name="z_FHFK200110_MO_OS_NewYorkNetPremiumWritten">Model!$365:$365</definedName>
    <definedName name="z_FHFK200110_MO_OS_nonredeemablepreferredstocks">"Deleted"</definedName>
    <definedName name="z_FHFK200110_MO_OS_Nonredeemablepreferredstocks_5">Model!$410:$410</definedName>
    <definedName name="z_FHFK200110_MO_OS_Nonredeemablepreferredstocks_9">Model!$454:$454</definedName>
    <definedName name="z_FHFK200110_MO_OS_nonredeemablepreferredstocksavgbalance">"Deleted"</definedName>
    <definedName name="z_FHFK200110_MO_OS_nonredeemablepreferredstocksavgbalancegrowth">"Deleted"</definedName>
    <definedName name="z_FHFK200110_MO_OS_Nonredeemablepreferredstocksavgofperiod">Model!$414:$414</definedName>
    <definedName name="z_FHFK200110_MO_OS_nonredeemablepreferredstocksnetincome">"Deleted"</definedName>
    <definedName name="z_FHFK200110_MO_OS_Nonredeemablepreferredstocksyield_1">Model!$435:$435</definedName>
    <definedName name="z_FHFK200110_MO_OS_nonredeemablepreferredstocksyieldannualized">"Deleted"</definedName>
    <definedName name="z_FHFK200110_MO_OS_OhioNetPremiumWritten">Model!$367:$367</definedName>
    <definedName name="z_FHFK200110_MO_OS_OnetimeUnderwritingExpense">Model!$521:$521</definedName>
    <definedName name="z_FHFK200110_MO_OS_Otherassetbackedsecurities">Model!$384:$384</definedName>
    <definedName name="z_FHFK200110_MO_OS_Otherassetbackedsecurities_4">Model!$449:$449</definedName>
    <definedName name="z_FHFK200110_MO_OS_Otherassetbackedsecuritiesavgofperiod">Model!$395:$395</definedName>
    <definedName name="z_FHFK200110_MO_OS_Otherassetbackedsecuritiesyield">Model!$430:$430</definedName>
    <definedName name="z_FHFK200110_MO_OS_OtherIndemnitynetearnedpremiums">Model!$235:$235</definedName>
    <definedName name="z_FHFK200110_MO_OS_OtherIndemnityNetEarnedPremiumsofTotalNetEarnedPremium">"Deleted"</definedName>
    <definedName name="z_FHFK200110_MO_OS_OtherIndemnitynetwrittenpremiums">Model!$219:$219</definedName>
    <definedName name="z_FHFK200110_MO_OS_OtherIndemnityNetWrittenPremiums_1">Model!$244:$244</definedName>
    <definedName name="z_FHFK200110_MO_OS_OtherIndemnitypercentageofwrittenpremiumsearned">Model!$227:$227</definedName>
    <definedName name="z_FHFK200110_MO_OS_OtherIndemnityUnderwritingIncome">Model!$298:$298</definedName>
    <definedName name="z_FHFK200110_MO_OS_OtherIndemnityUnderwritingMargin">Model!$306:$306</definedName>
    <definedName name="z_FHFK200110_MO_OS_PennsylvaniaNetPremiumWritten">Model!$368:$368</definedName>
    <definedName name="z_FHFK200110_MO_OS_PercentageofSpecialLinePoliciesWrittenFromtheAgencyChannel">Model!$38:$38</definedName>
    <definedName name="z_FHFK200110_MO_OS_PercentageofTotalWrittenPremiumsEarned">Model!$228:$228</definedName>
    <definedName name="z_FHFK200110_MO_OS_PersonalLinesLossLAEimplied">Model!$118:$118</definedName>
    <definedName name="z_FHFK200110_MO_OS_PersonalLinesLossLAERatio">Model!$261:$261</definedName>
    <definedName name="z_FHFK200110_MO_OS_personallinesnetearnedpremiums">Model!$232:$232</definedName>
    <definedName name="z_FHFK200110_MO_OS_PersonalLinesNetEarnedPremiums_1">Model!$113:$113</definedName>
    <definedName name="z_FHFK200110_MO_OS_PersonalLinesNetEarnedPremiumsofTotalNetEarnedPremium">Model!$241:$241</definedName>
    <definedName name="z_FHFK200110_MO_OS_PersonalLinesNetWrittenPremiums">Model!$108:$108</definedName>
    <definedName name="z_FHFK200110_MO_OS_PersonalLinesUnderwritingCombinedRatio">Model!$128:$128</definedName>
    <definedName name="z_FHFK200110_MO_OS_PersonalLinesUnderwritingExpenseimplied">Model!$124:$124</definedName>
    <definedName name="z_FHFK200110_MO_OS_PersonalLinesUnderwritingExpenseRatio">Model!$288:$288</definedName>
    <definedName name="z_FHFK200110_MO_OS_PersonalLinesUnderwritingIncome">"Deleted"</definedName>
    <definedName name="z_FHFK200110_MO_OS_PersonalLinesUnderwritingMargin">Model!$130:$130</definedName>
    <definedName name="z_FHFK200110_MO_OS_personalnetwrittenpremiums">Model!$216:$216</definedName>
    <definedName name="z_FHFK200110_MO_OS_personalnetwrittenpremiumsgrowth">Model!$109:$109</definedName>
    <definedName name="z_FHFK200110_MO_OS_personalpercentageofwrittenpremiumsearned">Model!$224:$224</definedName>
    <definedName name="z_FHFK200110_MO_OS_PolicyAcquisitionExpenseIncurred">Model!$314:$314</definedName>
    <definedName name="z_FHFK200110_MO_OS_PolicyAcquisitionExpensePaidImplied">Model!$315:$315</definedName>
    <definedName name="z_FHFK200110_MO_OS_PolicyAcquisitionExpensePayoutRatio">Model!$318:$318</definedName>
    <definedName name="z_FHFK200110_MO_OS_PriorAccidentYearsDevelopment">Model!$275:$275</definedName>
    <definedName name="z_FHFK200110_MO_OS_PriorAccidentYearsDevelopment_1">Model!$256:$256</definedName>
    <definedName name="z_FHFK200110_MO_OS_PriorAccidentYearsDevelopment_2">Model!$507:$507</definedName>
    <definedName name="z_FHFK200110_MO_OS_PropertyBusinessAnnualizedEarnedPremiumperPolicy">Model!$175:$175</definedName>
    <definedName name="z_FHFK200110_MO_OS_PropertyBusinessAvgofPeriod">Model!$173:$173</definedName>
    <definedName name="z_FHFK200110_MO_OS_PropertyBusinessBeginningofPeriod">Model!$168:$168</definedName>
    <definedName name="z_FHFK200110_MO_OS_PropertyBusinessCatastropheLossIncurred">Model!$272:$272</definedName>
    <definedName name="z_FHFK200110_MO_OS_PropertyBusinessCatastropheLossIncurred_1">Model!$187:$187</definedName>
    <definedName name="z_FHFK200110_MO_OS_PropertyBusinessCatastropheLossRatio">Model!$253:$253</definedName>
    <definedName name="z_FHFK200110_MO_OS_PropertyBusinessCatastropheLossRatio_1">Model!$191:$191</definedName>
    <definedName name="z_FHFK200110_MO_OS_PropertyBusinessChangeduringperiod">Model!$169:$169</definedName>
    <definedName name="z_FHFK200110_MO_OS_PropertyBusinessEndofPeriod">Model!$170:$170</definedName>
    <definedName name="z_FHFK200110_MO_OS_PropertyBusinessLossLAEimplied">Model!$188:$188</definedName>
    <definedName name="z_FHFK200110_MO_OS_PropertyBusinessLossLAERatio_3">Model!$192:$192</definedName>
    <definedName name="z_FHFK200110_MO_OS_PropertyBusinessLossLAERatioexcludingCatastropheLossesIncurred">Model!$186:$186</definedName>
    <definedName name="z_FHFK200110_MO_OS_PropertyBusinessLossLAERatioexcludingCatastropheLossesIncurred_1">Model!$249:$249</definedName>
    <definedName name="z_FHFK200110_MO_OS_PropertyBusinessLossLAERatioexcludingCatastropheLossesIncurred_2">Model!$190:$190</definedName>
    <definedName name="z_FHFK200110_MO_OS_PropertyBusinessLossLAERatioexcludingCatastropheLossesIncurred_3">Model!$268:$268</definedName>
    <definedName name="z_FHFK200110_MO_OS_PropertyBusinessPercentageofWrittenPremiumsEarned">Model!$181:$181</definedName>
    <definedName name="z_FHFK200110_MO_OS_PropertyBusinessPercentageofWrittenPremiumsEarned_1">Model!$226:$226</definedName>
    <definedName name="z_FHFK200110_MO_OS_PropertyBusinessPoliciesinForceEndofPeriod">Model!$209:$209</definedName>
    <definedName name="z_FHFK200110_MO_OS_PropertyBusinessUnderwritingExpenseRatio">Model!$195:$195</definedName>
    <definedName name="z_FHFK200110_MO_OS_PropertyBusinessUnderwritingIncome">Model!$197:$197</definedName>
    <definedName name="z_FHFK200110_MO_OS_PropertyBusinessUnderwritingMargin">Model!$305:$305</definedName>
    <definedName name="z_FHFK200110_MO_OS_PropertyLinesNewApplicationsGrowth">Model!$353:$353</definedName>
    <definedName name="z_FHFK200110_MO_OS_PropertyLinesPolicyLifeExpectancyTrailing12MonthsGrowth">Model!$358:$358</definedName>
    <definedName name="z_FHFK200110_MO_OS_PropertyLinesRenewalApplicationsGrowth">Model!$354:$354</definedName>
    <definedName name="z_FHFK200110_MO_OS_PropertyLinesWrittenPremiumPerPolicyGrowth">Model!$356:$356</definedName>
    <definedName name="z_FHFK200110_MO_OS_PropertyLossLAEimplied">Model!$282:$282</definedName>
    <definedName name="z_FHFK200110_MO_OS_PropertyLossLAERatio">Model!$263:$263</definedName>
    <definedName name="z_FHFK200110_MO_OS_propertynetearnedpremiums">Model!$234:$234</definedName>
    <definedName name="z_FHFK200110_MO_OS_PropertyNetEarnedPremiums_1">Model!$183:$183</definedName>
    <definedName name="z_FHFK200110_MO_OS_PropertyNetEarnedPremiumsofTotalNetEarnedPremium">Model!$243:$243</definedName>
    <definedName name="z_FHFK200110_MO_OS_propertynetwrittenpremiums">Model!$218:$218</definedName>
    <definedName name="z_FHFK200110_MO_OS_PropertyNetWrittenPremiums_2">Model!$178:$178</definedName>
    <definedName name="z_FHFK200110_MO_OS_propertynetwrittenpremiumsgrowth">Model!$179:$179</definedName>
    <definedName name="z_FHFK200110_MO_OS_propertypercentageofwrittenpremiumsearned">"Deleted"</definedName>
    <definedName name="z_FHFK200110_MO_OS_PropertyUnderwritingCombinedRatio">Model!$198:$198</definedName>
    <definedName name="z_FHFK200110_MO_OS_PropertyUnderwritingExpenseimplied">Model!$194:$194</definedName>
    <definedName name="z_FHFK200110_MO_OS_PropertyUnderwritingExpenseRatio">Model!$290:$290</definedName>
    <definedName name="z_FHFK200110_MO_OS_PropertyUnderwritingIncomemm">Model!$297:$297</definedName>
    <definedName name="z_FHFK200110_MO_OS_PropertyUnderwritingMargin">Model!$200:$200</definedName>
    <definedName name="z_FHFK200110_MO_OS_QQbasicshareexpansionEoP">Model!$656:$656</definedName>
    <definedName name="z_FHFK200110_MO_OS_QQbasicshareexpansionfromdilutivesecurities">Model!$652:$652</definedName>
    <definedName name="z_FHFK200110_MO_OS_QQbasicshareexpansionfromshareissuancebuyback">Model!$654:$654</definedName>
    <definedName name="z_FHFK200110_MO_OS_QQChangeinAgencyAutoAnnualizedEarnedPremiumperPolicy">"Deleted"</definedName>
    <definedName name="z_FHFK200110_MO_OS_QQChangeinAgencyAutoPersonalLinesNetEarnedPremiums">"Deleted"</definedName>
    <definedName name="z_FHFK200110_MO_OS_QQChangeinAgencyAutoPersonalLinesNetWrittenPremiums">"Deleted"</definedName>
    <definedName name="z_FHFK200110_MO_OS_QQChangeinCommercialLinesNetEarnedPremiums">"Deleted"</definedName>
    <definedName name="z_FHFK200110_MO_OS_QQChangeinCommercialLinesNetWrittenPremiums">"Deleted"</definedName>
    <definedName name="z_FHFK200110_MO_OS_QQChangeinCommmercialLinesAnnualizedEarnedPremiumperPolicy">"Deleted"</definedName>
    <definedName name="z_FHFK200110_MO_OS_QQChangeinDirectAutoAnnualizedEarnedPremiumperPolicy">"Deleted"</definedName>
    <definedName name="z_FHFK200110_MO_OS_QQChangeinDirectPersonalLinesNetEarnedPremiums">"Deleted"</definedName>
    <definedName name="z_FHFK200110_MO_OS_QQChangeinDirectPersonalLinesNetWrittenPremiums">"Deleted"</definedName>
    <definedName name="z_FHFK200110_MO_OS_QQChangeinPropertyBusinessAnnualizedEarnedPremiumperPolicy">"Deleted"</definedName>
    <definedName name="z_FHFK200110_MO_OS_QQChangeinPropertyBusinessNetEarnedPremiums">"Deleted"</definedName>
    <definedName name="z_FHFK200110_MO_OS_QQChangeinPropertyBusinessNetWrittenPremiums">"Deleted"</definedName>
    <definedName name="z_FHFK200110_MO_OS_QQChangeinTotalPersonalLinesAnnualizedEarnedPremiumperPolicy">"Deleted"</definedName>
    <definedName name="z_FHFK200110_MO_OS_QQChangeinTotalPersonalLinesNetWrittenPremiums">"Deleted"</definedName>
    <definedName name="z_FHFK200110_MO_OS_QQChangeTotalPersonalLinesNetEarnedPremiums">"Deleted"</definedName>
    <definedName name="z_FHFK200110_MO_OS_QQFeesandotherrevenuesgrowth">"Deleted"</definedName>
    <definedName name="z_FHFK200110_MO_OS_QQGrowthinAgencyAutoPoliciesinForceEndofPeriod">Model!$43:$43</definedName>
    <definedName name="z_FHFK200110_MO_OS_QQGrowthinCommercialLinesPoliciesinForceEndofPeriod">Model!$136:$136</definedName>
    <definedName name="z_FHFK200110_MO_OS_QQGrowthinDirectAutoPoliciesinForceEndofPeriod">Model!$72:$72</definedName>
    <definedName name="z_FHFK200110_MO_OS_QQGrowthinPropertyBusinessPoliciesinForceEndofPeriod">Model!$171:$171</definedName>
    <definedName name="z_FHFK200110_MO_OS_QQGrowthinSpecialLinesPoliciesinForceEndofPeriod">Model!$34:$34</definedName>
    <definedName name="z_FHFK200110_MO_OS_QQGrowthinTotalPersonalLinesPoliciesinForceEndofPeriod">Model!$101:$101</definedName>
    <definedName name="z_FHFK200110_MO_OS_QQGrowthinTotalPoliciesinForceEndofPeriod">Model!$211:$211</definedName>
    <definedName name="z_FHFK200110_MO_OS_QQGrowthinTotalPoliciesinForceEndofPeriod_1">Model!$10:$10</definedName>
    <definedName name="z_FHFK200110_MO_OS_QQGrowthTotalNetWrittenPremiums">"Deleted"</definedName>
    <definedName name="z_FHFK200110_MO_OS_QQGrowthTotalNetWrittenPremiums_1">"Deleted"</definedName>
    <definedName name="z_FHFK200110_MO_OS_QQServicerevenuesgrowth">"Deleted"</definedName>
    <definedName name="z_FHFK200110_MO_OS_QQTotalOtherIncomeGrowth">"Deleted"</definedName>
    <definedName name="z_FHFK200110_MO_OS_Redeemablepreferredstocks">Model!$385:$385</definedName>
    <definedName name="z_FHFK200110_MO_OS_Redeemablepreferredstocks_4">Model!$450:$450</definedName>
    <definedName name="z_FHFK200110_MO_OS_Redeemablepreferredstocksavgofperiod">Model!$396:$396</definedName>
    <definedName name="z_FHFK200110_MO_OS_Redeemablepreferredstocksyield">Model!$431:$431</definedName>
    <definedName name="z_FHFK200110_MO_OS_ReinsuranceRecoverable">Model!$558:$558</definedName>
    <definedName name="z_FHFK200110_MO_OS_Residentialmortgagebackedsecurities">Model!$381:$381</definedName>
    <definedName name="z_FHFK200110_MO_OS_Residentialmortgagebackedsecurities_4">Model!$446:$446</definedName>
    <definedName name="z_FHFK200110_MO_OS_Residentialmortgagebackedsecuritiesavgofperiod">Model!$392:$392</definedName>
    <definedName name="z_FHFK200110_MO_OS_Residentialmortgagebackedsecuritiesyield">Model!$427:$427</definedName>
    <definedName name="z_FHFK200110_MO_OS_RevenueMix">Model!$491:$491</definedName>
    <definedName name="z_FHFK200110_MO_OS_serviceexpenseratio">Model!$474:$474</definedName>
    <definedName name="z_FHFK200110_MO_OS_serviceexpenses">Model!$473:$473</definedName>
    <definedName name="z_FHFK200110_MO_OS_servicegrossprofit">Model!$495:$495</definedName>
    <definedName name="z_FHFK200110_MO_OS_ServicePretaxProfit">"Deleted"</definedName>
    <definedName name="z_FHFK200110_MO_OS_servicerevenues">Model!$465:$465</definedName>
    <definedName name="z_FHFK200110_MO_OS_servicerevenues_1">Model!$481:$481</definedName>
    <definedName name="z_FHFK200110_MO_OS_ServiceRevenues_3">"Deleted"</definedName>
    <definedName name="z_FHFK200110_MO_OS_servicerevenuesgrowth">Model!$466:$466</definedName>
    <definedName name="z_FHFK200110_MO_OS_ServiceRevenuesMix">Model!$488:$488</definedName>
    <definedName name="z_FHFK200110_MO_OS_Shorttermdebt">Model!$698:$698</definedName>
    <definedName name="z_FHFK200110_MO_OS_shortterminvestments">"Deleted"</definedName>
    <definedName name="z_FHFK200110_MO_OS_Shortterminvestments_5">Model!$400:$400</definedName>
    <definedName name="z_FHFK200110_MO_OS_Shortterminvestments_9">Model!$452:$452</definedName>
    <definedName name="z_FHFK200110_MO_OS_shortterminvestmentsavgbalance">"Deleted"</definedName>
    <definedName name="z_FHFK200110_MO_OS_shortterminvestmentsavgbalancegrowth">"Deleted"</definedName>
    <definedName name="z_FHFK200110_MO_OS_Shortterminvestmentsavgofperiod">Model!$402:$402</definedName>
    <definedName name="z_FHFK200110_MO_OS_shortterminvestmentsnetincome">"Deleted"</definedName>
    <definedName name="z_FHFK200110_MO_OS_Shortterminvestmentsyield_1">Model!$433:$433</definedName>
    <definedName name="z_FHFK200110_MO_OS_shortterminvestmentsyieldannualized">"Deleted"</definedName>
    <definedName name="z_FHFK200110_MO_OS_SpecialLinesPoliciesinForceAvgofPeriod">Model!$36:$36</definedName>
    <definedName name="z_FHFK200110_MO_OS_SpecialLinesPoliciesinForceBeginningofPeriod">Model!$31:$31</definedName>
    <definedName name="z_FHFK200110_MO_OS_SpecialLinesPoliciesinForceChangeduringperiod">Model!$32:$32</definedName>
    <definedName name="z_FHFK200110_MO_OS_SpecialLinesPoliciesinForceEndofPeriod">Model!$206:$206</definedName>
    <definedName name="z_FHFK200110_MO_OS_SpecialLinesPoliciesinForceEndofPeriod_1">Model!$33:$33</definedName>
    <definedName name="z_FHFK200110_MO_OS_Stateandlocalgovernmentobligations">Model!$378:$378</definedName>
    <definedName name="z_FHFK200110_MO_OS_Stateandlocalgovernmentobligations_4">Model!$443:$443</definedName>
    <definedName name="z_FHFK200110_MO_OS_Stateandlocalgovernmentobligationsavgofperiod">Model!$389:$389</definedName>
    <definedName name="z_FHFK200110_MO_OS_Stateandlocalgovernmentobligationsyield">Model!$424:$424</definedName>
    <definedName name="z_FHFK200110_MO_OS_TexasNetPremiumWritten">Model!$362:$362</definedName>
    <definedName name="z_FHFK200110_MO_OS_Totalavailableforsalesecurities">Model!$405:$405</definedName>
    <definedName name="z_FHFK200110_MO_OS_Totalavailableforsalesecurities_4">Model!$453:$453</definedName>
    <definedName name="z_FHFK200110_MO_OS_Totalavailableforsalesecuritiesavgofperiod">Model!$407:$407</definedName>
    <definedName name="z_FHFK200110_MO_OS_Totalavailableforsalesecuritiesyield">Model!$434:$434</definedName>
    <definedName name="z_FHFK200110_MO_OS_TotalCapitalization">Model!$702:$702</definedName>
    <definedName name="z_FHFK200110_MO_OS_TotalCombinedRatio">Model!$535:$535</definedName>
    <definedName name="z_FHFK200110_MO_OS_TotalCombinedRatio_1">Model!$21:$21</definedName>
    <definedName name="z_FHFK200110_MO_OS_TotalCommercialLinesAvgofPeriod">Model!$138:$138</definedName>
    <definedName name="z_FHFK200110_MO_OS_TotalCommercialLinesBeginningofPeriod">Model!$133:$133</definedName>
    <definedName name="z_FHFK200110_MO_OS_TotalCommercialLinesChangeduringperiod">Model!$134:$134</definedName>
    <definedName name="z_FHFK200110_MO_OS_TotalCommercialLinesEndofPeriod">Model!$135:$135</definedName>
    <definedName name="z_FHFK200110_MO_OS_TotalDebt">Model!$700:$700</definedName>
    <definedName name="z_FHFK200110_MO_OS_Totaldirectorallothercomp">'Exec Comp'!$81:$81</definedName>
    <definedName name="z_FHFK200110_MO_OS_Totaldirectorcashcomp">'Exec Comp'!$55:$55</definedName>
    <definedName name="z_FHFK200110_MO_OS_Totaldirectorcompensation">'Exec Comp'!$82:$82</definedName>
    <definedName name="z_FHFK200110_MO_OS_Totaldirectorstockawardcomp">'Exec Comp'!$68:$68</definedName>
    <definedName name="z_FHFK200110_MO_OS_TotalEmployees">Model!$568:$568</definedName>
    <definedName name="z_FHFK200110_MO_OS_Totalequitysecurities">Model!$412:$412</definedName>
    <definedName name="z_FHFK200110_MO_OS_Totalequitysecurities_4">Model!$456:$456</definedName>
    <definedName name="z_FHFK200110_MO_OS_Totalequitysecuritiesavgofperiod">Model!$416:$416</definedName>
    <definedName name="z_FHFK200110_MO_OS_Totalequitysecuritiesyield">Model!$437:$437</definedName>
    <definedName name="z_FHFK200110_MO_OS_TotalFeesandOtherRevenue">Model!$502:$502</definedName>
    <definedName name="z_FHFK200110_MO_OS_TotalFeesandOtherRevenueRatio">"Deleted"</definedName>
    <definedName name="z_FHFK200110_MO_OS_Totalfixedmaturities">Model!$386:$386</definedName>
    <definedName name="z_FHFK200110_MO_OS_Totalfixedmaturities_4">Model!$451:$451</definedName>
    <definedName name="z_FHFK200110_MO_OS_Totalfixedmaturitiesavgofperiod">Model!$397:$397</definedName>
    <definedName name="z_FHFK200110_MO_OS_Totalfixedmaturitiesyield">Model!$432:$432</definedName>
    <definedName name="z_FHFK200110_MO_OS_totalinvestments">Model!$418:$418</definedName>
    <definedName name="z_FHFK200110_MO_OS_TotalInvestmentsAvgBalance">Model!$420:$420</definedName>
    <definedName name="z_FHFK200110_MO_OS_totalinvestmentsavgbalancegrowth">Model!$421:$421</definedName>
    <definedName name="z_FHFK200110_MO_OS_TotalLossandLAE">Model!$276:$276</definedName>
    <definedName name="z_FHFK200110_MO_OS_TotalLossandLAE_2">Model!$508:$508</definedName>
    <definedName name="z_FHFK200110_MO_OS_TotalLossandLAE_4">Model!$284:$284</definedName>
    <definedName name="z_FHFK200110_MO_OS_TotalLossandLAERatio">Model!$257:$257</definedName>
    <definedName name="z_FHFK200110_MO_OS_TotalLossandLAERatio_1">Model!$264:$264</definedName>
    <definedName name="z_FHFK200110_MO_OS_TotalNetEarnedPremiumMix">Model!$245:$245</definedName>
    <definedName name="z_FHFK200110_MO_OS_TotalNetEarnedPremiums">Model!$236:$236</definedName>
    <definedName name="z_FHFK200110_MO_OS_TotalNetEarnedPremiums_2">Model!$17:$17</definedName>
    <definedName name="z_FHFK200110_MO_OS_TotalNetEarnedPremiums_3">Model!$501:$501</definedName>
    <definedName name="z_FHFK200110_MO_OS_TotalNetEarnedPremiums_4">Model!$477:$477</definedName>
    <definedName name="z_FHFK200110_MO_OS_TotalNetEarnedPremiums_5">Model!$546:$546</definedName>
    <definedName name="z_FHFK200110_MO_OS_TotalNetEarnedPremiumsGrowth">Model!$19:$19</definedName>
    <definedName name="z_FHFK200110_MO_OS_TotalNetPremiumWritten">Model!$373:$373</definedName>
    <definedName name="z_FHFK200110_MO_OS_TotalNetWrittenPremiums">Model!$220:$220</definedName>
    <definedName name="z_FHFK200110_MO_OS_TotalNetWrittenPremiums_3">Model!$14:$14</definedName>
    <definedName name="z_FHFK200110_MO_OS_TotalNetWrittenPremiums_4">Model!$310:$310</definedName>
    <definedName name="z_FHFK200110_MO_OS_TotalNetWrittenPremiumsGrowth">Model!$15:$15</definedName>
    <definedName name="z_FHFK200110_MO_OS_Totalofcurrentdirectors">'Exec Comp'!$37:$37</definedName>
    <definedName name="z_FHFK200110_MO_OS_Totalofdirectornominees">'Exec Comp'!$40:$40</definedName>
    <definedName name="z_FHFK200110_MO_OS_Totalofindependentcurrentdirectors">'Exec Comp'!$38:$38</definedName>
    <definedName name="z_FHFK200110_MO_OS_TotalOtherIncome">Model!$470:$470</definedName>
    <definedName name="z_FHFK200110_MO_OS_TotalOtherIncome_2">Model!$480:$480</definedName>
    <definedName name="z_FHFK200110_MO_OS_TotalOtherIncomeGrowth">Model!$471:$471</definedName>
    <definedName name="z_FHFK200110_MO_OS_TotalOtherIncomeofTotalRevenue">Model!$490:$490</definedName>
    <definedName name="z_FHFK200110_MO_OS_TotalOtherOperatingExpense">Model!$516:$516</definedName>
    <definedName name="z_FHFK200110_MO_OS_TotalOtherOperatingExpenseRatio">Model!$518:$518</definedName>
    <definedName name="z_FHFK200110_MO_OS_TotalPersonalAutoPoliciesinForceEndofPeriod">Model!$205:$205</definedName>
    <definedName name="z_FHFK200110_MO_OS_TotalPersonalLinesAnnualizedEarnedPremiumperPolicy">Model!$105:$105</definedName>
    <definedName name="z_FHFK200110_MO_OS_TotalPersonalLinesAvgofPeriod">Model!$103:$103</definedName>
    <definedName name="z_FHFK200110_MO_OS_TotalPersonalLinesBeginningofPeriod">Model!$98:$98</definedName>
    <definedName name="z_FHFK200110_MO_OS_TotalPersonalLinesCatastropheLossIncurred">Model!$117:$117</definedName>
    <definedName name="z_FHFK200110_MO_OS_TotalPersonalLinesCatastropheLossIncurred_1">Model!$270:$270</definedName>
    <definedName name="z_FHFK200110_MO_OS_TotalPersonalLinesCatastropheLossRatio">Model!$251:$251</definedName>
    <definedName name="z_FHFK200110_MO_OS_TotalPersonalLinesCatastropheLossRatio_1">Model!$121:$121</definedName>
    <definedName name="z_FHFK200110_MO_OS_TotalPersonalLinesChangeduringperiod">Model!$99:$99</definedName>
    <definedName name="z_FHFK200110_MO_OS_TotalPersonalLinesEndofPeriod">Model!$100:$100</definedName>
    <definedName name="z_FHFK200110_MO_OS_TotalPersonalLinesLossLAEimplied">Model!$280:$280</definedName>
    <definedName name="z_FHFK200110_MO_OS_TotalPersonalLinesLossLAERatio_3">Model!$122:$122</definedName>
    <definedName name="z_FHFK200110_MO_OS_TotalPersonalLinesLossLAERatioexcludingCatastropheLossesIncurred">Model!$116:$116</definedName>
    <definedName name="z_FHFK200110_MO_OS_TotalPersonalLinesLossLAERatioexcludingCatastropheLossesIncurred_1">Model!$247:$247</definedName>
    <definedName name="z_FHFK200110_MO_OS_TotalPersonalLinesLossLAERatioexcludingCatastropheLossesIncurred_2">Model!$120:$120</definedName>
    <definedName name="z_FHFK200110_MO_OS_TotalPersonalLinesLossLAERatioexcludingCatastropheLossesIncurred_3">Model!$266:$266</definedName>
    <definedName name="z_FHFK200110_MO_OS_TotalPersonalLinesNetWrittenPremiums">"Deleted"</definedName>
    <definedName name="z_FHFK200110_MO_OS_TotalPersonalLinesNewApplicationsGrowth">Model!$338:$338</definedName>
    <definedName name="z_FHFK200110_MO_OS_TotalPersonalLinesPercentageofWrittenPremiumsEarned">Model!$111:$111</definedName>
    <definedName name="z_FHFK200110_MO_OS_TotalPersonalLinesPolicyLifeExpectancyTrailing12MonthsGrowth">Model!$344:$344</definedName>
    <definedName name="z_FHFK200110_MO_OS_TotalPersonalLinesPolicyLifeExpectancyTrailing3MonthsGrowth">Model!$343:$343</definedName>
    <definedName name="z_FHFK200110_MO_OS_TotalPersonalLinesRenewalApplicationsGrowth">Model!$339:$339</definedName>
    <definedName name="z_FHFK200110_MO_OS_TotalPersonalLinesUnderwritingExpenseRatio">Model!$125:$125</definedName>
    <definedName name="z_FHFK200110_MO_OS_TotalPersonalLinesUnderwritingIncome">Model!$295:$295</definedName>
    <definedName name="z_FHFK200110_MO_OS_TotalPersonalLinesUnderwritingIncome_1">Model!$127:$127</definedName>
    <definedName name="z_FHFK200110_MO_OS_TotalPersonalLinesUnderwritingMargin">Model!$303:$303</definedName>
    <definedName name="z_FHFK200110_MO_OS_TotalPersonalLinesWrittenPremiumPerPolicyGrowth">Model!$341:$341</definedName>
    <definedName name="z_FHFK200110_MO_OS_TotalPersonalPoliciesinForceEndofPeriod">Model!$207:$207</definedName>
    <definedName name="z_FHFK200110_MO_OS_TotalPoliciesinForceAvgofPeriod">Model!$12:$12</definedName>
    <definedName name="z_FHFK200110_MO_OS_TotalPoliciesinForceBeginningofPeriod">Model!$7:$7</definedName>
    <definedName name="z_FHFK200110_MO_OS_TotalPoliciesinForceChangeduringperiod">Model!$8:$8</definedName>
    <definedName name="z_FHFK200110_MO_OS_TotalPoliciesinForceEndofPeriod">Model!$9:$9</definedName>
    <definedName name="z_FHFK200110_MO_OS_TotalPoliciesinForceEndofPeriod_1">Model!$210:$210</definedName>
    <definedName name="z_FHFK200110_MO_OS_TotalPolicyAcquisitionExpense">Model!$511:$511</definedName>
    <definedName name="z_FHFK200110_MO_OS_TotalPolicyAcquisitionExpenseRatio">Model!$513:$513</definedName>
    <definedName name="z_FHFK200110_MO_OS_TotalPretaxProfit">Model!$498:$498</definedName>
    <definedName name="z_FHFK200110_MO_OS_TotalRevenue">Model!$483:$483</definedName>
    <definedName name="z_FHFK200110_MO_OS_TotalShareholdersEquity">Model!$701:$701</definedName>
    <definedName name="z_FHFK200110_MO_OS_TotalUnderwritingExpense">Model!$532:$532</definedName>
    <definedName name="z_FHFK200110_MO_OS_TotalUnderwritingExpenseRatio">Model!$291:$291</definedName>
    <definedName name="z_FHFK200110_MO_OS_TotalUnderwritingIncome">Model!$539:$539</definedName>
    <definedName name="z_FHFK200110_MO_OS_TotalUnderwritingIncome_2">Model!$299:$299</definedName>
    <definedName name="z_FHFK200110_MO_OS_TotalUnderwritingIncomeGrowth">Model!$541:$541</definedName>
    <definedName name="z_FHFK200110_MO_OS_TotalUnderwritingMargin">Model!$307:$307</definedName>
    <definedName name="z_FHFK200110_MO_OS_TotalUnderwritingPretaxProfit">Model!$493:$493</definedName>
    <definedName name="z_FHFK200110_MO_OS_UnderwritingExpenseexclCatastropheLossesIncurredandPriorAccidentYearsDevelopment">Model!$522:$522</definedName>
    <definedName name="z_FHFK200110_MO_OS_UnderwritingExpenseexclPriorAccidentYearsDevelopment">Model!$527:$527</definedName>
    <definedName name="z_FHFK200110_MO_OS_UnderwritingMargin">Model!$542:$542</definedName>
    <definedName name="z_FHFK200110_MO_OS_USgovernmentobligations">Model!$377:$377</definedName>
    <definedName name="z_FHFK200110_MO_OS_USgovernmentobligations_4">Model!$442:$442</definedName>
    <definedName name="z_FHFK200110_MO_OS_USgovernmentobligationsavgofperiod">Model!$388:$388</definedName>
    <definedName name="z_FHFK200110_MO_OS_USgovernmentobligationsyield">Model!$423:$423</definedName>
    <definedName name="z_FHFK200110_MO_OS_YYAdjustedEarningsPerShareGrowth">Model!$27:$27</definedName>
    <definedName name="z_FHFK200110_MO_OS_YYbasicshareexpansionEoP">Model!$657:$657</definedName>
    <definedName name="z_FHFK200110_MO_OS_YYbasicshareexpansionfromdilutivesecurities">Model!$653:$653</definedName>
    <definedName name="z_FHFK200110_MO_OS_YYbasicshareexpansionfromshareissuancebuyback">Model!$655:$655</definedName>
    <definedName name="z_FHFK200110_MO_OS_YYChangeinAgencyAutoAnnualizedEarnedPremiumperPolicy">Model!$48:$48</definedName>
    <definedName name="z_FHFK200110_MO_OS_YYChangeinAgencyAutoPersonalLinesNetEarnedPremiums">Model!$56:$56</definedName>
    <definedName name="z_FHFK200110_MO_OS_YYChangeinAgencyAutoPersonalLinesNetWrittenPremiums">"Deleted"</definedName>
    <definedName name="z_FHFK200110_MO_OS_YYChangeinCommercialLinesNetEarnedPremiums">Model!$149:$149</definedName>
    <definedName name="z_FHFK200110_MO_OS_YYChangeinCommercialLinesNetWrittenPremiums">"Deleted"</definedName>
    <definedName name="z_FHFK200110_MO_OS_YYChangeinCommmercialLinesAnnualizedEarnedPremiumperPolicy">Model!$141:$141</definedName>
    <definedName name="z_FHFK200110_MO_OS_YYChangeinDirectAutoAnnualizedEarnedPremiumperPolicy">Model!$77:$77</definedName>
    <definedName name="z_FHFK200110_MO_OS_YYChangeinDirectPersonalLinesNetEarnedPremiums">Model!$85:$85</definedName>
    <definedName name="z_FHFK200110_MO_OS_YYChangeinDirectPersonalLinesNetWrittenPremiums">"Deleted"</definedName>
    <definedName name="z_FHFK200110_MO_OS_YYChangeinPropertyBusinessAnnualizedEarnedPremiumperPolicy">Model!$176:$176</definedName>
    <definedName name="z_FHFK200110_MO_OS_YYChangeinPropertyBusinessNetEarnedPremiums">Model!$184:$184</definedName>
    <definedName name="z_FHFK200110_MO_OS_YYChangeinPropertyBusinessNetWrittenPremiums">"Deleted"</definedName>
    <definedName name="z_FHFK200110_MO_OS_YYChangeinTotalPersonalLinesAnnualizedEarnedPremiumperPolicy">Model!$106:$106</definedName>
    <definedName name="z_FHFK200110_MO_OS_YYChangeinTotalPersonalLinesNetEarnedPremiums">Model!$114:$114</definedName>
    <definedName name="z_FHFK200110_MO_OS_YYChangeinTotalPersonalLinesNetWrittenPremiums">"Deleted"</definedName>
    <definedName name="z_FHFK200110_MO_OS_YYFeesandotherrevenuesgrowth">"Deleted"</definedName>
    <definedName name="z_FHFK200110_MO_OS_YYGrowthinAgencyAutoPoliciesinForceEndofPeriod">Model!$44:$44</definedName>
    <definedName name="z_FHFK200110_MO_OS_YYGrowthinDirectAutoPoliciesinForceEndofPeriod">Model!$73:$73</definedName>
    <definedName name="z_FHFK200110_MO_OS_YYGrowthinNetIncomefromContinuedOperations">"Deleted"</definedName>
    <definedName name="z_FHFK200110_MO_OS_YYGrowthinPropertyBusinessPoliciesinForceEndofPeriod">"Deleted"</definedName>
    <definedName name="z_FHFK200110_MO_OS_YYGrowthinSpecialLinesPoliciesinForceEndofPeriod">Model!$35:$35</definedName>
    <definedName name="z_FHFK200110_MO_OS_YYGrowthinTotalPersonalLinesPoliciesinForceEndofPeriod">"Deleted"</definedName>
    <definedName name="z_FHFK200110_MO_OS_YYGrowthinTotalPoliciesinForceEndofPeriod">Model!$212:$212</definedName>
    <definedName name="z_FHFK200110_MO_OS_YYGrowthinTotalPoliciesinForceEndofPeriod_1">Model!$11:$11</definedName>
    <definedName name="z_FHFK200110_MO_OS_YYGrowthTotalNetWrittenPremiums">"Deleted"</definedName>
    <definedName name="z_FHFK200110_MO_OS_YYGrowthTotalNetWrittenPremiums_1">"Deleted"</definedName>
    <definedName name="z_FHFK200110_MO_OS_YYImprovementinCombinedRatio">Model!$23:$23</definedName>
    <definedName name="z_FHFK200110_MO_OS_YYImprovementinCombinedRatio_3">Model!$537:$537</definedName>
    <definedName name="z_FHFK200110_MO_OS_YYImprovementinCombinedRatioexclCatastropheLossesIncurredandPriorAccidentYearsDevelopment">Model!$525:$525</definedName>
    <definedName name="z_FHFK200110_MO_OS_YYImprovementinCombinedRatioexclPriorAccidentYearsDevelopment">Model!$530:$530</definedName>
    <definedName name="z_FHFK200110_MO_OS_YYImprovementinOtherOperatingExpense">Model!$519:$519</definedName>
    <definedName name="z_FHFK200110_MO_OS_YYImprovementinPolicyAcquisitionRatio">Model!$514:$514</definedName>
    <definedName name="z_FHFK200110_MO_OS_YYImprovementinTotalFeesandOtherRevenue">"Deleted"</definedName>
    <definedName name="z_FHFK200110_MO_OS_YYImprovementinUnderwritingMargin">Model!$543:$543</definedName>
    <definedName name="z_FHFK200110_MO_OS_YYShortTermInvestmentsEndofPeriodGrowth">Model!$401:$401</definedName>
    <definedName name="z_FHFK200110_MO_OS_YYTotalAvailableforSaleSecuritiesAvgofPeriodGrowth">Model!$408:$408</definedName>
    <definedName name="z_FHFK200110_MO_OS_YYTotalAvailableforSaleSecuritiesEndofPeriodGrowth">Model!$406:$406</definedName>
    <definedName name="z_FHFK200110_MO_OS_YYTotalEquitySecuritiesAvgofPeriodGrowth">Model!$417:$417</definedName>
    <definedName name="z_FHFK200110_MO_OS_YYTotalEquitySecuritiesEndofPeriodGrowth">Model!$413:$413</definedName>
    <definedName name="z_FHFK200110_MO_OS_YYTotalFixedMaturitiesAvgofPeriodGrowth">Model!$398:$398</definedName>
    <definedName name="z_FHFK200110_MO_OS_YYTotalFixedMaturitiesAvgofPeriodGrowth_1">Model!$403:$403</definedName>
    <definedName name="z_FHFK200110_MO_OS_YYTotalFixedMaturitiesEndofPeriodGrowth">Model!$387:$387</definedName>
    <definedName name="z_FHFK200110_MO_OS_YYTotalInvestmentsEndofPeriodGrowth">Model!$419:$419</definedName>
    <definedName name="z_FHFK200110_MO_OS_YYTotalLossandLAEgrowth">Model!$509:$509</definedName>
    <definedName name="z_FHFK200110_MO_OS_YYTotalOtherOperatingExpenseGrowth">Model!$517:$517</definedName>
    <definedName name="z_FHFK200110_MO_OS_YYTotalOtherOperatingExpenseGrowth_1">"Deleted"</definedName>
    <definedName name="z_FHFK200110_MO_OS_YYTotalPolicyAcquisitionExpenseGrowth">Model!$512:$512</definedName>
    <definedName name="z_FHFK200110_MO_OS_YYUnderwritingExpenseexclCatastropheLossesIncurredandPriorAccidentYearsDevelopmentGrowth">Model!$523:$523</definedName>
    <definedName name="z_FHFK200110_MO_OS_YYUnderwritingExpenseexclPriorAccidentYearsDevelopmentGrowth">Model!$528:$528</definedName>
    <definedName name="z_FHFK200110_MO_OS_YYUnderwritingExpenseGrowth">Model!$533:$533</definedName>
    <definedName name="z_FHFK200110_MO_OS_YYUnderwritingIncomeGrowth">"Deleted"</definedName>
    <definedName name="z_FHFK200110_MO_RIS_AdjustedEarningsPerShareWAD">Model!$643:$643</definedName>
    <definedName name="z_FHFK200110_MO_RIS_AdjustedNetIncome">Model!$636:$636</definedName>
    <definedName name="z_FHFK200110_MO_RIS_AdjustedSharesOutstandingWAD">Model!$648:$648</definedName>
    <definedName name="z_FHFK200110_MO_RIS_AdjustmentsforConvertibleSecurities">Model!$632:$632</definedName>
    <definedName name="z_FHFK200110_MO_RIS_consensusestimatesadjustedearningspersharewad">Model!$644:$644</definedName>
    <definedName name="z_FHFK200110_MO_RIS_consensusestimatesebt">Model!$622:$622</definedName>
    <definedName name="z_FHFK200110_MO_RIS_consensusestimatesnetrevenue">Model!$611:$611</definedName>
    <definedName name="z_FHFK200110_MO_RIS_CurrentTax">Model!$624:$624</definedName>
    <definedName name="z_FHFK200110_MO_RIS_CurrentTaxRate">Model!$638:$638</definedName>
    <definedName name="z_FHFK200110_MO_RIS_DeferredTax">Model!$625:$625</definedName>
    <definedName name="z_FHFK200110_MO_RIS_DeferredTaxRate">Model!$639:$639</definedName>
    <definedName name="z_FHFK200110_MO_RIS_DilutedNetIncometoCommonShareholders">Model!$633:$633</definedName>
    <definedName name="z_FHFK200110_MO_RIS_DiscontinuedOperations">Model!$628:$628</definedName>
    <definedName name="z_FHFK200110_MO_RIS_EarningsfromEquityInvestments">Model!$627:$627</definedName>
    <definedName name="z_FHFK200110_MO_RIS_EarningsPerShareWAB">Model!$641:$641</definedName>
    <definedName name="z_FHFK200110_MO_RIS_EarningsPerShareWAD">Model!$642:$642</definedName>
    <definedName name="z_FHFK200110_MO_RIS_EarningstoPreferredandOtherSecurities">Model!$630:$630</definedName>
    <definedName name="z_FHFK200110_MO_RIS_EBT">Model!$621:$621</definedName>
    <definedName name="z_FHFK200110_MO_RIS_InterestExpense">Model!$618:$618</definedName>
    <definedName name="z_FHFK200110_MO_RIS_InvestmentExpense">Model!$617:$617</definedName>
    <definedName name="z_FHFK200110_MO_RIS_LossandLAE">Model!$613:$613</definedName>
    <definedName name="z_FHFK200110_MO_RIS_NetEarnedPremiums">Model!$606:$606</definedName>
    <definedName name="z_FHFK200110_MO_RIS_NetIncomefromContinuedOperation">Model!$626:$626</definedName>
    <definedName name="z_FHFK200110_MO_RIS_NetIncometoCommonShareholders">Model!$631:$631</definedName>
    <definedName name="z_FHFK200110_MO_RIS_NetIncometoNCI">Model!$629:$629</definedName>
    <definedName name="z_FHFK200110_MO_RIS_NetInvestmentGains">Model!$608:$608</definedName>
    <definedName name="z_FHFK200110_MO_RIS_NetInvestmentIncome">Model!$607:$607</definedName>
    <definedName name="z_FHFK200110_MO_RIS_NetRevenue">Model!$610:$610</definedName>
    <definedName name="z_FHFK200110_MO_RIS_NonGAAPAdjustments">Model!$634:$634</definedName>
    <definedName name="z_FHFK200110_MO_RIS_NonGAAPAdjustmentsforDilutiveSecurities">Model!$635:$635</definedName>
    <definedName name="z_FHFK200110_MO_RIS_OnetimeItems">Model!$620:$620</definedName>
    <definedName name="z_FHFK200110_MO_RIS_OnetimeUnderwritingExpense">Model!$616:$616</definedName>
    <definedName name="z_FHFK200110_MO_RIS_OtherIncome">Model!$609:$609</definedName>
    <definedName name="z_FHFK200110_MO_RIS_OtherItems">Model!$619:$619</definedName>
    <definedName name="z_FHFK200110_MO_RIS_OtherOperatingExpense">Model!$615:$615</definedName>
    <definedName name="z_FHFK200110_MO_RIS_PolicyAcquisitionExpense">Model!$614:$614</definedName>
    <definedName name="z_FHFK200110_MO_RIS_SharesOutstandingEoPB">Model!$651:$651</definedName>
    <definedName name="z_FHFK200110_MO_RIS_SharesOutstandingWAB">Model!$646:$646</definedName>
    <definedName name="z_FHFK200110_MO_RIS_SharesOutstandingWAD">Model!$647:$647</definedName>
    <definedName name="z_FHFK200110_MO_Section_AN_AdjustedNumbers">Model!$602:$602</definedName>
    <definedName name="z_FHFK200110_MO_Section_BS_BalanceSheet">Model!$890:$890</definedName>
    <definedName name="z_FHFK200110_MO_Section_BSS_BalanceSheetSummary">Model!$673:$673</definedName>
    <definedName name="z_FHFK200110_MO_Section_CCFS_CumulativeCashFlowStatement">Model!$734:$734</definedName>
    <definedName name="z_FHFK200110_MO_Section_CFS_CashFlowStatement">Model!$800:$800</definedName>
    <definedName name="z_FHFK200110_MO_Section_DAF_DAForecasting">Model!$868:$868</definedName>
    <definedName name="z_FHFK200110_MO_Section_DS_DividendSummary">Model!$667:$667</definedName>
    <definedName name="z_FHFK200110_MO_Section_IS_IncomeStatement">Model!$570:$570</definedName>
    <definedName name="z_FHFK200110_MO_Section_MC_ModelChecks">Model!$935:$935</definedName>
    <definedName name="z_FHFK200110_MO_Section_OS_BoardDiversity">'Exec Comp'!$36:$36</definedName>
    <definedName name="z_FHFK200110_MO_Section_OS_CapitalResources">Model!$697:$697</definedName>
    <definedName name="z_FHFK200110_MO_Section_OS_DAC">Model!$309:$309</definedName>
    <definedName name="z_FHFK200110_MO_Section_OS_DirectorCompensation">'Exec Comp'!$42:$42</definedName>
    <definedName name="z_FHFK200110_MO_Section_OS_ExecutiveCompensation">'Exec Comp'!$6:$6</definedName>
    <definedName name="z_FHFK200110_MO_Section_OS_II">Model!$376:$376</definedName>
    <definedName name="z_FHFK200110_MO_Section_OS_Insurance">Model!$29:$29</definedName>
    <definedName name="z_FHFK200110_MO_Section_OS_KeyMetricApplicationsGrowth">Model!$321:$321</definedName>
    <definedName name="z_FHFK200110_MO_Section_OS_KeyMetricNetPremiumWrittenbyGeography">Model!$360:$360</definedName>
    <definedName name="z_FHFK200110_MO_Section_OS_KeyMetricsEmployeesFS">Model!$567:$567</definedName>
    <definedName name="z_FHFK200110_MO_Section_OS_LR">Model!$556:$556</definedName>
    <definedName name="z_FHFK200110_MO_Section_OS_OI">Model!$464:$464</definedName>
    <definedName name="z_FHFK200110_MO_Section_OS_OtherAlignmentDataPoints">'Exec Comp'!$85:$85</definedName>
    <definedName name="z_FHFK200110_MO_Section_OS_SegmentedResultsCommercialLinesFS">Model!$132:$132</definedName>
    <definedName name="z_FHFK200110_MO_Section_OS_SegmentedResultsPersonalLinesFS">Model!$30:$30</definedName>
    <definedName name="z_FHFK200110_MO_Section_OS_SegmentedResultsPropertyFS">Model!$167:$167</definedName>
    <definedName name="z_FHFK200110_MO_Section_OS_SegmentSummary">Model!$202:$202</definedName>
    <definedName name="z_FHFK200110_MO_Section_OS_SegmentSummary_1">Model!$476:$476</definedName>
    <definedName name="z_FHFK200110_MO_Section_OS_ShareCountAnalysis">Model!$650:$650</definedName>
    <definedName name="z_FHFK200110_MO_Section_OS_SIC">Model!$713:$713</definedName>
    <definedName name="z_FHFK200110_MO_Section_OS_SupplementalData">Model!$320:$320</definedName>
    <definedName name="z_FHFK200110_MO_Section_OS_Tegus">'Exec Comp'!$90:$90</definedName>
    <definedName name="z_FHFK200110_MO_Section_OS_UI">Model!$6:$6</definedName>
    <definedName name="z_FHFK200110_MO_Section_OS_UPR">Model!$545:$545</definedName>
    <definedName name="z_FHFK200110_MO_Section_OS_UR">Model!$500:$500</definedName>
    <definedName name="z_FHFK200110_MO_Section_RIS_RevisedIncomeStatement">Model!$605:$605</definedName>
    <definedName name="z_FHFK200110_MO_Section_SNA_Canalyst">Model!$1107:$1107</definedName>
    <definedName name="z_FHFK200110_MO_Section_TB_Tables">Model!$963:$963</definedName>
    <definedName name="z_FHFK200110_MO_Section_VA_Valuation">Model!$719:$719</definedName>
    <definedName name="z_FHFK200110_MO_Unstructured_SNA_AdjustedEarningsPerShareNoAdjustmentsWAD">Model!$979:$979</definedName>
    <definedName name="z_FHFK200110_MO_Unstructured_SNA_AnnualGuidanceTable">Model!$1034:$1034</definedName>
    <definedName name="z_FHFK200110_MO_Unstructured_SNA_ApplicablePeriod">Model!$1031:$1031</definedName>
    <definedName name="z_FHFK200110_MO_Unstructured_SNA_ApplicablePeriod_1">Model!$1037:$1037</definedName>
    <definedName name="z_FHFK200110_MO_Unstructured_SNA_ApplyTradeCurrencyScaling">Model!$1094:$1094</definedName>
    <definedName name="z_FHFK200110_MO_Unstructured_SNA_Avg">Model!$975:$975</definedName>
    <definedName name="z_FHFK200110_MO_Unstructured_SNA_Bloomberg">Model!$1058:$1058</definedName>
    <definedName name="z_FHFK200110_MO_Unstructured_SNA_Bloomberg_1">Model!$1065:$1065</definedName>
    <definedName name="z_FHFK200110_MO_Unstructured_SNA_Bloomberg_2">Model!$1072:$1072</definedName>
    <definedName name="z_FHFK200110_MO_Unstructured_SNA_Bloomberg_3">Model!$1079:$1079</definedName>
    <definedName name="z_FHFK200110_MO_Unstructured_SNA_BookValueperCommonShare">Model!$981:$981</definedName>
    <definedName name="z_FHFK200110_MO_Unstructured_SNA_CapitalIQ">Model!$1059:$1059</definedName>
    <definedName name="z_FHFK200110_MO_Unstructured_SNA_CapitalIQ_1">Model!$1066:$1066</definedName>
    <definedName name="z_FHFK200110_MO_Unstructured_SNA_CapitalIQ_2">Model!$1073:$1073</definedName>
    <definedName name="z_FHFK200110_MO_Unstructured_SNA_CapitalIQ_3">Model!$1080:$1080</definedName>
    <definedName name="z_FHFK200110_MO_Unstructured_SNA_ConsensusEstimatesAdjustedEarningsPerShare">Model!$1048:$1048</definedName>
    <definedName name="z_FHFK200110_MO_Unstructured_SNA_ConsensusEstimatesBookValueperCommonShare">Model!$1049:$1049</definedName>
    <definedName name="z_FHFK200110_MO_Unstructured_SNA_ConsensusEstimatesEBT">Model!$1047:$1047</definedName>
    <definedName name="z_FHFK200110_MO_Unstructured_SNA_ConsensusEstimatesNetRevenue">Model!$1046:$1046</definedName>
    <definedName name="z_FHFK200110_MO_Unstructured_SNA_ConsensusEstimatesReturnonAverageCommonEquity">Model!$1050:$1050</definedName>
    <definedName name="z_FHFK200110_MO_Unstructured_SNA_ConsensusEstimatesTotalCombinedRatio">Model!$1045:$1045</definedName>
    <definedName name="z_FHFK200110_MO_Unstructured_SNA_ConsensusEstimatesTotalNetEarnedPremiums">Model!$1043:$1043</definedName>
    <definedName name="z_FHFK200110_MO_Unstructured_SNA_ConsensusEstimatesTotalUnderwritingIncome">Model!$1044:$1044</definedName>
    <definedName name="z_FHFK200110_MO_Unstructured_SNA_ConsensusEstimateTable">Model!$1040:$1040</definedName>
    <definedName name="z_FHFK200110_MO_Unstructured_SNA_CurrentFiscalYear">Model!$1102:$1102</definedName>
    <definedName name="z_FHFK200110_MO_Unstructured_SNA_DataSourceIndex">Model!$1105:$1105</definedName>
    <definedName name="z_FHFK200110_MO_Unstructured_SNA_EoP">Model!$976:$976</definedName>
    <definedName name="z_FHFK200110_MO_Unstructured_SNA_FactSet">Model!$1060:$1060</definedName>
    <definedName name="z_FHFK200110_MO_Unstructured_SNA_FactSet_1">Model!$1067:$1067</definedName>
    <definedName name="z_FHFK200110_MO_Unstructured_SNA_FactSet_2">Model!$1074:$1074</definedName>
    <definedName name="z_FHFK200110_MO_Unstructured_SNA_FactSet_3">Model!$1081:$1081</definedName>
    <definedName name="z_FHFK200110_MO_Unstructured_SNA_FirstForecastFiscalYear">Model!$1103:$1103</definedName>
    <definedName name="z_FHFK200110_MO_Unstructured_SNA_FiscalPeriodStartDate">Model!$1054:$1054</definedName>
    <definedName name="z_FHFK200110_MO_Unstructured_SNA_FXAverageRealTimeOffSource">Model!$1077:$1077</definedName>
    <definedName name="z_FHFK200110_MO_Unstructured_SNA_FXEoP">Model!$1086:$1086</definedName>
    <definedName name="z_FHFK200110_MO_Unstructured_SNA_FYorFQ">Model!$1041:$1041</definedName>
    <definedName name="z_FHFK200110_MO_Unstructured_SNA_GeneralTable">Model!$1089:$1089</definedName>
    <definedName name="z_FHFK200110_MO_Unstructured_SNA_High">Model!$973:$973</definedName>
    <definedName name="z_FHFK200110_MO_Unstructured_SNA_IsHistoricalPeriod">Model!$1055:$1055</definedName>
    <definedName name="z_FHFK200110_MO_Unstructured_SNA_IsLatest">Model!$1036:$1036</definedName>
    <definedName name="z_FHFK200110_MO_Unstructured_SNA_KeyOutputs">Model!$978:$978</definedName>
    <definedName name="z_FHFK200110_MO_Unstructured_SNA_KPICount">Model!$1104:$1104</definedName>
    <definedName name="z_FHFK200110_MO_Unstructured_SNA_KPIData">Model!$986:$986</definedName>
    <definedName name="z_FHFK200110_MO_Unstructured_SNA_LastPrice">Model!$1090:$1090</definedName>
    <definedName name="z_FHFK200110_MO_Unstructured_SNA_LastPriceDate">Model!$1091:$1091</definedName>
    <definedName name="z_FHFK200110_MO_Unstructured_SNA_LastPriceFormula">Model!$1093:$1093</definedName>
    <definedName name="z_FHFK200110_MO_Unstructured_SNA_LastWorkingDayInPeriod">Model!$1084:$1084</definedName>
    <definedName name="z_FHFK200110_MO_Unstructured_SNA_Low">Model!$974:$974</definedName>
    <definedName name="z_FHFK200110_MO_Unstructured_SNA_MOBSSBVPS">Model!$1018:$1018</definedName>
    <definedName name="z_FHFK200110_MO_Unstructured_SNA_MOBSSNTR">Model!$999:$999</definedName>
    <definedName name="z_FHFK200110_MO_Unstructured_SNA_MOBSSReserveRatio">Model!$1016:$1016</definedName>
    <definedName name="z_FHFK200110_MO_Unstructured_SNA_MOBSSROA">Model!$1020:$1020</definedName>
    <definedName name="z_FHFK200110_MO_Unstructured_SNA_MOBSSROE">Model!$1021:$1021</definedName>
    <definedName name="z_FHFK200110_MO_Unstructured_SNA_MOBSSROTE">Model!$1022:$1022</definedName>
    <definedName name="z_FHFK200110_MO_Unstructured_SNA_MOBSSSolvencyRatio">Model!$1017:$1017</definedName>
    <definedName name="z_FHFK200110_MO_Unstructured_SNA_MOBSSTBVPS">Model!$1019:$1019</definedName>
    <definedName name="z_FHFK200110_MO_Unstructured_SNA_MOCRDebtToCapitalRatio">Model!$1024:$1024</definedName>
    <definedName name="z_FHFK200110_MO_Unstructured_SNA_MOCRTotalCapitalization">Model!$1023:$1023</definedName>
    <definedName name="z_FHFK200110_MO_Unstructured_SNA_ModelSheetCurrencyHardcoded">Model!$1097:$1097</definedName>
    <definedName name="z_FHFK200110_MO_Unstructured_SNA_MODSPayoutRatio">Model!$1025:$1025</definedName>
    <definedName name="z_FHFK200110_MO_Unstructured_SNA_MOKPICombinedRatio">Model!$996:$996</definedName>
    <definedName name="z_FHFK200110_MO_Unstructured_SNA_MOKPICUP">Model!$1009:$1009</definedName>
    <definedName name="z_FHFK200110_MO_Unstructured_SNA_MOKPIDAC">Model!$1007:$1007</definedName>
    <definedName name="z_FHFK200110_MO_Unstructured_SNA_MOKPIGLR">Model!$1011:$1011</definedName>
    <definedName name="z_FHFK200110_MO_Unstructured_SNA_MOKPIGUPR">Model!$1008:$1008</definedName>
    <definedName name="z_FHFK200110_MO_Unstructured_SNA_MOKPIInvestmentBalance">Model!$997:$997</definedName>
    <definedName name="z_FHFK200110_MO_Unstructured_SNA_MOKPILoss_2">Model!$1001:$1001</definedName>
    <definedName name="z_FHFK200110_MO_Unstructured_SNA_MOKPILossexCATS">Model!$1000:$1000</definedName>
    <definedName name="z_FHFK200110_MO_Unstructured_SNA_MOKPILossRatio">Model!$994:$994</definedName>
    <definedName name="z_FHFK200110_MO_Unstructured_SNA_MOKPINEP">Model!$992:$992</definedName>
    <definedName name="z_FHFK200110_MO_Unstructured_SNA_MOKPINetIG">Model!$1015:$1015</definedName>
    <definedName name="z_FHFK200110_MO_Unstructured_SNA_MOKPINetII_1">Model!$1014:$1014</definedName>
    <definedName name="z_FHFK200110_MO_Unstructured_SNA_MOKPINetIIYield">Model!$998:$998</definedName>
    <definedName name="z_FHFK200110_MO_Unstructured_SNA_MOKPINLR">Model!$1013:$1013</definedName>
    <definedName name="z_FHFK200110_MO_Unstructured_SNA_MOKPINUPR">Model!$1010:$1010</definedName>
    <definedName name="z_FHFK200110_MO_Unstructured_SNA_MOKPINWP">Model!$991:$991</definedName>
    <definedName name="z_FHFK200110_MO_Unstructured_SNA_MOKPIOOE">Model!$1003:$1003</definedName>
    <definedName name="z_FHFK200110_MO_Unstructured_SNA_MOKPIOOERatio">Model!$1006:$1006</definedName>
    <definedName name="z_FHFK200110_MO_Unstructured_SNA_MOKPIPAE_1">Model!$1002:$1002</definedName>
    <definedName name="z_FHFK200110_MO_Unstructured_SNA_MOKPIPAERatio">Model!$995:$995</definedName>
    <definedName name="z_FHFK200110_MO_Unstructured_SNA_MOKPIPIF">Model!$1026:$1026</definedName>
    <definedName name="z_FHFK200110_MO_Unstructured_SNA_MOKPIRR">Model!$1012:$1012</definedName>
    <definedName name="z_FHFK200110_MO_Unstructured_SNA_MOKPIUI">Model!$993:$993</definedName>
    <definedName name="z_FHFK200110_MO_Unstructured_SNA_MOKPIUnderwritingExpense">Model!$1004:$1004</definedName>
    <definedName name="z_FHFK200110_MO_Unstructured_SNA_MOKPIWPERatio">Model!$1005:$1005</definedName>
    <definedName name="z_FHFK200110_MO_Unstructured_SNA_MOOSEmployeeCount">Model!$990:$990</definedName>
    <definedName name="z_FHFK200110_MO_Unstructured_SNA_MORISEPSWADAdj">Model!$989:$989</definedName>
    <definedName name="z_FHFK200110_MO_Unstructured_SNA_MORISNINONGAAPDiluted">Model!$988:$988</definedName>
    <definedName name="z_FHFK200110_MO_Unstructured_SNA_MORISREV">Model!$987:$987</definedName>
    <definedName name="z_FHFK200110_MO_Unstructured_SNA_MostRecentFiscalPeriodMRFP">Model!$1101:$1101</definedName>
    <definedName name="z_FHFK200110_MO_Unstructured_SNA_MostRecentFX">Model!$1098:$1098</definedName>
    <definedName name="z_FHFK200110_MO_Unstructured_SNA_MostRecentFXHardcoded">Model!$1099:$1099</definedName>
    <definedName name="z_FHFK200110_MO_Unstructured_SNA_MRFPColumnNumber">Model!$1100:$1100</definedName>
    <definedName name="z_FHFK200110_MO_Unstructured_SNA_NYSEPGR">Model!$968:$968</definedName>
    <definedName name="z_FHFK200110_MO_Unstructured_SNA_PBAvg">Model!$983:$983</definedName>
    <definedName name="z_FHFK200110_MO_Unstructured_SNA_PEAvg">Model!$982:$982</definedName>
    <definedName name="z_FHFK200110_MO_Unstructured_SNA_Period">Model!$1042:$1042</definedName>
    <definedName name="z_FHFK200110_MO_Unstructured_SNA_PGRN">Model!$970:$970</definedName>
    <definedName name="z_FHFK200110_MO_Unstructured_SNA_PGRUS">Model!$967:$967</definedName>
    <definedName name="z_FHFK200110_MO_Unstructured_SNA_PGRUS_1">Model!$969:$969</definedName>
    <definedName name="z_FHFK200110_MO_Unstructured_SNA_PGRUS_2">Model!$966:$966</definedName>
    <definedName name="z_FHFK200110_MO_Unstructured_SNA_QuarterlyGuidanceTable">Model!$1029:$1029</definedName>
    <definedName name="z_FHFK200110_MO_Unstructured_SNA_RealTimeOffSource">Model!$1057:$1057</definedName>
    <definedName name="z_FHFK200110_MO_Unstructured_SNA_RealTimeOffSource_1">Model!$1064:$1064</definedName>
    <definedName name="z_FHFK200110_MO_Unstructured_SNA_RealTimeOffSource_2">Model!$1071:$1071</definedName>
    <definedName name="z_FHFK200110_MO_Unstructured_SNA_RealTimeOffSource_3">Model!$1078:$1078</definedName>
    <definedName name="z_FHFK200110_MO_Unstructured_SNA_RealTimeStockPrice">Model!$1092:$1092</definedName>
    <definedName name="z_FHFK200110_MO_Unstructured_SNA_Refinitiv">Model!$1061:$1061</definedName>
    <definedName name="z_FHFK200110_MO_Unstructured_SNA_Refinitiv_1">Model!$1068:$1068</definedName>
    <definedName name="z_FHFK200110_MO_Unstructured_SNA_Refinitiv_2">Model!$1075:$1075</definedName>
    <definedName name="z_FHFK200110_MO_Unstructured_SNA_Refinitiv_3">Model!$1082:$1082</definedName>
    <definedName name="z_FHFK200110_MO_Unstructured_SNA_ReportingDate">Model!$1030:$1030</definedName>
    <definedName name="z_FHFK200110_MO_Unstructured_SNA_ReportingDate_1">Model!$1035:$1035</definedName>
    <definedName name="z_FHFK200110_MO_Unstructured_SNA_ReturnonAverageCommonEquity">Model!$980:$980</definedName>
    <definedName name="z_FHFK200110_MO_Unstructured_SNA_StockAverageRealTimeOffSource">Model!$1070:$1070</definedName>
    <definedName name="z_FHFK200110_MO_Unstructured_SNA_StockHighRealTimeOffSource">Model!$1056:$1056</definedName>
    <definedName name="z_FHFK200110_MO_Unstructured_SNA_StockLowRealTimeOffSource">Model!$1063:$1063</definedName>
    <definedName name="z_FHFK200110_MO_Unstructured_SNA_StockPriceEoP">Model!$1085:$1085</definedName>
    <definedName name="z_FHFK200110_MO_Unstructured_SNA_StockPriceTable">Model!$1053:$1053</definedName>
    <definedName name="z_FHFK200110_MO_Unstructured_SNA_TickerSymbol">Model!$965:$965</definedName>
    <definedName name="z_FHFK200110_MO_Unstructured_SNA_TradeCurrency">Model!$1095:$1095</definedName>
    <definedName name="z_FHFK200110_MO_Unstructured_SNA_TradeCurrencyHardcoded">Model!$1096:$1096</definedName>
    <definedName name="z_FHFK200110_MO_Unstructured_SNA_ValuationToggleTable">Model!$972:$972</definedName>
    <definedName name="z_FHFK200110_MO_VA_MarketCapAverage">Model!$721:$721</definedName>
    <definedName name="z_FHFK200110_MO_VA_MarketCapAvg">"Deleted"</definedName>
    <definedName name="z_FHFK200110_MO_VA_MarketCapHigh">"Deleted"</definedName>
    <definedName name="z_FHFK200110_MO_VA_MarketCapLow">"Deleted"</definedName>
    <definedName name="z_FHFK200110_MO_VA_PBAverage">Model!$724:$724</definedName>
    <definedName name="z_FHFK200110_MO_VA_PEAverage">Model!$723:$723</definedName>
    <definedName name="z_FHFK200110_MO_VA_StockAvg">Model!$728:$728</definedName>
    <definedName name="z_FHFK200110_MO_VA_StockHigh">Model!$726:$726</definedName>
    <definedName name="z_FHFK200110_MO_VA_StockLow">Model!$727:$727</definedName>
    <definedName name="z_FHFK200110_MO_VA_StockPriceAverage">Model!$720:$720</definedName>
    <definedName name="AA.ModelColorScheme">"Classic"</definedName>
    <definedName name="AA.ColorizerVersion">"2.0.4.0"</definedName>
  </definedNames>
  <calcPr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9" l="1"/>
</calcChain>
</file>

<file path=xl/comments2.xml><?xml version="1.0" encoding="utf-8"?>
<comments xmlns="http://schemas.openxmlformats.org/spreadsheetml/2006/main" xmlns:mc="http://schemas.openxmlformats.org/markup-compatibility/2006" xmlns:xr="http://schemas.microsoft.com/office/spreadsheetml/2014/revision" mc:Ignorable="xr">
  <authors>
    <author>Canalyst (YaM)</author>
    <author>Tegus (YaM)</author>
    <author>Tegus (RF)</author>
  </authors>
  <commentList>
    <comment ref="A38" authorId="0" shapeId="0" xr:uid="{00000000-0006-0000-0100-000001000000}">
      <text>
        <r>
          <rPr>
            <b/>
            <sz val="9"/>
            <rFont val="Tahoma"/>
            <family val="2"/>
          </rPr>
          <t>Tegus (HD):</t>
        </r>
        <r>
          <rPr>
            <sz val="9"/>
            <rFont val="Tahoma"/>
            <family val="2"/>
          </rPr>
          <t xml:space="preserve">
The company does not breakout the % of Special lines policies in force part of Agency vs Direct channel. The User can use this line to estimate. </t>
        </r>
      </text>
    </comment>
    <comment ref="C38" authorId="1">
      <text>
        <r>
          <rPr>
            <b/>
            <sz val="9"/>
            <rFont val="Tahoma"/>
            <family val="2"/>
          </rPr>
          <t>Canalyst:</t>
        </r>
        <r>
          <rPr>
            <sz val="9"/>
            <rFont val="Tahoma"/>
            <family val="2"/>
          </rPr>
          <t xml:space="preserve">
Assumption by Canalyst</t>
        </r>
      </text>
    </comment>
    <comment ref="D38" authorId="1">
      <text>
        <r>
          <rPr>
            <b/>
            <sz val="9"/>
            <rFont val="Tahoma"/>
            <family val="2"/>
          </rPr>
          <t>Canalyst:</t>
        </r>
        <r>
          <rPr>
            <sz val="9"/>
            <rFont val="Tahoma"/>
            <family val="2"/>
          </rPr>
          <t xml:space="preserve">
Assumption by Canalyst</t>
        </r>
      </text>
    </comment>
    <comment ref="E38" authorId="1">
      <text>
        <r>
          <rPr>
            <b/>
            <sz val="9"/>
            <rFont val="Tahoma"/>
            <family val="2"/>
          </rPr>
          <t>Canalyst:</t>
        </r>
        <r>
          <rPr>
            <sz val="9"/>
            <rFont val="Tahoma"/>
            <family val="2"/>
          </rPr>
          <t xml:space="preserve">
Assumption by Canalyst</t>
        </r>
      </text>
    </comment>
    <comment ref="F38" authorId="1">
      <text>
        <r>
          <rPr>
            <b/>
            <sz val="9"/>
            <rFont val="Tahoma"/>
            <family val="2"/>
          </rPr>
          <t>Canalyst:</t>
        </r>
        <r>
          <rPr>
            <sz val="9"/>
            <rFont val="Tahoma"/>
            <family val="2"/>
          </rPr>
          <t xml:space="preserve">
Assumption by Canalyst</t>
        </r>
      </text>
    </comment>
    <comment ref="G38" authorId="1">
      <text>
        <r>
          <rPr>
            <b/>
            <sz val="9"/>
            <rFont val="Tahoma"/>
            <family val="2"/>
          </rPr>
          <t>Canalyst:</t>
        </r>
        <r>
          <rPr>
            <sz val="9"/>
            <rFont val="Tahoma"/>
            <family val="2"/>
          </rPr>
          <t xml:space="preserve">
Assumption by Canalyst</t>
        </r>
      </text>
    </comment>
    <comment ref="H38" authorId="1">
      <text>
        <r>
          <rPr>
            <b/>
            <sz val="9"/>
            <rFont val="Tahoma"/>
            <family val="2"/>
          </rPr>
          <t>Canalyst:</t>
        </r>
        <r>
          <rPr>
            <sz val="9"/>
            <rFont val="Tahoma"/>
            <family val="2"/>
          </rPr>
          <t xml:space="preserve">
Assumption by Canalyst</t>
        </r>
      </text>
    </comment>
    <comment ref="I38" authorId="1">
      <text>
        <r>
          <rPr>
            <b/>
            <sz val="9"/>
            <rFont val="Tahoma"/>
            <family val="2"/>
          </rPr>
          <t>Canalyst:</t>
        </r>
        <r>
          <rPr>
            <sz val="9"/>
            <rFont val="Tahoma"/>
            <family val="2"/>
          </rPr>
          <t xml:space="preserve">
Assumption by Canalyst</t>
        </r>
      </text>
    </comment>
    <comment ref="J38" authorId="1">
      <text>
        <r>
          <rPr>
            <b/>
            <sz val="9"/>
            <rFont val="Tahoma"/>
            <family val="2"/>
          </rPr>
          <t>Canalyst:</t>
        </r>
        <r>
          <rPr>
            <sz val="9"/>
            <rFont val="Tahoma"/>
            <family val="2"/>
          </rPr>
          <t xml:space="preserve">
Assumption by Canalyst</t>
        </r>
      </text>
    </comment>
    <comment ref="K38" authorId="1">
      <text>
        <r>
          <rPr>
            <b/>
            <sz val="9"/>
            <rFont val="Tahoma"/>
            <family val="2"/>
          </rPr>
          <t>Canalyst:</t>
        </r>
        <r>
          <rPr>
            <sz val="9"/>
            <rFont val="Tahoma"/>
            <family val="2"/>
          </rPr>
          <t xml:space="preserve">
Assumption by Canalyst</t>
        </r>
      </text>
    </comment>
    <comment ref="L38" authorId="1">
      <text>
        <r>
          <rPr>
            <b/>
            <sz val="9"/>
            <rFont val="Tahoma"/>
            <family val="2"/>
          </rPr>
          <t>Canalyst:</t>
        </r>
        <r>
          <rPr>
            <sz val="9"/>
            <rFont val="Tahoma"/>
            <family val="2"/>
          </rPr>
          <t xml:space="preserve">
Assumption by Canalyst</t>
        </r>
      </text>
    </comment>
    <comment ref="M38" authorId="1">
      <text>
        <r>
          <rPr>
            <b/>
            <sz val="9"/>
            <rFont val="Tahoma"/>
            <family val="2"/>
          </rPr>
          <t>Canalyst:</t>
        </r>
        <r>
          <rPr>
            <sz val="9"/>
            <rFont val="Tahoma"/>
            <family val="2"/>
          </rPr>
          <t xml:space="preserve">
Assumption by Canalyst</t>
        </r>
      </text>
    </comment>
    <comment ref="N38" authorId="1">
      <text>
        <r>
          <rPr>
            <b/>
            <sz val="9"/>
            <rFont val="Tahoma"/>
            <family val="2"/>
          </rPr>
          <t>Canalyst:</t>
        </r>
        <r>
          <rPr>
            <sz val="9"/>
            <rFont val="Tahoma"/>
            <family val="2"/>
          </rPr>
          <t xml:space="preserve">
Assumption by Canalyst</t>
        </r>
      </text>
    </comment>
    <comment ref="O38" authorId="1">
      <text>
        <r>
          <rPr>
            <b/>
            <sz val="9"/>
            <rFont val="Tahoma"/>
            <family val="2"/>
          </rPr>
          <t>Canalyst:</t>
        </r>
        <r>
          <rPr>
            <sz val="9"/>
            <rFont val="Tahoma"/>
            <family val="2"/>
          </rPr>
          <t xml:space="preserve">
Assumption by Canalyst</t>
        </r>
      </text>
    </comment>
    <comment ref="P38" authorId="1">
      <text>
        <r>
          <rPr>
            <b/>
            <sz val="9"/>
            <rFont val="Tahoma"/>
            <family val="2"/>
          </rPr>
          <t>Canalyst:</t>
        </r>
        <r>
          <rPr>
            <sz val="9"/>
            <rFont val="Tahoma"/>
            <family val="2"/>
          </rPr>
          <t xml:space="preserve">
Assumption by Canalyst</t>
        </r>
      </text>
    </comment>
    <comment ref="Q38" authorId="1">
      <text>
        <r>
          <rPr>
            <b/>
            <sz val="9"/>
            <rFont val="Tahoma"/>
            <family val="2"/>
          </rPr>
          <t>Canalyst:</t>
        </r>
        <r>
          <rPr>
            <sz val="9"/>
            <rFont val="Tahoma"/>
            <family val="2"/>
          </rPr>
          <t xml:space="preserve">
Assumption by Canalyst</t>
        </r>
      </text>
    </comment>
    <comment ref="R38" authorId="1">
      <text>
        <r>
          <rPr>
            <b/>
            <sz val="9"/>
            <rFont val="Tahoma"/>
            <family val="2"/>
          </rPr>
          <t>Canalyst:</t>
        </r>
        <r>
          <rPr>
            <sz val="9"/>
            <rFont val="Tahoma"/>
            <family val="2"/>
          </rPr>
          <t xml:space="preserve">
Assumption by Canalyst</t>
        </r>
      </text>
    </comment>
    <comment ref="S38" authorId="1">
      <text>
        <r>
          <rPr>
            <b/>
            <sz val="9"/>
            <rFont val="Tahoma"/>
            <family val="2"/>
          </rPr>
          <t>Canalyst:</t>
        </r>
        <r>
          <rPr>
            <sz val="9"/>
            <rFont val="Tahoma"/>
            <family val="2"/>
          </rPr>
          <t xml:space="preserve">
Assumption by Canalyst</t>
        </r>
      </text>
    </comment>
    <comment ref="T38" authorId="1">
      <text>
        <r>
          <rPr>
            <b/>
            <sz val="9"/>
            <rFont val="Tahoma"/>
            <family val="2"/>
          </rPr>
          <t>Canalyst:</t>
        </r>
        <r>
          <rPr>
            <sz val="9"/>
            <rFont val="Tahoma"/>
            <family val="2"/>
          </rPr>
          <t xml:space="preserve">
Assumption by Canalyst</t>
        </r>
      </text>
    </comment>
    <comment ref="U38" authorId="1">
      <text>
        <r>
          <rPr>
            <b/>
            <sz val="9"/>
            <rFont val="Tahoma"/>
            <family val="2"/>
          </rPr>
          <t>Canalyst:</t>
        </r>
        <r>
          <rPr>
            <sz val="9"/>
            <rFont val="Tahoma"/>
            <family val="2"/>
          </rPr>
          <t xml:space="preserve">
Assumption by Canalyst</t>
        </r>
      </text>
    </comment>
    <comment ref="V38" authorId="1">
      <text>
        <r>
          <rPr>
            <b/>
            <sz val="9"/>
            <rFont val="Tahoma"/>
            <family val="2"/>
          </rPr>
          <t>Canalyst:</t>
        </r>
        <r>
          <rPr>
            <sz val="9"/>
            <rFont val="Tahoma"/>
            <family val="2"/>
          </rPr>
          <t xml:space="preserve">
Assumption by Canalyst</t>
        </r>
      </text>
    </comment>
    <comment ref="W38" authorId="1">
      <text>
        <r>
          <rPr>
            <b/>
            <sz val="9"/>
            <rFont val="Tahoma"/>
            <family val="2"/>
          </rPr>
          <t>Canalyst:</t>
        </r>
        <r>
          <rPr>
            <sz val="9"/>
            <rFont val="Tahoma"/>
            <family val="2"/>
          </rPr>
          <t xml:space="preserve">
Assumption by Canalyst</t>
        </r>
      </text>
    </comment>
    <comment ref="X38" authorId="1">
      <text>
        <r>
          <rPr>
            <b/>
            <sz val="9"/>
            <rFont val="Tahoma"/>
            <family val="2"/>
          </rPr>
          <t>Canalyst:</t>
        </r>
        <r>
          <rPr>
            <sz val="9"/>
            <rFont val="Tahoma"/>
            <family val="2"/>
          </rPr>
          <t xml:space="preserve">
Assumption by Canalyst</t>
        </r>
      </text>
    </comment>
    <comment ref="Y38" authorId="1">
      <text>
        <r>
          <rPr>
            <b/>
            <sz val="9"/>
            <rFont val="Tahoma"/>
            <family val="2"/>
          </rPr>
          <t>Canalyst:</t>
        </r>
        <r>
          <rPr>
            <sz val="9"/>
            <rFont val="Tahoma"/>
            <family val="2"/>
          </rPr>
          <t xml:space="preserve">
Assumption by Canalyst</t>
        </r>
      </text>
    </comment>
    <comment ref="Z38" authorId="1">
      <text>
        <r>
          <rPr>
            <b/>
            <sz val="9"/>
            <rFont val="Tahoma"/>
            <family val="2"/>
          </rPr>
          <t>Canalyst:</t>
        </r>
        <r>
          <rPr>
            <sz val="9"/>
            <rFont val="Tahoma"/>
            <family val="2"/>
          </rPr>
          <t xml:space="preserve">
Assumption by Canalyst</t>
        </r>
      </text>
    </comment>
    <comment ref="AA38" authorId="1">
      <text>
        <r>
          <rPr>
            <b/>
            <sz val="9"/>
            <rFont val="Tahoma"/>
            <family val="2"/>
          </rPr>
          <t>Canalyst:</t>
        </r>
        <r>
          <rPr>
            <sz val="9"/>
            <rFont val="Tahoma"/>
            <family val="2"/>
          </rPr>
          <t xml:space="preserve">
Assumption by Canalyst</t>
        </r>
      </text>
    </comment>
    <comment ref="AB38" authorId="1">
      <text>
        <r>
          <rPr>
            <b/>
            <sz val="9"/>
            <rFont val="Tahoma"/>
            <family val="2"/>
          </rPr>
          <t>Canalyst:</t>
        </r>
        <r>
          <rPr>
            <sz val="9"/>
            <rFont val="Tahoma"/>
            <family val="2"/>
          </rPr>
          <t xml:space="preserve">
Assumption by Canalyst</t>
        </r>
      </text>
    </comment>
    <comment ref="AC38" authorId="1">
      <text>
        <r>
          <rPr>
            <b/>
            <sz val="9"/>
            <rFont val="Tahoma"/>
            <family val="2"/>
          </rPr>
          <t>Canalyst:</t>
        </r>
        <r>
          <rPr>
            <sz val="9"/>
            <rFont val="Tahoma"/>
            <family val="2"/>
          </rPr>
          <t xml:space="preserve">
Assumption by Canalyst</t>
        </r>
      </text>
    </comment>
    <comment ref="AD38" authorId="1">
      <text>
        <r>
          <rPr>
            <b/>
            <sz val="9"/>
            <rFont val="Tahoma"/>
            <family val="2"/>
          </rPr>
          <t>Canalyst:</t>
        </r>
        <r>
          <rPr>
            <sz val="9"/>
            <rFont val="Tahoma"/>
            <family val="2"/>
          </rPr>
          <t xml:space="preserve">
Assumption by Canalyst</t>
        </r>
      </text>
    </comment>
    <comment ref="AE38" authorId="1">
      <text>
        <r>
          <rPr>
            <b/>
            <sz val="9"/>
            <rFont val="Tahoma"/>
            <family val="2"/>
          </rPr>
          <t>Canalyst:</t>
        </r>
        <r>
          <rPr>
            <sz val="9"/>
            <rFont val="Tahoma"/>
            <family val="2"/>
          </rPr>
          <t xml:space="preserve">
Assumption by Canalyst</t>
        </r>
      </text>
    </comment>
    <comment ref="AF38" authorId="1">
      <text>
        <r>
          <rPr>
            <b/>
            <sz val="9"/>
            <rFont val="Tahoma"/>
            <family val="2"/>
          </rPr>
          <t>Canalyst:</t>
        </r>
        <r>
          <rPr>
            <sz val="9"/>
            <rFont val="Tahoma"/>
            <family val="2"/>
          </rPr>
          <t xml:space="preserve">
Assumption by Canalyst</t>
        </r>
      </text>
    </comment>
    <comment ref="AG38" authorId="1">
      <text>
        <r>
          <rPr>
            <b/>
            <sz val="9"/>
            <rFont val="Tahoma"/>
            <family val="2"/>
          </rPr>
          <t>Canalyst:</t>
        </r>
        <r>
          <rPr>
            <sz val="9"/>
            <rFont val="Tahoma"/>
            <family val="2"/>
          </rPr>
          <t xml:space="preserve">
Assumption by Canalyst</t>
        </r>
      </text>
    </comment>
    <comment ref="AH38" authorId="1">
      <text>
        <r>
          <rPr>
            <b/>
            <sz val="9"/>
            <rFont val="Tahoma"/>
            <family val="2"/>
          </rPr>
          <t>Canalyst:</t>
        </r>
        <r>
          <rPr>
            <sz val="9"/>
            <rFont val="Tahoma"/>
            <family val="2"/>
          </rPr>
          <t xml:space="preserve">
Assumption by Canalyst</t>
        </r>
      </text>
    </comment>
    <comment ref="AI38" authorId="1">
      <text>
        <r>
          <rPr>
            <b/>
            <sz val="9"/>
            <rFont val="Tahoma"/>
            <family val="2"/>
          </rPr>
          <t>Canalyst:</t>
        </r>
        <r>
          <rPr>
            <sz val="9"/>
            <rFont val="Tahoma"/>
            <family val="2"/>
          </rPr>
          <t xml:space="preserve">
Assumption by Canalyst</t>
        </r>
      </text>
    </comment>
    <comment ref="AJ38" authorId="1">
      <text>
        <r>
          <rPr>
            <b/>
            <sz val="9"/>
            <rFont val="Tahoma"/>
            <family val="2"/>
          </rPr>
          <t>Canalyst:</t>
        </r>
        <r>
          <rPr>
            <sz val="9"/>
            <rFont val="Tahoma"/>
            <family val="2"/>
          </rPr>
          <t xml:space="preserve">
Assumption by Canalyst</t>
        </r>
      </text>
    </comment>
    <comment ref="AK38" authorId="1">
      <text>
        <r>
          <rPr>
            <b/>
            <sz val="9"/>
            <rFont val="Tahoma"/>
            <family val="2"/>
          </rPr>
          <t>Canalyst:</t>
        </r>
        <r>
          <rPr>
            <sz val="9"/>
            <rFont val="Tahoma"/>
            <family val="2"/>
          </rPr>
          <t xml:space="preserve">
Assumption by Canalyst</t>
        </r>
      </text>
    </comment>
    <comment ref="AL38" authorId="1">
      <text>
        <r>
          <rPr>
            <b/>
            <sz val="9"/>
            <rFont val="Tahoma"/>
            <family val="2"/>
          </rPr>
          <t>Canalyst:</t>
        </r>
        <r>
          <rPr>
            <sz val="9"/>
            <rFont val="Tahoma"/>
            <family val="2"/>
          </rPr>
          <t xml:space="preserve">
Assumption by Canalyst</t>
        </r>
      </text>
    </comment>
    <comment ref="AM38" authorId="1">
      <text>
        <r>
          <rPr>
            <b/>
            <sz val="9"/>
            <rFont val="Tahoma"/>
            <family val="2"/>
          </rPr>
          <t>Canalyst:</t>
        </r>
        <r>
          <rPr>
            <sz val="9"/>
            <rFont val="Tahoma"/>
            <family val="2"/>
          </rPr>
          <t xml:space="preserve">
Assumption by Canalyst</t>
        </r>
      </text>
    </comment>
    <comment ref="AN38" authorId="1">
      <text>
        <r>
          <rPr>
            <b/>
            <sz val="9"/>
            <rFont val="Tahoma"/>
            <family val="2"/>
          </rPr>
          <t>Canalyst:</t>
        </r>
        <r>
          <rPr>
            <sz val="9"/>
            <rFont val="Tahoma"/>
            <family val="2"/>
          </rPr>
          <t xml:space="preserve">
Assumption by Canalyst</t>
        </r>
      </text>
    </comment>
    <comment ref="AO38" authorId="1">
      <text>
        <r>
          <rPr>
            <b/>
            <sz val="9"/>
            <rFont val="Tahoma"/>
            <family val="2"/>
          </rPr>
          <t>Canalyst:</t>
        </r>
        <r>
          <rPr>
            <sz val="9"/>
            <rFont val="Tahoma"/>
            <family val="2"/>
          </rPr>
          <t xml:space="preserve">
Assumption by Canalyst</t>
        </r>
      </text>
    </comment>
    <comment ref="AP38" authorId="1">
      <text>
        <r>
          <rPr>
            <b/>
            <sz val="9"/>
            <rFont val="Tahoma"/>
            <family val="2"/>
          </rPr>
          <t>Canalyst:</t>
        </r>
        <r>
          <rPr>
            <sz val="9"/>
            <rFont val="Tahoma"/>
            <family val="2"/>
          </rPr>
          <t xml:space="preserve">
Assumption by Canalyst</t>
        </r>
      </text>
    </comment>
    <comment ref="AQ38" authorId="1">
      <text>
        <r>
          <rPr>
            <b/>
            <sz val="9"/>
            <rFont val="Tahoma"/>
            <family val="2"/>
          </rPr>
          <t>Canalyst:</t>
        </r>
        <r>
          <rPr>
            <sz val="9"/>
            <rFont val="Tahoma"/>
            <family val="2"/>
          </rPr>
          <t xml:space="preserve">
Assumption by Canalyst</t>
        </r>
      </text>
    </comment>
    <comment ref="AR38" authorId="1">
      <text>
        <r>
          <rPr>
            <b/>
            <sz val="9"/>
            <rFont val="Tahoma"/>
            <family val="2"/>
          </rPr>
          <t>Canalyst:</t>
        </r>
        <r>
          <rPr>
            <sz val="9"/>
            <rFont val="Tahoma"/>
            <family val="2"/>
          </rPr>
          <t xml:space="preserve">
Assumption by Canalyst</t>
        </r>
      </text>
    </comment>
    <comment ref="AS38" authorId="1">
      <text>
        <r>
          <rPr>
            <b/>
            <sz val="9"/>
            <rFont val="Tahoma"/>
            <family val="2"/>
          </rPr>
          <t>Canalyst:</t>
        </r>
        <r>
          <rPr>
            <sz val="9"/>
            <rFont val="Tahoma"/>
            <family val="2"/>
          </rPr>
          <t xml:space="preserve">
Assumption by Canalyst</t>
        </r>
      </text>
    </comment>
    <comment ref="AT38" authorId="1">
      <text>
        <r>
          <rPr>
            <b/>
            <sz val="9"/>
            <rFont val="Tahoma"/>
            <family val="2"/>
          </rPr>
          <t>Canalyst:</t>
        </r>
        <r>
          <rPr>
            <sz val="9"/>
            <rFont val="Tahoma"/>
            <family val="2"/>
          </rPr>
          <t xml:space="preserve">
Assumption by Canalyst</t>
        </r>
      </text>
    </comment>
    <comment ref="AU38" authorId="1">
      <text>
        <r>
          <rPr>
            <b/>
            <sz val="9"/>
            <rFont val="Tahoma"/>
            <family val="2"/>
          </rPr>
          <t>Canalyst:</t>
        </r>
        <r>
          <rPr>
            <sz val="9"/>
            <rFont val="Tahoma"/>
            <family val="2"/>
          </rPr>
          <t xml:space="preserve">
Assumption by Canalyst</t>
        </r>
      </text>
    </comment>
    <comment ref="AV38" authorId="1">
      <text>
        <r>
          <rPr>
            <b/>
            <sz val="9"/>
            <rFont val="Tahoma"/>
            <family val="2"/>
          </rPr>
          <t>Canalyst:</t>
        </r>
        <r>
          <rPr>
            <sz val="9"/>
            <rFont val="Tahoma"/>
            <family val="2"/>
          </rPr>
          <t xml:space="preserve">
Assumption by Canalyst</t>
        </r>
      </text>
    </comment>
    <comment ref="AW38" authorId="1">
      <text>
        <r>
          <rPr>
            <b/>
            <sz val="9"/>
            <rFont val="Tahoma"/>
            <family val="2"/>
          </rPr>
          <t>Canalyst:</t>
        </r>
        <r>
          <rPr>
            <sz val="9"/>
            <rFont val="Tahoma"/>
            <family val="2"/>
          </rPr>
          <t xml:space="preserve">
Assumption by Canalyst</t>
        </r>
      </text>
    </comment>
    <comment ref="AX38" authorId="1">
      <text>
        <r>
          <rPr>
            <b/>
            <sz val="9"/>
            <rFont val="Tahoma"/>
            <family val="2"/>
          </rPr>
          <t>Canalyst:</t>
        </r>
        <r>
          <rPr>
            <sz val="9"/>
            <rFont val="Tahoma"/>
            <family val="2"/>
          </rPr>
          <t xml:space="preserve">
Assumption by Canalyst</t>
        </r>
      </text>
    </comment>
    <comment ref="AY38" authorId="1">
      <text>
        <r>
          <rPr>
            <b/>
            <sz val="9"/>
            <rFont val="Tahoma"/>
            <family val="2"/>
          </rPr>
          <t>Canalyst:</t>
        </r>
        <r>
          <rPr>
            <sz val="9"/>
            <rFont val="Tahoma"/>
            <family val="2"/>
          </rPr>
          <t xml:space="preserve">
Assumption by Canalyst</t>
        </r>
      </text>
    </comment>
    <comment ref="AZ38" authorId="1">
      <text>
        <r>
          <rPr>
            <b/>
            <sz val="9"/>
            <rFont val="Tahoma"/>
            <family val="2"/>
          </rPr>
          <t>Canalyst:</t>
        </r>
        <r>
          <rPr>
            <sz val="9"/>
            <rFont val="Tahoma"/>
            <family val="2"/>
          </rPr>
          <t xml:space="preserve">
Assumption by Canalyst</t>
        </r>
      </text>
    </comment>
    <comment ref="BA38" authorId="1">
      <text>
        <r>
          <rPr>
            <b/>
            <sz val="9"/>
            <rFont val="Tahoma"/>
            <family val="2"/>
          </rPr>
          <t>Canalyst:</t>
        </r>
        <r>
          <rPr>
            <sz val="9"/>
            <rFont val="Tahoma"/>
            <family val="2"/>
          </rPr>
          <t xml:space="preserve">
Assumption by Canalyst</t>
        </r>
      </text>
    </comment>
    <comment ref="BB38" authorId="1">
      <text>
        <r>
          <rPr>
            <b/>
            <sz val="9"/>
            <rFont val="Tahoma"/>
            <family val="2"/>
          </rPr>
          <t>Canalyst:</t>
        </r>
        <r>
          <rPr>
            <sz val="9"/>
            <rFont val="Tahoma"/>
            <family val="2"/>
          </rPr>
          <t xml:space="preserve">
Assumption by Canalyst</t>
        </r>
      </text>
    </comment>
    <comment ref="BC38" authorId="1">
      <text>
        <r>
          <rPr>
            <b/>
            <sz val="9"/>
            <rFont val="Tahoma"/>
            <family val="2"/>
          </rPr>
          <t>Canalyst:</t>
        </r>
        <r>
          <rPr>
            <sz val="9"/>
            <rFont val="Tahoma"/>
            <family val="2"/>
          </rPr>
          <t xml:space="preserve">
Assumption by Canalyst</t>
        </r>
      </text>
    </comment>
    <comment ref="BD38" authorId="1">
      <text>
        <r>
          <rPr>
            <b/>
            <sz val="9"/>
            <rFont val="Tahoma"/>
            <family val="2"/>
          </rPr>
          <t>Canalyst:</t>
        </r>
        <r>
          <rPr>
            <sz val="9"/>
            <rFont val="Tahoma"/>
            <family val="2"/>
          </rPr>
          <t xml:space="preserve">
Assumption by Canalyst</t>
        </r>
      </text>
    </comment>
    <comment ref="BE38" authorId="1">
      <text>
        <r>
          <rPr>
            <b/>
            <sz val="9"/>
            <rFont val="Tahoma"/>
            <family val="2"/>
          </rPr>
          <t>Canalyst:</t>
        </r>
        <r>
          <rPr>
            <sz val="9"/>
            <rFont val="Tahoma"/>
            <family val="2"/>
          </rPr>
          <t xml:space="preserve">
Assumption by Canalyst</t>
        </r>
      </text>
    </comment>
    <comment ref="BF38" authorId="1">
      <text>
        <r>
          <rPr>
            <b/>
            <sz val="9"/>
            <rFont val="Tahoma"/>
            <family val="2"/>
          </rPr>
          <t>Canalyst:</t>
        </r>
        <r>
          <rPr>
            <sz val="9"/>
            <rFont val="Tahoma"/>
            <family val="2"/>
          </rPr>
          <t xml:space="preserve">
Assumption by Canalyst</t>
        </r>
      </text>
    </comment>
    <comment ref="BG38" authorId="1">
      <text>
        <r>
          <rPr>
            <b/>
            <sz val="9"/>
            <rFont val="Tahoma"/>
            <family val="2"/>
          </rPr>
          <t>Canalyst:</t>
        </r>
        <r>
          <rPr>
            <sz val="9"/>
            <rFont val="Tahoma"/>
            <family val="2"/>
          </rPr>
          <t xml:space="preserve">
Assumption by Canalyst</t>
        </r>
      </text>
    </comment>
    <comment ref="BH38" authorId="1">
      <text>
        <r>
          <rPr>
            <b/>
            <sz val="9"/>
            <rFont val="Tahoma"/>
            <family val="2"/>
          </rPr>
          <t>Canalyst:</t>
        </r>
        <r>
          <rPr>
            <sz val="9"/>
            <rFont val="Tahoma"/>
            <family val="2"/>
          </rPr>
          <t xml:space="preserve">
Assumption by Canalyst</t>
        </r>
      </text>
    </comment>
    <comment ref="AF151" authorId="0" shapeId="0" xr:uid="{00000000-0006-0000-0100-000002000000}">
      <text>
        <r>
          <rPr>
            <b/>
            <sz val="9"/>
            <rFont val="Tahoma"/>
            <family val="2"/>
          </rPr>
          <t>Tegus (HD):</t>
        </r>
        <r>
          <rPr>
            <sz val="9"/>
            <rFont val="Tahoma"/>
            <family val="2"/>
          </rPr>
          <t xml:space="preserve">
Not reported prior to this period</t>
        </r>
      </text>
    </comment>
    <comment ref="C254" authorId="0" shapeId="0" xr:uid="{00000000-0006-0000-0100-000003000000}">
      <text>
        <r>
          <rPr>
            <b/>
            <sz val="9"/>
            <rFont val="Tahoma"/>
            <family val="2"/>
          </rPr>
          <t>Tegus (MC):</t>
        </r>
        <r>
          <rPr>
            <sz val="9"/>
            <rFont val="Tahoma"/>
            <family val="2"/>
          </rPr>
          <t xml:space="preserve">
Hardcoded as reported</t>
        </r>
      </text>
    </comment>
    <comment ref="D254" authorId="0" shapeId="0" xr:uid="{00000000-0006-0000-0100-000004000000}">
      <text>
        <r>
          <rPr>
            <b/>
            <sz val="9"/>
            <rFont val="Tahoma"/>
            <family val="2"/>
          </rPr>
          <t>Tegus (MC):</t>
        </r>
        <r>
          <rPr>
            <sz val="9"/>
            <rFont val="Tahoma"/>
            <family val="2"/>
          </rPr>
          <t xml:space="preserve">
Hardcoded as reported</t>
        </r>
      </text>
    </comment>
    <comment ref="AU257" authorId="0" shapeId="0" xr:uid="{00000000-0006-0000-0100-000005000000}">
      <text>
        <r>
          <rPr>
            <b/>
            <sz val="9"/>
            <rFont val="Tahoma"/>
            <family val="2"/>
          </rPr>
          <t>Tegus (HD):</t>
        </r>
        <r>
          <rPr>
            <sz val="9"/>
            <rFont val="Tahoma"/>
            <family val="2"/>
          </rPr>
          <t xml:space="preserve">
Reported as 75.7%</t>
        </r>
      </text>
    </comment>
    <comment ref="AX257" authorId="0" shapeId="0" xr:uid="{00000000-0006-0000-0100-000006000000}">
      <text>
        <r>
          <rPr>
            <b/>
            <sz val="9"/>
            <rFont val="Tahoma"/>
            <family val="2"/>
          </rPr>
          <t>Tegus (GK):</t>
        </r>
        <r>
          <rPr>
            <sz val="9"/>
            <rFont val="Tahoma"/>
            <family val="2"/>
          </rPr>
          <t xml:space="preserve">
Reported as 80.6%</t>
        </r>
      </text>
    </comment>
    <comment ref="AU264" authorId="0" shapeId="0" xr:uid="{00000000-0006-0000-0100-000007000000}">
      <text>
        <r>
          <rPr>
            <b/>
            <sz val="9"/>
            <rFont val="Tahoma"/>
            <family val="2"/>
          </rPr>
          <t>Tegus (HD):</t>
        </r>
        <r>
          <rPr>
            <sz val="9"/>
            <rFont val="Tahoma"/>
            <family val="2"/>
          </rPr>
          <t xml:space="preserve">
Reported as 75.7%</t>
        </r>
      </text>
    </comment>
    <comment ref="AV264" authorId="0" shapeId="0" xr:uid="{00000000-0006-0000-0100-000008000000}">
      <text>
        <r>
          <rPr>
            <b/>
            <sz val="9"/>
            <rFont val="Tahoma"/>
            <family val="2"/>
          </rPr>
          <t>Tegus (HD):</t>
        </r>
        <r>
          <rPr>
            <sz val="9"/>
            <rFont val="Tahoma"/>
            <family val="2"/>
          </rPr>
          <t xml:space="preserve">
Reported as 75.0%</t>
        </r>
      </text>
    </comment>
    <comment ref="AW264" authorId="0" shapeId="0" xr:uid="{00000000-0006-0000-0100-000009000000}">
      <text>
        <r>
          <rPr>
            <b/>
            <sz val="9"/>
            <rFont val="Tahoma"/>
            <family val="2"/>
          </rPr>
          <t>Tegus (HD):</t>
        </r>
        <r>
          <rPr>
            <sz val="9"/>
            <rFont val="Tahoma"/>
            <family val="2"/>
          </rPr>
          <t xml:space="preserve">
Reported as 77.4%</t>
        </r>
      </text>
    </comment>
    <comment ref="AX264" authorId="0" shapeId="0" xr:uid="{00000000-0006-0000-0100-00000A000000}">
      <text>
        <r>
          <rPr>
            <b/>
            <sz val="9"/>
            <rFont val="Tahoma"/>
            <family val="2"/>
          </rPr>
          <t>Tegus (GK):</t>
        </r>
        <r>
          <rPr>
            <sz val="9"/>
            <rFont val="Tahoma"/>
            <family val="2"/>
          </rPr>
          <t xml:space="preserve">
Reported as 80.6%</t>
        </r>
      </text>
    </comment>
    <comment ref="AZ264" authorId="0" shapeId="0" xr:uid="{00000000-0006-0000-0100-00000B000000}">
      <text>
        <r>
          <rPr>
            <b/>
            <sz val="9"/>
            <rFont val="Tahoma"/>
            <family val="2"/>
          </rPr>
          <t>Tegus (FV):</t>
        </r>
        <r>
          <rPr>
            <sz val="9"/>
            <rFont val="Tahoma"/>
            <family val="2"/>
          </rPr>
          <t xml:space="preserve">
Reported as 77.3%</t>
        </r>
      </text>
    </comment>
    <comment ref="BA264" authorId="0" shapeId="0" xr:uid="{00000000-0006-0000-0100-00000C000000}">
      <text>
        <r>
          <rPr>
            <b/>
            <sz val="9"/>
            <rFont val="Tahoma"/>
            <family val="2"/>
          </rPr>
          <t>Tegus (GK):</t>
        </r>
        <r>
          <rPr>
            <sz val="9"/>
            <rFont val="Tahoma"/>
            <family val="2"/>
          </rPr>
          <t xml:space="preserve">
Reported as 78.4%</t>
        </r>
      </text>
    </comment>
    <comment ref="BB264" authorId="0" shapeId="0" xr:uid="{00000000-0006-0000-0100-00000D000000}">
      <text>
        <r>
          <rPr>
            <b/>
            <sz val="9"/>
            <rFont val="Tahoma"/>
            <family val="2"/>
          </rPr>
          <t>Tegus (SBM):</t>
        </r>
        <r>
          <rPr>
            <sz val="9"/>
            <rFont val="Tahoma"/>
            <family val="2"/>
          </rPr>
          <t xml:space="preserve">
Reported as 83.9%.</t>
        </r>
      </text>
    </comment>
    <comment ref="BE264" authorId="0" shapeId="0" xr:uid="{00000000-0006-0000-0100-00000E000000}">
      <text>
        <r>
          <rPr>
            <b/>
            <sz val="9"/>
            <rFont val="Tahoma"/>
            <family val="2"/>
          </rPr>
          <t>Tegus (HN):</t>
        </r>
        <r>
          <rPr>
            <sz val="9"/>
            <rFont val="Tahoma"/>
            <family val="2"/>
          </rPr>
          <t xml:space="preserve">
Reported as 77.6%</t>
        </r>
      </text>
    </comment>
    <comment ref="BF264" authorId="0" shapeId="0" xr:uid="{00000000-0006-0000-0100-00000F000000}">
      <text>
        <r>
          <rPr>
            <b/>
            <sz val="9"/>
            <rFont val="Tahoma"/>
            <family val="2"/>
          </rPr>
          <t>Tegus (SBM):</t>
        </r>
        <r>
          <rPr>
            <sz val="9"/>
            <rFont val="Tahoma"/>
            <family val="2"/>
          </rPr>
          <t xml:space="preserve">
Reported as 67.8%.</t>
        </r>
      </text>
    </comment>
    <comment ref="A269" authorId="0" shapeId="0" xr:uid="{00000000-0006-0000-0100-000010000000}">
      <text>
        <r>
          <rPr>
            <b/>
            <sz val="9"/>
            <rFont val="Tahoma"/>
            <family val="2"/>
          </rPr>
          <t>Tegus (HD):</t>
        </r>
        <r>
          <rPr>
            <sz val="9"/>
            <rFont val="Tahoma"/>
            <family val="2"/>
          </rPr>
          <t xml:space="preserve">
Segment results will not add up historically due to rounding and prior year development expense.</t>
        </r>
      </text>
    </comment>
    <comment ref="AZ269" authorId="0" shapeId="0" xr:uid="{00000000-0006-0000-0100-000011000000}">
      <text>
        <r>
          <rPr>
            <b/>
            <sz val="9"/>
            <rFont val="Tahoma"/>
            <family val="2"/>
          </rPr>
          <t>Tegus (HD):</t>
        </r>
        <r>
          <rPr>
            <sz val="9"/>
            <rFont val="Tahoma"/>
            <family val="2"/>
          </rPr>
          <t xml:space="preserve">
Segment results will not add up historically due to rounding and prior year development expense. Formula adjusted</t>
        </r>
      </text>
    </comment>
    <comment ref="BE269" authorId="0" shapeId="0" xr:uid="{00000000-0006-0000-0100-000012000000}">
      <text>
        <r>
          <rPr>
            <b/>
            <sz val="9"/>
            <rFont val="Tahoma"/>
            <family val="2"/>
          </rPr>
          <t>Tegus (HD):</t>
        </r>
        <r>
          <rPr>
            <sz val="9"/>
            <rFont val="Tahoma"/>
            <family val="2"/>
          </rPr>
          <t xml:space="preserve">
Segment results will not add up historically due to rounding and prior year development expense. Formula adjusted</t>
        </r>
      </text>
    </comment>
    <comment ref="BJ269" authorId="2" shapeId="0" xr:uid="{00000000-0006-0000-0100-000013000000}">
      <text>
        <r>
          <rPr>
            <b/>
            <sz val="9"/>
            <rFont val="Tahoma"/>
            <family val="2"/>
            <charset val="1"/>
          </rPr>
          <t>Tegus (RF):</t>
        </r>
        <r>
          <rPr>
            <sz val="9"/>
            <rFont val="Tahoma"/>
            <family val="2"/>
            <charset val="1"/>
          </rPr>
          <t xml:space="preserve">
horizontal sum</t>
        </r>
      </text>
    </comment>
    <comment ref="A273" authorId="0" shapeId="0" xr:uid="{00000000-0006-0000-0100-000014000000}">
      <text>
        <r>
          <rPr>
            <b/>
            <sz val="9"/>
            <rFont val="Tahoma"/>
            <family val="2"/>
          </rPr>
          <t>Tegus (HD):</t>
        </r>
        <r>
          <rPr>
            <sz val="9"/>
            <rFont val="Tahoma"/>
            <family val="2"/>
          </rPr>
          <t xml:space="preserve">
Segment results will not add up historically due to rounding.</t>
        </r>
      </text>
    </comment>
    <comment ref="AF273" authorId="0" shapeId="0" xr:uid="{00000000-0006-0000-0100-000015000000}">
      <text>
        <r>
          <rPr>
            <b/>
            <sz val="9"/>
            <rFont val="Tahoma"/>
            <family val="2"/>
          </rPr>
          <t>Tegus (HD):</t>
        </r>
        <r>
          <rPr>
            <sz val="9"/>
            <rFont val="Tahoma"/>
            <family val="2"/>
          </rPr>
          <t xml:space="preserve">
Prior to this period the company had different segment breakdown for catastrophe loss incurred. Therefore only consolidated numbers have been included</t>
        </r>
      </text>
    </comment>
    <comment ref="A283" authorId="0" shapeId="0" xr:uid="{00000000-0006-0000-0100-000016000000}">
      <text>
        <r>
          <rPr>
            <b/>
            <sz val="9"/>
            <rFont val="Tahoma"/>
            <family val="2"/>
          </rPr>
          <t>Tegus (HD):</t>
        </r>
        <r>
          <rPr>
            <sz val="9"/>
            <rFont val="Tahoma"/>
            <family val="2"/>
          </rPr>
          <t xml:space="preserve">
In the historical period the discrepancy is due to segment Loss and LAE being calculated. </t>
        </r>
      </text>
    </comment>
    <comment ref="BI283" authorId="0" shapeId="0" xr:uid="{00000000-0006-0000-0100-000017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J283" authorId="0" shapeId="0" xr:uid="{00000000-0006-0000-0100-000018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K283" authorId="0" shapeId="0" xr:uid="{00000000-0006-0000-0100-000019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L283" authorId="0" shapeId="0" xr:uid="{00000000-0006-0000-0100-00001A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M283" authorId="0" shapeId="0" xr:uid="{00000000-0006-0000-0100-00001B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N283" authorId="0" shapeId="0" xr:uid="{00000000-0006-0000-0100-00001C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O283" authorId="0" shapeId="0" xr:uid="{00000000-0006-0000-0100-00001D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P283" authorId="0" shapeId="0" xr:uid="{00000000-0006-0000-0100-00001E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Q283" authorId="0" shapeId="0" xr:uid="{00000000-0006-0000-0100-00001F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BR283" authorId="0" shapeId="0" xr:uid="{00000000-0006-0000-0100-000020000000}">
      <text>
        <r>
          <rPr>
            <b/>
            <sz val="9"/>
            <rFont val="Tahoma"/>
            <family val="2"/>
          </rPr>
          <t>Tegus (HD):</t>
        </r>
        <r>
          <rPr>
            <sz val="9"/>
            <rFont val="Tahoma"/>
            <family val="2"/>
          </rPr>
          <t xml:space="preserve">
In the forecast period the discrepancy line is equal to Prior accidents years development expense. The company does not break out prior accident year development expense by segment for historical period. </t>
        </r>
      </text>
    </comment>
    <comment ref="A291" authorId="0" shapeId="0" xr:uid="{00000000-0006-0000-0100-000021000000}">
      <text>
        <r>
          <rPr>
            <b/>
            <sz val="9"/>
            <rFont val="Tahoma"/>
            <family val="2"/>
          </rPr>
          <t>Tegus (HD):</t>
        </r>
        <r>
          <rPr>
            <sz val="9"/>
            <rFont val="Tahoma"/>
            <family val="2"/>
          </rPr>
          <t xml:space="preserve">
Ratios are expressed as a percentage of net premiums earned; fees and other revenues are netted with underwriting expenses in the ratio calculations.</t>
        </r>
      </text>
    </comment>
    <comment ref="D291" authorId="0" shapeId="0" xr:uid="{00000000-0006-0000-0100-000022000000}">
      <text>
        <r>
          <rPr>
            <b/>
            <sz val="9"/>
            <rFont val="Tahoma"/>
            <family val="2"/>
          </rPr>
          <t>Tegus (HD):</t>
        </r>
        <r>
          <rPr>
            <sz val="9"/>
            <rFont val="Tahoma"/>
            <family val="2"/>
          </rPr>
          <t xml:space="preserve">
Reported as 21.6%</t>
        </r>
      </text>
    </comment>
    <comment ref="S291" authorId="0" shapeId="0" xr:uid="{00000000-0006-0000-0100-000023000000}">
      <text>
        <r>
          <rPr>
            <b/>
            <sz val="9"/>
            <rFont val="Tahoma"/>
            <family val="2"/>
          </rPr>
          <t>Tegus (HD):</t>
        </r>
        <r>
          <rPr>
            <sz val="9"/>
            <rFont val="Tahoma"/>
            <family val="2"/>
          </rPr>
          <t xml:space="preserve">
Reported as 20.5%</t>
        </r>
      </text>
    </comment>
    <comment ref="AW291" authorId="0" shapeId="0" xr:uid="{00000000-0006-0000-0100-000024000000}">
      <text>
        <r>
          <rPr>
            <b/>
            <sz val="9"/>
            <rFont val="Tahoma"/>
            <family val="2"/>
          </rPr>
          <t>Tegus (HD):</t>
        </r>
        <r>
          <rPr>
            <sz val="9"/>
            <rFont val="Tahoma"/>
            <family val="2"/>
          </rPr>
          <t xml:space="preserve">
Reported as 18.2%</t>
        </r>
      </text>
    </comment>
    <comment ref="AX291" authorId="0" shapeId="0" xr:uid="{00000000-0006-0000-0100-000025000000}">
      <text>
        <r>
          <rPr>
            <b/>
            <sz val="9"/>
            <rFont val="Tahoma"/>
            <family val="2"/>
          </rPr>
          <t>Tegus (GK):</t>
        </r>
        <r>
          <rPr>
            <sz val="9"/>
            <rFont val="Tahoma"/>
            <family val="2"/>
          </rPr>
          <t xml:space="preserve">
Reported as 18.6%</t>
        </r>
      </text>
    </comment>
    <comment ref="AZ291" authorId="0" shapeId="0" xr:uid="{00000000-0006-0000-0100-000026000000}">
      <text>
        <r>
          <rPr>
            <b/>
            <sz val="9"/>
            <rFont val="Tahoma"/>
            <family val="2"/>
          </rPr>
          <t>Tegus (FV):</t>
        </r>
        <r>
          <rPr>
            <sz val="9"/>
            <rFont val="Tahoma"/>
            <family val="2"/>
          </rPr>
          <t xml:space="preserve">
Reported as 18.5%</t>
        </r>
      </text>
    </comment>
    <comment ref="BA291" authorId="0" shapeId="0" xr:uid="{00000000-0006-0000-0100-000027000000}">
      <text>
        <r>
          <rPr>
            <b/>
            <sz val="9"/>
            <rFont val="Tahoma"/>
            <family val="2"/>
          </rPr>
          <t>Tegus (GK):</t>
        </r>
        <r>
          <rPr>
            <sz val="9"/>
            <rFont val="Tahoma"/>
            <family val="2"/>
          </rPr>
          <t xml:space="preserve">
Reported as 20.6%</t>
        </r>
      </text>
    </comment>
    <comment ref="BB291" authorId="0" shapeId="0" xr:uid="{00000000-0006-0000-0100-000028000000}">
      <text>
        <r>
          <rPr>
            <b/>
            <sz val="9"/>
            <rFont val="Tahoma"/>
            <family val="2"/>
          </rPr>
          <t>Tegus (SBM):</t>
        </r>
        <r>
          <rPr>
            <sz val="9"/>
            <rFont val="Tahoma"/>
            <family val="2"/>
          </rPr>
          <t xml:space="preserve">
Reported as 16.5%.</t>
        </r>
      </text>
    </comment>
    <comment ref="BC291" authorId="0" shapeId="0" xr:uid="{00000000-0006-0000-0100-000029000000}">
      <text>
        <r>
          <rPr>
            <b/>
            <sz val="9"/>
            <rFont val="Tahoma"/>
            <family val="2"/>
          </rPr>
          <t>Tegus (KuB):</t>
        </r>
        <r>
          <rPr>
            <sz val="9"/>
            <rFont val="Tahoma"/>
            <family val="2"/>
          </rPr>
          <t xml:space="preserve">
Reported as 16.1%.</t>
        </r>
      </text>
    </comment>
    <comment ref="BE291" authorId="0" shapeId="0" xr:uid="{00000000-0006-0000-0100-00002A000000}">
      <text>
        <r>
          <rPr>
            <b/>
            <sz val="9"/>
            <rFont val="Tahoma"/>
            <family val="2"/>
          </rPr>
          <t>Tegus (HN):</t>
        </r>
        <r>
          <rPr>
            <sz val="9"/>
            <rFont val="Tahoma"/>
            <family val="2"/>
          </rPr>
          <t xml:space="preserve">
Reported as 17.3%</t>
        </r>
      </text>
    </comment>
    <comment ref="BF291" authorId="0" shapeId="0" xr:uid="{00000000-0006-0000-0100-00002B000000}">
      <text>
        <r>
          <rPr>
            <b/>
            <sz val="9"/>
            <rFont val="Tahoma"/>
            <family val="2"/>
          </rPr>
          <t>Tegus (SBM):</t>
        </r>
        <r>
          <rPr>
            <sz val="9"/>
            <rFont val="Tahoma"/>
            <family val="2"/>
          </rPr>
          <t xml:space="preserve">
Reported as 18.3%.</t>
        </r>
      </text>
    </comment>
    <comment ref="BG291" authorId="2" shapeId="0" xr:uid="{00000000-0006-0000-0100-00002C000000}">
      <text>
        <r>
          <rPr>
            <b/>
            <sz val="9"/>
            <rFont val="Tahoma"/>
            <family val="2"/>
            <charset val="1"/>
          </rPr>
          <t>Tegus (RF):</t>
        </r>
        <r>
          <rPr>
            <sz val="9"/>
            <rFont val="Tahoma"/>
            <family val="2"/>
            <charset val="1"/>
          </rPr>
          <t xml:space="preserve">
reported as 19.0%</t>
        </r>
      </text>
    </comment>
    <comment ref="BH291" authorId="2" shapeId="0" xr:uid="{00000000-0006-0000-0100-00002D000000}">
      <text>
        <r>
          <rPr>
            <b/>
            <sz val="9"/>
            <rFont val="Tahoma"/>
            <family val="2"/>
            <charset val="1"/>
          </rPr>
          <t>Tegus (RF):</t>
        </r>
        <r>
          <rPr>
            <sz val="9"/>
            <rFont val="Tahoma"/>
            <family val="2"/>
            <charset val="1"/>
          </rPr>
          <t xml:space="preserve">
reported as 20.9%</t>
        </r>
      </text>
    </comment>
    <comment ref="C327" authorId="0" shapeId="0" xr:uid="{00000000-0006-0000-0100-00002E000000}">
      <text>
        <r>
          <rPr>
            <b/>
            <sz val="9"/>
            <rFont val="Tahoma"/>
            <family val="2"/>
          </rPr>
          <t>Tegus (HD):</t>
        </r>
        <r>
          <rPr>
            <sz val="9"/>
            <rFont val="Tahoma"/>
            <family val="2"/>
          </rPr>
          <t xml:space="preserve">
Not reported prior to this period</t>
        </r>
      </text>
    </comment>
    <comment ref="D327" authorId="0" shapeId="0" xr:uid="{00000000-0006-0000-0100-00002F000000}">
      <text>
        <r>
          <rPr>
            <b/>
            <sz val="9"/>
            <rFont val="Tahoma"/>
            <family val="2"/>
          </rPr>
          <t>Tegus (HD):</t>
        </r>
        <r>
          <rPr>
            <sz val="9"/>
            <rFont val="Tahoma"/>
            <family val="2"/>
          </rPr>
          <t xml:space="preserve">
Not reported prior to this period</t>
        </r>
      </text>
    </comment>
    <comment ref="E327" authorId="0" shapeId="0" xr:uid="{00000000-0006-0000-0100-000030000000}">
      <text>
        <r>
          <rPr>
            <b/>
            <sz val="9"/>
            <rFont val="Tahoma"/>
            <family val="2"/>
          </rPr>
          <t>Tegus (HD):</t>
        </r>
        <r>
          <rPr>
            <sz val="9"/>
            <rFont val="Tahoma"/>
            <family val="2"/>
          </rPr>
          <t xml:space="preserve">
Not reported prior to this period</t>
        </r>
      </text>
    </comment>
    <comment ref="F327" authorId="0" shapeId="0" xr:uid="{00000000-0006-0000-0100-000031000000}">
      <text>
        <r>
          <rPr>
            <b/>
            <sz val="9"/>
            <rFont val="Tahoma"/>
            <family val="2"/>
          </rPr>
          <t>Tegus (HD):</t>
        </r>
        <r>
          <rPr>
            <sz val="9"/>
            <rFont val="Tahoma"/>
            <family val="2"/>
          </rPr>
          <t xml:space="preserve">
Not reported prior to this period</t>
        </r>
      </text>
    </comment>
    <comment ref="H327" authorId="0" shapeId="0" xr:uid="{00000000-0006-0000-0100-000032000000}">
      <text>
        <r>
          <rPr>
            <b/>
            <sz val="9"/>
            <rFont val="Tahoma"/>
            <family val="2"/>
          </rPr>
          <t>Tegus (HD):</t>
        </r>
        <r>
          <rPr>
            <sz val="9"/>
            <rFont val="Tahoma"/>
            <family val="2"/>
          </rPr>
          <t xml:space="preserve">
Not reported prior to this period</t>
        </r>
      </text>
    </comment>
    <comment ref="J327" authorId="0" shapeId="0" xr:uid="{00000000-0006-0000-0100-000033000000}">
      <text>
        <r>
          <rPr>
            <b/>
            <sz val="9"/>
            <rFont val="Tahoma"/>
            <family val="2"/>
          </rPr>
          <t>Tegus (HD):</t>
        </r>
        <r>
          <rPr>
            <sz val="9"/>
            <rFont val="Tahoma"/>
            <family val="2"/>
          </rPr>
          <t xml:space="preserve">
Not reported</t>
        </r>
      </text>
    </comment>
    <comment ref="J328" authorId="0" shapeId="0" xr:uid="{00000000-0006-0000-0100-000034000000}">
      <text>
        <r>
          <rPr>
            <b/>
            <sz val="9"/>
            <rFont val="Tahoma"/>
            <family val="2"/>
          </rPr>
          <t>Tegus (HD):</t>
        </r>
        <r>
          <rPr>
            <sz val="9"/>
            <rFont val="Tahoma"/>
            <family val="2"/>
          </rPr>
          <t xml:space="preserve">
Not reported</t>
        </r>
      </text>
    </comment>
    <comment ref="C335" authorId="0" shapeId="0" xr:uid="{00000000-0006-0000-0100-000035000000}">
      <text>
        <r>
          <rPr>
            <b/>
            <sz val="9"/>
            <rFont val="Tahoma"/>
            <family val="2"/>
          </rPr>
          <t>Tegus (HD):</t>
        </r>
        <r>
          <rPr>
            <sz val="9"/>
            <rFont val="Tahoma"/>
            <family val="2"/>
          </rPr>
          <t xml:space="preserve">
Not reported prior to this period</t>
        </r>
      </text>
    </comment>
    <comment ref="D335" authorId="0" shapeId="0" xr:uid="{00000000-0006-0000-0100-000036000000}">
      <text>
        <r>
          <rPr>
            <b/>
            <sz val="9"/>
            <rFont val="Tahoma"/>
            <family val="2"/>
          </rPr>
          <t>Tegus (HD):</t>
        </r>
        <r>
          <rPr>
            <sz val="9"/>
            <rFont val="Tahoma"/>
            <family val="2"/>
          </rPr>
          <t xml:space="preserve">
Not reported prior to this period</t>
        </r>
      </text>
    </comment>
    <comment ref="E335" authorId="0" shapeId="0" xr:uid="{00000000-0006-0000-0100-000037000000}">
      <text>
        <r>
          <rPr>
            <b/>
            <sz val="9"/>
            <rFont val="Tahoma"/>
            <family val="2"/>
          </rPr>
          <t>Tegus (HD):</t>
        </r>
        <r>
          <rPr>
            <sz val="9"/>
            <rFont val="Tahoma"/>
            <family val="2"/>
          </rPr>
          <t xml:space="preserve">
Not reported prior to this period</t>
        </r>
      </text>
    </comment>
    <comment ref="F335" authorId="0" shapeId="0" xr:uid="{00000000-0006-0000-0100-000038000000}">
      <text>
        <r>
          <rPr>
            <b/>
            <sz val="9"/>
            <rFont val="Tahoma"/>
            <family val="2"/>
          </rPr>
          <t>Tegus (HD):</t>
        </r>
        <r>
          <rPr>
            <sz val="9"/>
            <rFont val="Tahoma"/>
            <family val="2"/>
          </rPr>
          <t xml:space="preserve">
Not reported prior to this period</t>
        </r>
      </text>
    </comment>
    <comment ref="H335" authorId="0" shapeId="0" xr:uid="{00000000-0006-0000-0100-000039000000}">
      <text>
        <r>
          <rPr>
            <b/>
            <sz val="9"/>
            <rFont val="Tahoma"/>
            <family val="2"/>
          </rPr>
          <t>Tegus (HD):</t>
        </r>
        <r>
          <rPr>
            <sz val="9"/>
            <rFont val="Tahoma"/>
            <family val="2"/>
          </rPr>
          <t xml:space="preserve">
Not reported prior to this period</t>
        </r>
      </text>
    </comment>
    <comment ref="J335" authorId="0" shapeId="0" xr:uid="{00000000-0006-0000-0100-00003A000000}">
      <text>
        <r>
          <rPr>
            <b/>
            <sz val="9"/>
            <rFont val="Tahoma"/>
            <family val="2"/>
          </rPr>
          <t>Tegus (HD):</t>
        </r>
        <r>
          <rPr>
            <sz val="9"/>
            <rFont val="Tahoma"/>
            <family val="2"/>
          </rPr>
          <t xml:space="preserve">
Not reported</t>
        </r>
      </text>
    </comment>
    <comment ref="J336" authorId="0" shapeId="0" xr:uid="{00000000-0006-0000-0100-00003B000000}">
      <text>
        <r>
          <rPr>
            <b/>
            <sz val="9"/>
            <rFont val="Tahoma"/>
            <family val="2"/>
          </rPr>
          <t>Tegus (HD):</t>
        </r>
        <r>
          <rPr>
            <sz val="9"/>
            <rFont val="Tahoma"/>
            <family val="2"/>
          </rPr>
          <t xml:space="preserve">
Not reported</t>
        </r>
      </text>
    </comment>
    <comment ref="C343" authorId="0" shapeId="0" xr:uid="{00000000-0006-0000-0100-00003C000000}">
      <text>
        <r>
          <rPr>
            <b/>
            <sz val="9"/>
            <rFont val="Tahoma"/>
            <family val="2"/>
          </rPr>
          <t>Tegus (HD):</t>
        </r>
        <r>
          <rPr>
            <sz val="9"/>
            <rFont val="Tahoma"/>
            <family val="2"/>
          </rPr>
          <t xml:space="preserve">
Not reported prior to this period</t>
        </r>
      </text>
    </comment>
    <comment ref="D343" authorId="0" shapeId="0" xr:uid="{00000000-0006-0000-0100-00003D000000}">
      <text>
        <r>
          <rPr>
            <b/>
            <sz val="9"/>
            <rFont val="Tahoma"/>
            <family val="2"/>
          </rPr>
          <t>Tegus (HD):</t>
        </r>
        <r>
          <rPr>
            <sz val="9"/>
            <rFont val="Tahoma"/>
            <family val="2"/>
          </rPr>
          <t xml:space="preserve">
Not reported prior to this period</t>
        </r>
      </text>
    </comment>
    <comment ref="E343" authorId="0" shapeId="0" xr:uid="{00000000-0006-0000-0100-00003E000000}">
      <text>
        <r>
          <rPr>
            <b/>
            <sz val="9"/>
            <rFont val="Tahoma"/>
            <family val="2"/>
          </rPr>
          <t>Tegus (HD):</t>
        </r>
        <r>
          <rPr>
            <sz val="9"/>
            <rFont val="Tahoma"/>
            <family val="2"/>
          </rPr>
          <t xml:space="preserve">
Not reported prior to this period</t>
        </r>
      </text>
    </comment>
    <comment ref="F343" authorId="0" shapeId="0" xr:uid="{00000000-0006-0000-0100-00003F000000}">
      <text>
        <r>
          <rPr>
            <b/>
            <sz val="9"/>
            <rFont val="Tahoma"/>
            <family val="2"/>
          </rPr>
          <t>Tegus (HD):</t>
        </r>
        <r>
          <rPr>
            <sz val="9"/>
            <rFont val="Tahoma"/>
            <family val="2"/>
          </rPr>
          <t xml:space="preserve">
Not reported prior to this period</t>
        </r>
      </text>
    </comment>
    <comment ref="C344" authorId="0" shapeId="0" xr:uid="{00000000-0006-0000-0100-000040000000}">
      <text>
        <r>
          <rPr>
            <b/>
            <sz val="9"/>
            <rFont val="Tahoma"/>
            <family val="2"/>
          </rPr>
          <t>Tegus (HD):</t>
        </r>
        <r>
          <rPr>
            <sz val="9"/>
            <rFont val="Tahoma"/>
            <family val="2"/>
          </rPr>
          <t xml:space="preserve">
Not reported prior to this period</t>
        </r>
      </text>
    </comment>
    <comment ref="D344" authorId="0" shapeId="0" xr:uid="{00000000-0006-0000-0100-000041000000}">
      <text>
        <r>
          <rPr>
            <b/>
            <sz val="9"/>
            <rFont val="Tahoma"/>
            <family val="2"/>
          </rPr>
          <t>Tegus (HD):</t>
        </r>
        <r>
          <rPr>
            <sz val="9"/>
            <rFont val="Tahoma"/>
            <family val="2"/>
          </rPr>
          <t xml:space="preserve">
Not reported prior to this period</t>
        </r>
      </text>
    </comment>
    <comment ref="E344" authorId="0" shapeId="0" xr:uid="{00000000-0006-0000-0100-000042000000}">
      <text>
        <r>
          <rPr>
            <b/>
            <sz val="9"/>
            <rFont val="Tahoma"/>
            <family val="2"/>
          </rPr>
          <t>Tegus (HD):</t>
        </r>
        <r>
          <rPr>
            <sz val="9"/>
            <rFont val="Tahoma"/>
            <family val="2"/>
          </rPr>
          <t xml:space="preserve">
Not reported prior to this period</t>
        </r>
      </text>
    </comment>
    <comment ref="F344" authorId="0" shapeId="0" xr:uid="{00000000-0006-0000-0100-000043000000}">
      <text>
        <r>
          <rPr>
            <b/>
            <sz val="9"/>
            <rFont val="Tahoma"/>
            <family val="2"/>
          </rPr>
          <t>Tegus (HD):</t>
        </r>
        <r>
          <rPr>
            <sz val="9"/>
            <rFont val="Tahoma"/>
            <family val="2"/>
          </rPr>
          <t xml:space="preserve">
Not reported prior to this period</t>
        </r>
      </text>
    </comment>
    <comment ref="W353" authorId="0" shapeId="0" xr:uid="{00000000-0006-0000-0100-000044000000}">
      <text>
        <r>
          <rPr>
            <b/>
            <sz val="9"/>
            <rFont val="Tahoma"/>
            <family val="2"/>
          </rPr>
          <t>Tegus (HD):</t>
        </r>
        <r>
          <rPr>
            <sz val="9"/>
            <rFont val="Tahoma"/>
            <family val="2"/>
          </rPr>
          <t xml:space="preserve">
From 2018 filing</t>
        </r>
      </text>
    </comment>
    <comment ref="A494" authorId="0" shapeId="0" xr:uid="{00000000-0006-0000-0100-000045000000}">
      <text>
        <r>
          <rPr>
            <b/>
            <sz val="9"/>
            <rFont val="Tahoma"/>
            <family val="2"/>
          </rPr>
          <t>Tegus (HD):</t>
        </r>
        <r>
          <rPr>
            <sz val="9"/>
            <rFont val="Tahoma"/>
            <family val="2"/>
          </rPr>
          <t xml:space="preserve">
Includes investment gains</t>
        </r>
      </text>
    </comment>
    <comment ref="A498" authorId="0" shapeId="0" xr:uid="{00000000-0006-0000-0100-000046000000}">
      <text>
        <r>
          <rPr>
            <b/>
            <sz val="9"/>
            <rFont val="Tahoma"/>
            <family val="2"/>
          </rPr>
          <t>Tegus (HD):</t>
        </r>
        <r>
          <rPr>
            <sz val="9"/>
            <rFont val="Tahoma"/>
            <family val="2"/>
          </rPr>
          <t xml:space="preserve">
Pre-tax profit from Fees and other revenue are allocated to operating segments</t>
        </r>
      </text>
    </comment>
    <comment ref="AO646" authorId="0" shapeId="0" xr:uid="{00000000-0006-0000-0100-000047000000}">
      <text>
        <r>
          <rPr>
            <b/>
            <sz val="9"/>
            <rFont val="Tahoma"/>
            <family val="2"/>
          </rPr>
          <t>Tegus (OG):</t>
        </r>
        <r>
          <rPr>
            <sz val="9"/>
            <rFont val="Tahoma"/>
            <family val="2"/>
          </rPr>
          <t xml:space="preserve">
backed out, not reported</t>
        </r>
      </text>
    </comment>
    <comment ref="A662" authorId="0" shapeId="0" xr:uid="{00000000-0006-0000-0100-000048000000}">
      <text>
        <r>
          <rPr>
            <b/>
            <sz val="9"/>
            <rFont val="Tahoma"/>
            <family val="2"/>
          </rPr>
          <t>Tegus:</t>
        </r>
        <r>
          <rPr>
            <sz val="9"/>
            <rFont val="Tahoma"/>
            <family val="2"/>
          </rPr>
          <t xml:space="preserve">
In periods where EPS is negative, this amount is calculated using the closest prior period where EPS was positive.</t>
        </r>
      </text>
    </comment>
    <comment ref="AF717" authorId="0" shapeId="0" xr:uid="{00000000-0006-0000-0100-000049000000}">
      <text>
        <r>
          <rPr>
            <b/>
            <sz val="9"/>
            <rFont val="Tahoma"/>
            <family val="2"/>
          </rPr>
          <t>Tegus (OG):</t>
        </r>
        <r>
          <rPr>
            <sz val="9"/>
            <rFont val="Tahoma"/>
            <family val="2"/>
          </rPr>
          <t xml:space="preserve">
stopped reporting</t>
        </r>
      </text>
    </comment>
    <comment ref="BG779" authorId="2" shapeId="0" xr:uid="{00000000-0006-0000-0100-00004A000000}">
      <text>
        <r>
          <rPr>
            <b/>
            <sz val="9"/>
            <rFont val="Tahoma"/>
            <family val="2"/>
          </rPr>
          <t>Tegus (RF):</t>
        </r>
        <r>
          <rPr>
            <sz val="9"/>
            <rFont val="Tahoma"/>
            <family val="2"/>
          </rPr>
          <t xml:space="preserve">
Redemption of Serial Preferred Shares, Series B</t>
        </r>
      </text>
    </comment>
    <comment ref="T794" authorId="0" shapeId="0" xr:uid="{00000000-0006-0000-0100-00004B000000}">
      <text>
        <r>
          <rPr>
            <b/>
            <sz val="9"/>
            <rFont val="Tahoma"/>
            <family val="2"/>
          </rPr>
          <t>Tegus (RD):</t>
        </r>
        <r>
          <rPr>
            <sz val="9"/>
            <rFont val="Tahoma"/>
            <family val="2"/>
          </rPr>
          <t xml:space="preserve">
Due to a change in reporting involving restricted cash</t>
        </r>
      </text>
    </comment>
    <comment ref="V794" authorId="0" shapeId="0" xr:uid="{00000000-0006-0000-0100-00004C000000}">
      <text>
        <r>
          <rPr>
            <b/>
            <sz val="9"/>
            <rFont val="Tahoma"/>
            <family val="2"/>
          </rPr>
          <t>Tegus (RD):</t>
        </r>
        <r>
          <rPr>
            <sz val="9"/>
            <rFont val="Tahoma"/>
            <family val="2"/>
          </rPr>
          <t xml:space="preserve">
Due to a change in reporting involving restricted cash</t>
        </r>
      </text>
    </comment>
    <comment ref="T860" authorId="0" shapeId="0" xr:uid="{00000000-0006-0000-0100-00004D000000}">
      <text>
        <r>
          <rPr>
            <b/>
            <sz val="9"/>
            <rFont val="Tahoma"/>
            <family val="2"/>
          </rPr>
          <t>Tegus (RD):</t>
        </r>
        <r>
          <rPr>
            <sz val="9"/>
            <rFont val="Tahoma"/>
            <family val="2"/>
          </rPr>
          <t xml:space="preserve">
Due to a change in reporting involving restricted cash</t>
        </r>
      </text>
    </comment>
    <comment ref="V860" authorId="0" shapeId="0" xr:uid="{00000000-0006-0000-0100-00004E000000}">
      <text>
        <r>
          <rPr>
            <b/>
            <sz val="9"/>
            <rFont val="Tahoma"/>
            <family val="2"/>
          </rPr>
          <t>Tegus (RD):</t>
        </r>
        <r>
          <rPr>
            <sz val="9"/>
            <rFont val="Tahoma"/>
            <family val="2"/>
          </rPr>
          <t xml:space="preserve">
Due to a change in reporting involving restricted cash</t>
        </r>
      </text>
    </comment>
    <comment ref="BE906" authorId="0" shapeId="0" xr:uid="{00000000-0006-0000-0100-00004F000000}">
      <text>
        <r>
          <rPr>
            <b/>
            <sz val="9"/>
            <rFont val="Tahoma"/>
            <family val="2"/>
          </rPr>
          <t>Tegus (AHA):</t>
        </r>
        <r>
          <rPr>
            <sz val="9"/>
            <rFont val="Tahoma"/>
            <family val="2"/>
          </rPr>
          <t xml:space="preserve">
No longer reported in BS breakdown. Reported in-text in 10K</t>
        </r>
      </text>
    </comment>
    <comment ref="BE907" authorId="0" shapeId="0" xr:uid="{00000000-0006-0000-0100-000050000000}">
      <text>
        <r>
          <rPr>
            <b/>
            <sz val="9"/>
            <rFont val="Tahoma"/>
            <family val="2"/>
          </rPr>
          <t>Tegus (AHA):</t>
        </r>
        <r>
          <rPr>
            <sz val="9"/>
            <rFont val="Tahoma"/>
            <family val="2"/>
          </rPr>
          <t xml:space="preserve">
Not reported. Estimated</t>
        </r>
      </text>
    </comment>
    <comment ref="BE909" authorId="0" shapeId="0" xr:uid="{00000000-0006-0000-0100-000051000000}">
      <text>
        <r>
          <rPr>
            <b/>
            <sz val="9"/>
            <rFont val="Tahoma"/>
            <family val="2"/>
          </rPr>
          <t>Tegus (AHA):</t>
        </r>
        <r>
          <rPr>
            <sz val="9"/>
            <rFont val="Tahoma"/>
            <family val="2"/>
          </rPr>
          <t xml:space="preserve">
Adjusted</t>
        </r>
      </text>
    </comment>
    <comment ref="BF909" authorId="0" shapeId="0" xr:uid="{00000000-0006-0000-0100-000052000000}">
      <text>
        <r>
          <rPr>
            <b/>
            <sz val="9"/>
            <rFont val="Tahoma"/>
            <family val="2"/>
          </rPr>
          <t>Tegus (KKR):</t>
        </r>
        <r>
          <rPr>
            <sz val="9"/>
            <rFont val="Tahoma"/>
            <family val="2"/>
          </rPr>
          <t xml:space="preserve">
Goodwill and intangible assets are included in other assets</t>
        </r>
      </text>
    </comment>
    <comment ref="A949" authorId="0" shapeId="0" xr:uid="{00000000-0006-0000-0100-000053000000}">
      <text>
        <r>
          <rPr>
            <b/>
            <sz val="9"/>
            <rFont val="Tahoma"/>
            <family val="2"/>
          </rPr>
          <t>Tegus (OG):</t>
        </r>
        <r>
          <rPr>
            <sz val="9"/>
            <rFont val="Tahoma"/>
            <family val="2"/>
          </rPr>
          <t xml:space="preserve">
check deleted since model uses reinsurance recoverable on unpaid losses</t>
        </r>
      </text>
    </comment>
    <comment ref="AP957" authorId="0" shapeId="0" xr:uid="{00000000-0006-0000-0100-000054000000}">
      <text>
        <r>
          <rPr>
            <b/>
            <sz val="9"/>
            <rFont val="Tahoma"/>
            <family val="2"/>
          </rPr>
          <t>Tegus (OG):</t>
        </r>
        <r>
          <rPr>
            <sz val="9"/>
            <rFont val="Tahoma"/>
            <family val="2"/>
          </rPr>
          <t xml:space="preserve">
as reported</t>
        </r>
      </text>
    </comment>
  </commentList>
</comments>
</file>

<file path=xl/sharedStrings.xml><?xml version="1.0" encoding="utf-8"?>
<sst xmlns="http://schemas.openxmlformats.org/spreadsheetml/2006/main" count="1059" uniqueCount="868">
  <si>
    <t xml:space="preserve">Please contact this email for any model-specific questions: </t>
  </si>
  <si>
    <t>support@tegus.com</t>
  </si>
  <si>
    <t>Company Model:</t>
  </si>
  <si>
    <t>Comments on Model:</t>
  </si>
  <si>
    <t xml:space="preserve">Updated: </t>
  </si>
  <si>
    <t>For:</t>
  </si>
  <si>
    <t>Consensus Data and Real-Time Stock Price:</t>
  </si>
  <si>
    <t>Bloomberg</t>
  </si>
  <si>
    <t>Real-Time Stock Price:</t>
  </si>
  <si>
    <t>Stock Price Override:</t>
  </si>
  <si>
    <t>The Progressive Corporation</t>
  </si>
  <si>
    <t>USD</t>
  </si>
  <si>
    <t>FY2009</t>
  </si>
  <si>
    <t>Total Net Written Premiums, mm</t>
  </si>
  <si>
    <t>Total Net Earned Premiums, mm</t>
  </si>
  <si>
    <t>Total Loss and LAE, mm</t>
  </si>
  <si>
    <t>Total Policy Acquisition Expense, mm</t>
  </si>
  <si>
    <t>Total Other Operating Expense, mm</t>
  </si>
  <si>
    <t>Total Underwriting Expense, mm</t>
  </si>
  <si>
    <t>Total Underwriting Income, mm</t>
  </si>
  <si>
    <t>Percentage of Total Written Premiums Earned, %</t>
  </si>
  <si>
    <t>Total Loss and LAE Ratio, %</t>
  </si>
  <si>
    <t>Total Policy Acquisition Expense Ratio, %</t>
  </si>
  <si>
    <t>Total Other Operating Expense Ratio, %</t>
  </si>
  <si>
    <t>Total Combined Ratio, %</t>
  </si>
  <si>
    <t>Deferred Acquisition Costs and Value of Business Acquired</t>
  </si>
  <si>
    <t>DAC and VOBA, mm</t>
  </si>
  <si>
    <t>Policy Acquisition Expense Incurred, mm</t>
  </si>
  <si>
    <t>Policy Acquisition Expense Paid - Implied, mm</t>
  </si>
  <si>
    <t>Change in DAC and VOBA, mm</t>
  </si>
  <si>
    <t>Policy Acquisition Expense Payout Ratio, %</t>
  </si>
  <si>
    <t>Unearned Premium Reserves</t>
  </si>
  <si>
    <t>Gross Unearned Premium Reserves, mm</t>
  </si>
  <si>
    <t>Ceded Unearned Premiums, mm</t>
  </si>
  <si>
    <t>Net Unearned Premium Reserves, mm</t>
  </si>
  <si>
    <t>Change in Gross Unearned Premium Reserves, mm</t>
  </si>
  <si>
    <t>Change in Ceded Unearned Premiums, mm</t>
  </si>
  <si>
    <t>Change in Net Unearned Premium Reserves, mm</t>
  </si>
  <si>
    <t>Loss Reserves</t>
  </si>
  <si>
    <t>Gross Loss Reserves, mm</t>
  </si>
  <si>
    <t>Net Loss Reserves, mm</t>
  </si>
  <si>
    <t>Loss and LAE Incurred, mm</t>
  </si>
  <si>
    <t>Loss and LAE Paid - Implied, mm</t>
  </si>
  <si>
    <t>Change in Net Loss Reserves, mm</t>
  </si>
  <si>
    <t>Loss Payout Ratio, %</t>
  </si>
  <si>
    <t>Investment Income (FS)</t>
  </si>
  <si>
    <t>Net Investment Income Yield (Annualized), %</t>
  </si>
  <si>
    <t>Net Investment Income, mm</t>
  </si>
  <si>
    <t>Net Investment Gains, mm</t>
  </si>
  <si>
    <t>Total Other Income, mm</t>
  </si>
  <si>
    <t>Income Statement - As Reported</t>
  </si>
  <si>
    <t>Net premiums earned</t>
  </si>
  <si>
    <t>Investment income</t>
  </si>
  <si>
    <t>Total OTTI losses</t>
  </si>
  <si>
    <t>Non-credit losses, net of credit losses recognized on previously recorded non-credit OTTI losses</t>
  </si>
  <si>
    <t>Net impairment losses recognized in earnings</t>
  </si>
  <si>
    <t>Net realized gains (losses) on securities</t>
  </si>
  <si>
    <t>Net holding period gains (losses) on securities</t>
  </si>
  <si>
    <t>Total net realized gains (losses) on securities</t>
  </si>
  <si>
    <t>Fees and other revenues</t>
  </si>
  <si>
    <t>Service revenues</t>
  </si>
  <si>
    <t>Gains (losses) on extinguishment of debt</t>
  </si>
  <si>
    <t>Total revenues</t>
  </si>
  <si>
    <t>Losses and loss adjustment expenses</t>
  </si>
  <si>
    <t>Policy acquisition costs</t>
  </si>
  <si>
    <t>Other underwriting expenses</t>
  </si>
  <si>
    <t>Investment expenses</t>
  </si>
  <si>
    <t>Service expenses</t>
  </si>
  <si>
    <t>Interest expense</t>
  </si>
  <si>
    <t>Total expenses</t>
  </si>
  <si>
    <t>Income before income taxes</t>
  </si>
  <si>
    <t>Provision for income taxes</t>
  </si>
  <si>
    <t>Net income</t>
  </si>
  <si>
    <t>Net (income) loss attributable to noncontrolling interest (NCI)</t>
  </si>
  <si>
    <t>Net income attributable to Progressive</t>
  </si>
  <si>
    <t>Preferred share dividends</t>
  </si>
  <si>
    <t>Net income available to common shareholders</t>
  </si>
  <si>
    <t>IS Check</t>
  </si>
  <si>
    <t>Adjusted Numbers - As Reported</t>
  </si>
  <si>
    <t>Deferred taxes</t>
  </si>
  <si>
    <t>Revised Income Statement</t>
  </si>
  <si>
    <t>Net Earned Premiums</t>
  </si>
  <si>
    <t>Net Investment Income</t>
  </si>
  <si>
    <t>Net Investment Gains</t>
  </si>
  <si>
    <t>Other Income</t>
  </si>
  <si>
    <t>Net Revenue</t>
  </si>
  <si>
    <t>Loss and LAE</t>
  </si>
  <si>
    <t>Policy Acquisition Expense</t>
  </si>
  <si>
    <t>Other Operating Expense</t>
  </si>
  <si>
    <t>Interest Expense</t>
  </si>
  <si>
    <t>Other Items</t>
  </si>
  <si>
    <t>One-time Items</t>
  </si>
  <si>
    <t>EBT</t>
  </si>
  <si>
    <t>Current Tax</t>
  </si>
  <si>
    <t>Deferred Tax</t>
  </si>
  <si>
    <t>Net Income from Continued Operation</t>
  </si>
  <si>
    <t>Earnings from Equity Investments</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</si>
  <si>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</si>
  <si>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</si>
  <si>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</si>
  <si>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</si>
  <si>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</si>
  <si>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</si>
  <si>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</si>
  <si>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</si>
  <si>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</si>
  <si>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</si>
  <si>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</si>
  <si>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t>
  </si>
  <si>
    <t>Earnings Per Share - WAD</t>
  </si>
  <si>
    <t>Adjusted Earnings Per Share (No Adjustments) - WAD</t>
  </si>
  <si>
    <t>Shares Outstanding - WAB</t>
  </si>
  <si>
    <t>Shares Outstanding - WAD</t>
  </si>
  <si>
    <t>Adjusted Shares Outstanding - WAD</t>
  </si>
  <si>
    <t>Dividend Summary</t>
  </si>
  <si>
    <t>Dividends Paid to Common Shareholders</t>
  </si>
  <si>
    <t>Dividend Per Common Share</t>
  </si>
  <si>
    <t>Payout Ratio</t>
  </si>
  <si>
    <t>Balance Sheet Summary</t>
  </si>
  <si>
    <t>Net Unearned Premium Reserves</t>
  </si>
  <si>
    <t>Net Loss Reserves</t>
  </si>
  <si>
    <t>Net Technical Reserves</t>
  </si>
  <si>
    <t>Total Equity</t>
  </si>
  <si>
    <t>Preferred shares</t>
  </si>
  <si>
    <t>Total Common Shareholder's Equity</t>
  </si>
  <si>
    <t>Total Tangible Common Equity</t>
  </si>
  <si>
    <t>Book Value per Common Share</t>
  </si>
  <si>
    <t>Tangible Book Value per Common Share</t>
  </si>
  <si>
    <t>Return on Average Total Assets</t>
  </si>
  <si>
    <t>Return on Average Common Equity</t>
  </si>
  <si>
    <t>Return on Average Tangible Common Equity</t>
  </si>
  <si>
    <t>Statutory Income and Capital - As Reported</t>
  </si>
  <si>
    <t>Statutory surplus and capital</t>
  </si>
  <si>
    <t>Statutory net income</t>
  </si>
  <si>
    <t>Minimum amount of statutory capital required</t>
  </si>
  <si>
    <t>Valuation</t>
  </si>
  <si>
    <t>Avg</t>
  </si>
  <si>
    <t>Cumulative Cash Flow Statement</t>
  </si>
  <si>
    <t>CFO</t>
  </si>
  <si>
    <t>Depreciation</t>
  </si>
  <si>
    <t>Amortization of intangible assets</t>
  </si>
  <si>
    <t>Net Amortization of fixed-income securities</t>
  </si>
  <si>
    <t>Amortization of equity-based compensation</t>
  </si>
  <si>
    <t>Net realized (gains) losses on securities</t>
  </si>
  <si>
    <t>Net (gains) losses on disposition of property and equipment</t>
  </si>
  <si>
    <t>(Gains) losses on extinguishment of debt</t>
  </si>
  <si>
    <t>Deferred tax</t>
  </si>
  <si>
    <t>Net loss on exchange transaction</t>
  </si>
  <si>
    <t>CFO before WC</t>
  </si>
  <si>
    <t>Premiums receivable</t>
  </si>
  <si>
    <t>Prepaid reinsurance premiums</t>
  </si>
  <si>
    <t>Deferred acquisition costs</t>
  </si>
  <si>
    <t>Income taxes</t>
  </si>
  <si>
    <t>Unearned premiums</t>
  </si>
  <si>
    <t>Loss and loss adjustment expense reserves</t>
  </si>
  <si>
    <t>Accounts payable, accrued expenses, and other liabilities</t>
  </si>
  <si>
    <t>Restricted cash</t>
  </si>
  <si>
    <t>Other, net</t>
  </si>
  <si>
    <t>Net CFO</t>
  </si>
  <si>
    <t>CFI</t>
  </si>
  <si>
    <t>Purchases of fixed maturities</t>
  </si>
  <si>
    <t>Purchases of equity securities</t>
  </si>
  <si>
    <t>Sales of fixed maturities</t>
  </si>
  <si>
    <t>Sales of equity securities</t>
  </si>
  <si>
    <t>Maturities, paydowns, calls, and other of fixed maturities</t>
  </si>
  <si>
    <t>Maturities, paydowns, calls, and other of equity securities</t>
  </si>
  <si>
    <t>Net sales (purchases) of short-term investments</t>
  </si>
  <si>
    <t>Net unsettled security transactions</t>
  </si>
  <si>
    <t>Collateral on derivative instruments</t>
  </si>
  <si>
    <t>Purchases of property and equipment</t>
  </si>
  <si>
    <t>Sales of property and equipment</t>
  </si>
  <si>
    <t>Net cash acquired in exchange transaction</t>
  </si>
  <si>
    <t>Acquisition of business, net of cash acquired</t>
  </si>
  <si>
    <t>Acquisition of additional shares of ARX Holding Corp.</t>
  </si>
  <si>
    <t>Net CFI</t>
  </si>
  <si>
    <t>CFF</t>
  </si>
  <si>
    <t>Proceeds from exercise of equity options</t>
  </si>
  <si>
    <t>Tax benefit from vesting of equity-based compensation</t>
  </si>
  <si>
    <t>Net proceeds from issuance of Serial Preferred Shares, Series B</t>
  </si>
  <si>
    <t>Net proceeds from debt issuance</t>
  </si>
  <si>
    <t>Payments of debt</t>
  </si>
  <si>
    <t>Reacquisition of debt</t>
  </si>
  <si>
    <t>Dividends paid to preferred shareholders</t>
  </si>
  <si>
    <t>Dividends paid to shareholders</t>
  </si>
  <si>
    <t>Acquisition of treasury shares</t>
  </si>
  <si>
    <t>Acquisition of treasury shares acquired in open market</t>
  </si>
  <si>
    <t>Net CFF</t>
  </si>
  <si>
    <t>FX</t>
  </si>
  <si>
    <t>Net Change in Cash Balance</t>
  </si>
  <si>
    <t>Beginning Cash Balance</t>
  </si>
  <si>
    <t>Ending Cash Balance</t>
  </si>
  <si>
    <t>Cash Flow Statement</t>
  </si>
  <si>
    <t>CF Check</t>
  </si>
  <si>
    <t>Balance Sheet</t>
  </si>
  <si>
    <t>Assets</t>
  </si>
  <si>
    <t>Fixed maturities</t>
  </si>
  <si>
    <t>Nonredeemable preferred stocks</t>
  </si>
  <si>
    <t>Common equities</t>
  </si>
  <si>
    <t>Short-term investments</t>
  </si>
  <si>
    <t>Total investments</t>
  </si>
  <si>
    <t>Cash</t>
  </si>
  <si>
    <t>Accrued investment income</t>
  </si>
  <si>
    <t>Goodwill</t>
  </si>
  <si>
    <t>Intangible assets</t>
  </si>
  <si>
    <t>Net deferred income taxes</t>
  </si>
  <si>
    <t>Other assets</t>
  </si>
  <si>
    <t>Total Assets</t>
  </si>
  <si>
    <t>Liabilities</t>
  </si>
  <si>
    <t>Dividends payable</t>
  </si>
  <si>
    <t>Debt</t>
  </si>
  <si>
    <t>Redeemable noncontrolling interest</t>
  </si>
  <si>
    <t>Total Liabilities</t>
  </si>
  <si>
    <t>Shareholders' Equity</t>
  </si>
  <si>
    <t>Common shares</t>
  </si>
  <si>
    <t>Paid-in capital</t>
  </si>
  <si>
    <t>Retained earnings</t>
  </si>
  <si>
    <t>Total accumulated other comprehensive income attributable to Progressive</t>
  </si>
  <si>
    <t>Total SE</t>
  </si>
  <si>
    <t>NCI</t>
  </si>
  <si>
    <t>Total Liabilities &amp; SE</t>
  </si>
  <si>
    <t>BS Check</t>
  </si>
  <si>
    <t>Model Checks</t>
  </si>
  <si>
    <t>Net Income on Revised IS = NI on CF statement</t>
  </si>
  <si>
    <t>Net Income on Reported IS = NI on Revised</t>
  </si>
  <si>
    <t>NEP = NEP in RIS</t>
  </si>
  <si>
    <t>Loss &amp; LAE = Loss &amp; LAE in RIS</t>
  </si>
  <si>
    <t>Policy Acquisition Expense = PAE in RIS</t>
  </si>
  <si>
    <t>Other Operating Expense = Other Operating Expense in RIS</t>
  </si>
  <si>
    <t>Net Investment Income = Net Investment Income in RIS</t>
  </si>
  <si>
    <t>Net Investment Gain = Net Investment Gain in RIS</t>
  </si>
  <si>
    <t>Underwriting Expense = Total Expense</t>
  </si>
  <si>
    <t>DAC/VOBA = DAC/VOBA in BS</t>
  </si>
  <si>
    <t>GUPR = GUPR in BS</t>
  </si>
  <si>
    <t>CUP = CUP in BS</t>
  </si>
  <si>
    <t>GLR = GLR in BS</t>
  </si>
  <si>
    <t>RR = RR in BS</t>
  </si>
  <si>
    <t>Net Technical Reserve = NUPR + NLR</t>
  </si>
  <si>
    <t>Cash Balance Positive</t>
  </si>
  <si>
    <t>Cash Flow is not Repeated</t>
  </si>
  <si>
    <t>Income Statement is not Repeated</t>
  </si>
  <si>
    <t>Balance Sheet is not Repeated</t>
  </si>
  <si>
    <t>Ending CF = Ending Cumulative CF</t>
  </si>
  <si>
    <t>*RIS NI FY = Sum of Qs</t>
  </si>
  <si>
    <t>*RIS Adjusted NI FY = Sum of Qs</t>
  </si>
  <si>
    <t>*CFO Before WC subtotal FY = Sum of Qs</t>
  </si>
  <si>
    <t>*CFO subtotal FY = Sum of Qs</t>
  </si>
  <si>
    <t>*CFI subtotal FY = Sum of Qs</t>
  </si>
  <si>
    <t>*CFF subtotal FY = Sum of Qs</t>
  </si>
  <si>
    <t>Other Tables</t>
  </si>
  <si>
    <t>Ticker Symbol</t>
  </si>
  <si>
    <t>PGR US</t>
  </si>
  <si>
    <t>NYSE:PGR</t>
  </si>
  <si>
    <t>PGR-US</t>
  </si>
  <si>
    <t>PGR.N</t>
  </si>
  <si>
    <t>Valuation Toggle Table</t>
  </si>
  <si>
    <t>High</t>
  </si>
  <si>
    <t>Low</t>
  </si>
  <si>
    <t>Consensus Estimate Table</t>
  </si>
  <si>
    <t>FY or FQ</t>
  </si>
  <si>
    <t>Period</t>
  </si>
  <si>
    <t>Stock Price Table</t>
  </si>
  <si>
    <t>Fiscal Period Start Date</t>
  </si>
  <si>
    <t>Real-Time Off Source</t>
  </si>
  <si>
    <t>Capital IQ</t>
  </si>
  <si>
    <t>FactSet</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</si>
  <si>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</si>
  <si>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</si>
  <si>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</si>
  <si>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</si>
  <si>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</si>
  <si>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</si>
  <si>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</si>
  <si>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</si>
  <si>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</si>
  <si>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</si>
  <si>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</si>
  <si>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</si>
  <si>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</si>
  <si>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</si>
  <si>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Reports</t>
  </si>
  <si>
    <t>Capitalization Summary</t>
  </si>
  <si>
    <t>Underwriting Income</t>
  </si>
  <si>
    <t>Underwriting Ratio</t>
  </si>
  <si>
    <t>Investment Income</t>
  </si>
  <si>
    <t>GAAP Financials</t>
  </si>
  <si>
    <t>Tax</t>
  </si>
  <si>
    <t>Non-GAAP Financials</t>
  </si>
  <si>
    <t>Profitability Ratios</t>
  </si>
  <si>
    <t>Valuation Metrics</t>
  </si>
  <si>
    <t>Check</t>
  </si>
  <si>
    <t>GAAP NI</t>
  </si>
  <si>
    <t>UI</t>
  </si>
  <si>
    <t>Update Date</t>
  </si>
  <si>
    <t>Updated By (Initials)</t>
  </si>
  <si>
    <t>Update Type</t>
  </si>
  <si>
    <t>Special Comments</t>
  </si>
  <si>
    <t>Link to Press Release / News Item</t>
  </si>
  <si>
    <t>NQ &amp; RL</t>
  </si>
  <si>
    <t>Q3-2018</t>
  </si>
  <si>
    <t>Earnings Press Release</t>
  </si>
  <si>
    <t>WZ &amp; IP</t>
  </si>
  <si>
    <t>Q2-2018</t>
  </si>
  <si>
    <t>BZ &amp; WZ</t>
  </si>
  <si>
    <t>Q1-2018</t>
  </si>
  <si>
    <t>PP &amp; BZ</t>
  </si>
  <si>
    <t>FY2017</t>
  </si>
  <si>
    <t>BZ &amp; VT</t>
  </si>
  <si>
    <t>Q3-2017</t>
  </si>
  <si>
    <t>MB &amp; SH</t>
  </si>
  <si>
    <t>Q2-2017</t>
  </si>
  <si>
    <t>RD</t>
  </si>
  <si>
    <t>New Build</t>
  </si>
  <si>
    <t>YY</t>
  </si>
  <si>
    <t>Annual (Earnings Report)</t>
  </si>
  <si>
    <r>
      <rPr>
        <b/>
        <sz val="7"/>
        <color rgb="FF000000"/>
        <rFont val="Calibri"/>
        <family val="2"/>
        <scheme val="minor"/>
      </rPr>
      <t>DISCLAIMER</t>
    </r>
    <r>
      <rPr>
        <sz val="7"/>
        <color rgb="FF000000"/>
        <rFont val="Calibri"/>
        <family val="2"/>
        <scheme val="minor"/>
      </rPr>
      <t xml:space="preserve">
Access to and use of this model, including the data contained herein (this "Model") is subject to Tegus, Inc.'s (a successor entity to Canalyst Financial Modeling Corporation) ("Company") Terms of Use that you accepted prior to accessing this Model, the applicable Service Agreement between the Company and you (or a corporate entity that has authorized you to access and use this Model on its behalf in accordance with the terms of such Service Agreement) or other similar agreement between you and the Company. BY CONTINUING TO ACCESS OR USE THIS MODEL, YOU EXPRESSLY AGREE TO THE TERMS AND CONDITIONS OF SUCH AGREEMENTS.
</t>
    </r>
    <r>
      <rPr>
        <b/>
        <sz val="7"/>
        <color rgb="FF000000"/>
        <rFont val="Calibri"/>
        <family val="2"/>
        <scheme val="minor"/>
      </rPr>
      <t>The Company and certain of its licensors have exclusive proprietary rights in this Model. This Model is being provided for internal use only. Unless prior written consent by the Company and its licensors has been provided to you, you may not distribute or otherwise furnish this Model to any third party, nor use or permit anyone to use this Model for any unlawful or unauthorized purpose. IF YOU HAVE UNLAWFULLY OBTAINED, OR ARE NOT AUTHORIZED TO USE THIS MODEL, YOU ARE OBLIGATED TO PROMPTLY: (I) RETURN THIS MODEL (AND ANY DERIVATIVE WORKS ARISING FROM OR RELATING THERETO) TO THE AUTHORIZED USER OF THIS MODEL; (II) PROVIDE NOTICE TO THE COMPANY AT LEGAL@TEGUS.COM OF SUCH UNLAWFUL OR UNAUTHORIZED ACCESS AND USE; AND, (III) CERTIFY THAT YOU HAVE DESTROYED THIS MODEL (AND ANY DERIVATIVE WORKS ARISING FROM OR RELATING THERETO) AND ANY COPIES FROM YOUR SYSTEMS SO AS TO ENSURE THEY ARE INCAPABLE OF RETRIEVAL.</t>
    </r>
    <r>
      <rPr>
        <sz val="7"/>
        <color rgb="FF000000"/>
        <rFont val="Calibri"/>
        <family val="2"/>
        <scheme val="minor"/>
      </rPr>
      <t xml:space="preserve">
A portion of the data contained in this Model may be powered by third party contributors and their respective licensors, or derived from data provided by such contributors, including (but not limited to): (i) </t>
    </r>
    <r>
      <rPr>
        <b/>
        <sz val="7"/>
        <color rgb="FF000000"/>
        <rFont val="Calibri"/>
        <family val="2"/>
        <scheme val="minor"/>
      </rPr>
      <t>QuoteMedia Inc.</t>
    </r>
    <r>
      <rPr>
        <sz val="7"/>
        <color rgb="FF000000"/>
        <rFont val="Calibri"/>
        <family val="2"/>
        <scheme val="minor"/>
      </rPr>
      <t xml:space="preserve">: A portion of the market data is powered by Quotemedia.com. All rights reserved. Data delayed 15 minutes unless otherwise indicated; (ii) </t>
    </r>
    <r>
      <rPr>
        <b/>
        <sz val="7"/>
        <color rgb="FF000000"/>
        <rFont val="Calibri"/>
        <family val="2"/>
        <scheme val="minor"/>
      </rPr>
      <t>S&amp;P Global Market Intelligence LLC</t>
    </r>
    <r>
      <rPr>
        <sz val="7"/>
        <color rgb="FF000000"/>
        <rFont val="Calibri"/>
        <family val="2"/>
        <scheme val="minor"/>
      </rPr>
      <t xml:space="preserve">: Copyright (c) {{YEAR}} S&amp;P Global Market Intelligence LLC (and its affiliates as applicable). All rights reserved. Reproduction of any information, opinions, views, data or material, including ratings ("Content") in any form is prohibited except with the prior written permission of the relevant party. Such party, its affiliates and suppliers ("Content Providers") do not guarantee the accuracy, adequacy, completeness, timeliness or availability of any Content and are not responsible for any errors or omissions (negligent or otherwise), regardless of the cause, or for the results obtained from the use of such Content. In no event shall Content Providers be liable for any damages, costs, expenses, legal fees, or losses (including lost income or lost profit and opportunity costs) in connection with any use of the Content. A reference to a particular investment or security, a rating or any observation concerning an investment that is part of the Content is not a recommendation to buy, sell or hold such investment or security, does not address the suitability of an investment or security and should not be relied on as investment advice. Credit ratings are statements of opinions and are not statements of fact; and, (iii) </t>
    </r>
    <r>
      <rPr>
        <b/>
        <sz val="7"/>
        <color rgb="FF000000"/>
        <rFont val="Calibri"/>
        <family val="2"/>
        <scheme val="minor"/>
      </rPr>
      <t>Refinitiv Canada Holdings Limited</t>
    </r>
    <r>
      <rPr>
        <sz val="7"/>
        <color rgb="FF000000"/>
        <rFont val="Calibri"/>
        <family val="2"/>
        <scheme val="minor"/>
      </rPr>
      <t xml:space="preserve">: A portion of the information may be provided by or derived from data provided by Refinitiv.
By accessing or using this Model (including any portion of the data contained herein) you expressly represent that such access or use does not constitute a violation of any applicable law or regulation to which you or the securities are subject.
This Model does not constitute investment advice by the Company or any of its licensors. Reference to a particular investment or security, credit rating or any observation concerning a security or investment in this Model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as such, it is your responsibility to express your own views on projected results. This Model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Model.
This Model is a quantitative tool with no investment views. The Company and its respective directors, officers, employees, agents, contractors, and affiliates may hold long or short positions in the security to which this Model relates, based on their personal views, and may initiate or close out any positions in such security at any time without any notice.
</t>
    </r>
    <r>
      <rPr>
        <b/>
        <sz val="7"/>
        <color rgb="FF000000"/>
        <rFont val="Calibri"/>
        <family val="2"/>
        <scheme val="minor"/>
      </rPr>
      <t>THIS MODEL IS PROVIDED "AS IS" AND ON AN "AS AVAILABLE" BASIS ONLY, WITHOUT WARRANTIES OR CONDITIONS OF ANY KIND. NEITHER THE COMPANY NOR ANY OF ITS LICENSORS NOR THEIR RESPECTIVE AFFILIATES OR SUPPLIERS HAVE LIABILITY FOR THE ACCURACY, TIMELINESS OR COMPLETENESS OF THIS MODEL, OR FOR DELAYS, INTERRUPTIONS OR OMISSIONS HEREIN, NOR FOR ANY LOST PROFITS, INDIRECT, SPECIAL OR CONSEQUENTIAL DAMAGES.</t>
    </r>
    <r>
      <rPr>
        <sz val="7"/>
        <color rgb="FF000000"/>
        <rFont val="Calibri"/>
        <family val="2"/>
        <scheme val="minor"/>
      </rPr>
      <t xml:space="preserve"> Access to data in this Model that is sourced from third party contributors is subject to termination in the event that any agreement between the Company and such third party contributors terminates for any reason.
</t>
    </r>
    <r>
      <rPr>
        <b/>
        <sz val="7"/>
        <color rgb="FF000000"/>
        <rFont val="Calibri"/>
        <family val="2"/>
        <scheme val="minor"/>
      </rPr>
      <t>Copyright 2023 Tegus. All rights reserved.</t>
    </r>
  </si>
  <si>
    <t>Is Historical Period</t>
  </si>
  <si>
    <t>Q1-2019</t>
  </si>
  <si>
    <t>Q2-2019</t>
  </si>
  <si>
    <t>ML &amp; OG</t>
  </si>
  <si>
    <t>First Forecast Fiscal Year</t>
  </si>
  <si>
    <t>Q3-2019</t>
  </si>
  <si>
    <t>Reserve Ratio, %</t>
  </si>
  <si>
    <t>Solvency Ratio, %</t>
  </si>
  <si>
    <t>Return on Average Total Assets, %</t>
  </si>
  <si>
    <t>Return on Average Common Equity, %</t>
  </si>
  <si>
    <t>Return on Average Tangible Common Equity, %</t>
  </si>
  <si>
    <t>ArS &amp; ML</t>
  </si>
  <si>
    <t>Loss and LAE excl. Prior Accident Years Development, mm</t>
  </si>
  <si>
    <t>Prior Accident Years Development, mm</t>
  </si>
  <si>
    <t>Underwriting Expense excl. Prior Accident Years Development, mm</t>
  </si>
  <si>
    <t>Loss and LAE ratio excl. Prior Accident Years Development, %</t>
  </si>
  <si>
    <t>Prior Accident Years Development, %</t>
  </si>
  <si>
    <t>Combined Ratio excl. Prior Accident Years Development, %</t>
  </si>
  <si>
    <t>Catastrophe Losses Incurred, mm</t>
  </si>
  <si>
    <t>Loss and LAE excl. Catastrophe Losses Incurred and Prior Accident Years Development, mm</t>
  </si>
  <si>
    <t>Underwriting Expense excl. Catastrophe Losses Incurred and Prior Accident Years Development, mm</t>
  </si>
  <si>
    <t>Loss and LAE Ratio excl. Catastrophe Losses Incurred and Prior Accident Years Development, %</t>
  </si>
  <si>
    <t>Catastrophe Losses Incurred Ratio, %</t>
  </si>
  <si>
    <t>Combined Ratio excl. Catastrophe Losses Incurred and Prior Accident Years Development, %</t>
  </si>
  <si>
    <t>Total Fees and Other Revenue, mm</t>
  </si>
  <si>
    <t>Most Recent Period</t>
  </si>
  <si>
    <t>Quarterly (Earnings Report)</t>
  </si>
  <si>
    <t>FY2018</t>
  </si>
  <si>
    <t>Q1-2017</t>
  </si>
  <si>
    <t>FY2019</t>
  </si>
  <si>
    <t>OG</t>
  </si>
  <si>
    <t>Property and equipment, net of accumulated depreciation</t>
  </si>
  <si>
    <t>Total Policies in Force - Beginning of Period, 000s</t>
  </si>
  <si>
    <t>Total Policies in Force - Change during period, 000s</t>
  </si>
  <si>
    <t>Total Policies in Force - End of Period, 000s</t>
  </si>
  <si>
    <t>Total Policies in Force - Avg. of Period, 000s</t>
  </si>
  <si>
    <t>Key Outputs</t>
  </si>
  <si>
    <t>Q1-2020</t>
  </si>
  <si>
    <t>ArS</t>
  </si>
  <si>
    <t>Initial (Press Release)</t>
  </si>
  <si>
    <t>OFF</t>
  </si>
  <si>
    <t>Segmented Results - Personal Lines (FS)</t>
  </si>
  <si>
    <t>Segmented Results - Commercial Lines (FS)</t>
  </si>
  <si>
    <t>Commercial Lines - Net Written Premiums, mm</t>
  </si>
  <si>
    <t>Commercial Lines - Net Earned Premiums, mm</t>
  </si>
  <si>
    <t>Commercial Lines - Loss &amp; LAE Ratio, %</t>
  </si>
  <si>
    <t>Commercial Lines - Underwriting Expense Ratio, %</t>
  </si>
  <si>
    <t>Commercial Lines - Underwriting Combined Ratio, %</t>
  </si>
  <si>
    <t>Commercial Lines - Underwriting Margin, %</t>
  </si>
  <si>
    <t>Segmented Results - Property (FS)</t>
  </si>
  <si>
    <t>Other Indemnity - Net Written Premiums, mm</t>
  </si>
  <si>
    <t>Other Indemnity - Net Earned Premiums, mm</t>
  </si>
  <si>
    <t>Capital Resources</t>
  </si>
  <si>
    <t>Short-term debt</t>
  </si>
  <si>
    <t>Long-term debt</t>
  </si>
  <si>
    <t>Total Debt</t>
  </si>
  <si>
    <t>Total Shareholders' Equity</t>
  </si>
  <si>
    <t>Total Capitalization</t>
  </si>
  <si>
    <t>Debt to Capital Ratio, %</t>
  </si>
  <si>
    <t>Net Debt Issuance (Repayment)</t>
  </si>
  <si>
    <t>Net Share Issuance (Buybacks)</t>
  </si>
  <si>
    <t>Estimated Share Price for Issuance/Buybacks, USD</t>
  </si>
  <si>
    <t>Effective Interest Rate on Debt, %</t>
  </si>
  <si>
    <t>Q2-2020</t>
  </si>
  <si>
    <t>Policyholder credit expense</t>
  </si>
  <si>
    <t>Q3-2020</t>
  </si>
  <si>
    <t>Refinitiv</t>
  </si>
  <si>
    <t>FY2020</t>
  </si>
  <si>
    <t>U.S. government obligations, mm</t>
  </si>
  <si>
    <t>State and local government obligations, mm</t>
  </si>
  <si>
    <t>Corporate debt securities, mm</t>
  </si>
  <si>
    <t>Residential mortgage-backed securities, mm</t>
  </si>
  <si>
    <t>Commercial mortgage-backed securities, mm</t>
  </si>
  <si>
    <t>Other asset-backed securities, mm</t>
  </si>
  <si>
    <t>Redeemable preferred stocks, mm</t>
  </si>
  <si>
    <t>Total fixed maturities, mm</t>
  </si>
  <si>
    <t>Short-term investments, mm</t>
  </si>
  <si>
    <t>Total available-for-sale securities, mm</t>
  </si>
  <si>
    <t>Nonredeemable preferred stocks, mm</t>
  </si>
  <si>
    <t>Common equities, mm</t>
  </si>
  <si>
    <t>Total equity securities, mm</t>
  </si>
  <si>
    <t>Investment income, mm</t>
  </si>
  <si>
    <t>Investment expenses, mm</t>
  </si>
  <si>
    <t>U.S. government obligations yield, %</t>
  </si>
  <si>
    <t>State and local government obligations yield, %</t>
  </si>
  <si>
    <t>Corporate debt securities yield, %</t>
  </si>
  <si>
    <t>Residential mortgage-backed securities yield, %</t>
  </si>
  <si>
    <t>Commercial mortgage-backed securities yield, %</t>
  </si>
  <si>
    <t>Total Investments - End of Period, mm</t>
  </si>
  <si>
    <t>U.S. government obligations - avg. of period, mm</t>
  </si>
  <si>
    <t>State and local government obligations - avg. of period, mm</t>
  </si>
  <si>
    <t>Corporate debt securities - avg. of period, mm</t>
  </si>
  <si>
    <t>Residential mortgage-backed securities - avg. of period, mm</t>
  </si>
  <si>
    <t>Commercial mortgage-backed securities - avg. of period, mm</t>
  </si>
  <si>
    <t>Other asset-backed securities - avg. of period, mm</t>
  </si>
  <si>
    <t>Redeemable preferred stocks - avg. of period, mm</t>
  </si>
  <si>
    <t>Nonredeemable preferred stocks - avg. of period, mm</t>
  </si>
  <si>
    <t>Common equities - avg. of period, mm</t>
  </si>
  <si>
    <t>Total Investments - Avg. of Period, mm</t>
  </si>
  <si>
    <t>U.S. government obligations - End of Period, mm</t>
  </si>
  <si>
    <t>State and local government obligations - End of Period, mm</t>
  </si>
  <si>
    <t>Corporate debt securities - End of Period, mm</t>
  </si>
  <si>
    <t>Residential mortgage-backed securities - End of Period, mm</t>
  </si>
  <si>
    <t>Commercial mortgage-backed securities - End of Period, mm</t>
  </si>
  <si>
    <t>Other asset-backed securities - End of Period, mm</t>
  </si>
  <si>
    <t>Redeemable preferred stocks - End of Period, mm</t>
  </si>
  <si>
    <t>Nonredeemable preferred stocks - End of Period, mm</t>
  </si>
  <si>
    <t>Common equities - End of Period, mm</t>
  </si>
  <si>
    <t>Other asset-backed securities yield, %</t>
  </si>
  <si>
    <t>Redeemable preferred stocks yield, %</t>
  </si>
  <si>
    <t>D&amp;A Forecasting</t>
  </si>
  <si>
    <t>PP&amp;E BoP, mm</t>
  </si>
  <si>
    <t>Depreciation of fixed assets, mm</t>
  </si>
  <si>
    <t>Capex of PP&amp;E, mm</t>
  </si>
  <si>
    <t>Other net additions to PP&amp;E, mm</t>
  </si>
  <si>
    <t>PP&amp;E EoP, mm</t>
  </si>
  <si>
    <t>Intangibles BoP, mm</t>
  </si>
  <si>
    <t>Amortization of intangibles, mm</t>
  </si>
  <si>
    <t>Capex of intangibles, mm</t>
  </si>
  <si>
    <t>Other net additions to intangibles, mm</t>
  </si>
  <si>
    <t>Intangibles EoP, mm</t>
  </si>
  <si>
    <t>Depreciation as percentage of PP&amp;E BoP, %</t>
  </si>
  <si>
    <t>Amortization as percentage of Intangibles BoP, %</t>
  </si>
  <si>
    <t>Implied life of fixed assets, yr</t>
  </si>
  <si>
    <t>Implied life of intangibles, yr</t>
  </si>
  <si>
    <t>Total D&amp;A, mm</t>
  </si>
  <si>
    <t>Total Capex, mm</t>
  </si>
  <si>
    <t>Percentage of capex allocated to intangible assets, %</t>
  </si>
  <si>
    <t>Foreign government obligations - End of Period, mm</t>
  </si>
  <si>
    <t>Agency residential pass-through obligations - End of Period, mm</t>
  </si>
  <si>
    <t>Agency residential pass-through obligations - avg. of period, mm</t>
  </si>
  <si>
    <t>Foreign government obligations - avg. of period, mm</t>
  </si>
  <si>
    <t>Foreign government obligations, mm</t>
  </si>
  <si>
    <t>Agency residential pass-through obligations, mm</t>
  </si>
  <si>
    <t>Foreign government obligations yield, %</t>
  </si>
  <si>
    <t>Agency residential pass-through obligations yield, %</t>
  </si>
  <si>
    <t>Q1-2021</t>
  </si>
  <si>
    <t>Q2-2021</t>
  </si>
  <si>
    <t>Commercial Lines - Underwriting Income, mm</t>
  </si>
  <si>
    <t>Q3-2021</t>
  </si>
  <si>
    <t>Payment of acquired company debt</t>
  </si>
  <si>
    <t>FY2021</t>
  </si>
  <si>
    <t>HD</t>
  </si>
  <si>
    <t>Florida Net Premium Written, mm</t>
  </si>
  <si>
    <t>Texas Net Premium Written, mm</t>
  </si>
  <si>
    <t>California Net Premium Written, mm</t>
  </si>
  <si>
    <t>Georgia Net Premium Written, mm</t>
  </si>
  <si>
    <t>New York Net Premium Written, mm</t>
  </si>
  <si>
    <t>Michigan Net Premium Written, mm</t>
  </si>
  <si>
    <t>Ohio Net Premium Written, mm</t>
  </si>
  <si>
    <t>Pennsylvania Net Premium Written, mm</t>
  </si>
  <si>
    <t>New Jersey Net Premium Written, mm</t>
  </si>
  <si>
    <t>Louisiana Net Premium Written, mm</t>
  </si>
  <si>
    <t>All Other Net Premium Written, mm</t>
  </si>
  <si>
    <t>Total Net Premium Written, mm</t>
  </si>
  <si>
    <t>Commercial Lines - Percentage of Written Premiums Earned, %</t>
  </si>
  <si>
    <t>Commercial Lines - Change in Policies in Force, 000s</t>
  </si>
  <si>
    <t>Q/Q Growth in Commercial Lines Policies in Force - End of Period, %</t>
  </si>
  <si>
    <t>Y/Y Growth in Commercial Lines Policies in Force - End of Period, %</t>
  </si>
  <si>
    <t>Q/Q Growth in Property Business Policies in Force - End of Period, %</t>
  </si>
  <si>
    <t>Y/Y Growth in Property Business Policies in Force - End of Period, %</t>
  </si>
  <si>
    <t>Commercial Lines Policies in Force - Beginning of Period, 000s</t>
  </si>
  <si>
    <t>Commercial Lines Policies in Force - End of Period, 000s</t>
  </si>
  <si>
    <t>Commercial Lines Policies in Force - Avg. of Period, 000s</t>
  </si>
  <si>
    <t>Property Business Policies in Force - Beginning of Period, 000s</t>
  </si>
  <si>
    <t>Property Business - Change in Policies in Force, 000s</t>
  </si>
  <si>
    <t>Property Business Policies in Force - End of Period, 000s</t>
  </si>
  <si>
    <t>Property Business Policies in Force - Avg. of Period, 000s</t>
  </si>
  <si>
    <t>Consolidated Summary</t>
  </si>
  <si>
    <t>Property  Business - Net Written Premiums, mm</t>
  </si>
  <si>
    <t>Property Business - Percentage of Written Premiums Earned, %</t>
  </si>
  <si>
    <t>Property  Business - Net Earned Premiums, mm</t>
  </si>
  <si>
    <t>Property Business - Underwriting Income, mm</t>
  </si>
  <si>
    <t>Property Business - Loss &amp; LAE Ratio, %</t>
  </si>
  <si>
    <t>Property Business - Underwriting Expense Ratio, %</t>
  </si>
  <si>
    <t>Property Business - Underwriting Combined Ratio, %</t>
  </si>
  <si>
    <t>Property Business - Underwriting Margin, %</t>
  </si>
  <si>
    <t>Agency Auto Policies in Force - Beginning of Period, 000s</t>
  </si>
  <si>
    <t>Agency Auto Policies in Force - End of Period, 000s</t>
  </si>
  <si>
    <t>Direct Auto Policies in Force - Beginning of Period, 000s</t>
  </si>
  <si>
    <t>Direct Auto Policies in Force - End of Period, 000s</t>
  </si>
  <si>
    <t>Special Lines Policies in Force - Beginning of Period, 000s</t>
  </si>
  <si>
    <t>Special Lines Policies in Force - End of Period, 000s</t>
  </si>
  <si>
    <t>Agency Auto Policies in Force - Avg. of Period, 000s</t>
  </si>
  <si>
    <t>Direct Auto Policies in Force - Avg. of Period, 000s</t>
  </si>
  <si>
    <t>Special Lines Policies in Force - Avg. of Period, 000s</t>
  </si>
  <si>
    <t>Q/Q Growth in Agency Auto Policies in Force - End of Period, %</t>
  </si>
  <si>
    <t>Y/Y Growth in Agency Auto Policies in Force - End of Period, %</t>
  </si>
  <si>
    <t>Q/Q Growth in Direct Auto Policies in Force - End of Period, %</t>
  </si>
  <si>
    <t>Y/Y Growth in Direct Auto Policies in Force - End of Period, %</t>
  </si>
  <si>
    <t>Q/Q Growth in Special Lines Policies in Force - End of Period, %</t>
  </si>
  <si>
    <t>Y/Y Growth in Special Lines Policies in Force - End of Period, %</t>
  </si>
  <si>
    <t>Percentage of Special Line Policies Written From the Agency Channel, %</t>
  </si>
  <si>
    <t>Key Metric - Net Premium Written by Geography</t>
  </si>
  <si>
    <t>Y/Y Total Other Income Growth, %</t>
  </si>
  <si>
    <t>Y/Y Total Fixed Maturities - End of Period Growth, %</t>
  </si>
  <si>
    <t>Y/Y Total Fixed Maturities - Avg. of Period Growth, %</t>
  </si>
  <si>
    <t>Y/Y Short-Term Investments - End of Period Growth, %</t>
  </si>
  <si>
    <t>Total Fixed Maturities - End of Period, mm</t>
  </si>
  <si>
    <t>Total Fixed Maturities - Avg. of Period, mm</t>
  </si>
  <si>
    <t>Short-Term Investments - End of Period, mm</t>
  </si>
  <si>
    <t>Short-Term Investments - Avg. of Period, mm</t>
  </si>
  <si>
    <t>Total Available-for-Sale Securities - End of Period, mm</t>
  </si>
  <si>
    <t>Y/Y Total Available-for-Sale Securities - End of Period Growth, %</t>
  </si>
  <si>
    <t>Total Available-for-Sale Securities - Avg. of Period, mm</t>
  </si>
  <si>
    <t>Y/Y Total Available-for-Sale Securities - Avg. of Period Growth, %</t>
  </si>
  <si>
    <t>Total Equity Securities - End of Period, mm</t>
  </si>
  <si>
    <t>Total Equity Securities - Avg. of Period, mm</t>
  </si>
  <si>
    <t>Y/Y Total Equity Securities - End of Period Growth, %</t>
  </si>
  <si>
    <t>Y/Y Total Equity Securities - Avg. of Period Growth, %</t>
  </si>
  <si>
    <t>Y/Y Total Investments - End of Period Growth, %</t>
  </si>
  <si>
    <t>Y/Y Total Investments - Avg. Balance Growth, %</t>
  </si>
  <si>
    <t>Total Fixed Maturities Yield, %</t>
  </si>
  <si>
    <t>Short-Term Investments Yield, %</t>
  </si>
  <si>
    <t>Total Available-for-Sale Securities Yield, %</t>
  </si>
  <si>
    <t>Nonredeemable Preferred Stocks Yield, %</t>
  </si>
  <si>
    <t>Common Equities Yield, %</t>
  </si>
  <si>
    <t>Total Equity Securities Yield, %</t>
  </si>
  <si>
    <t>Investment Income Yield, %</t>
  </si>
  <si>
    <t>Investment Expense Yield, %</t>
  </si>
  <si>
    <t>Underwriting Expense</t>
  </si>
  <si>
    <t>Y/Y Change in Property Business - Net Written Premiums, %</t>
  </si>
  <si>
    <t>Y/Y Change in Property Business - Net Earned Premiums, %</t>
  </si>
  <si>
    <t>Y/Y Change in Commercial Lines - Net Written Premiums, %</t>
  </si>
  <si>
    <t>Y/Y Change in Commercial Lines - Net Earned Premiums, %</t>
  </si>
  <si>
    <t>Q/Q Growth in Total Personal Lines Policies in Force - End of Period, %</t>
  </si>
  <si>
    <t>Y/Y Growth in Total Personal Lines Policies in Force - End of Period, %</t>
  </si>
  <si>
    <t>Total Personal Lines - Net Written Premiums, mm</t>
  </si>
  <si>
    <t>Total Personal Lines - Percentage of Written Premiums Earned, %</t>
  </si>
  <si>
    <t>Total Personal Lines - Net Earned Premiums, mm</t>
  </si>
  <si>
    <t>Total Personal Lines - Underwriting Income, mm</t>
  </si>
  <si>
    <t>Y/Y Change in Total Personal Lines - Net Written Premiums, %</t>
  </si>
  <si>
    <t>Total Personal Lines - Loss &amp; LAE Ratio, %</t>
  </si>
  <si>
    <t>Total Personal Lines - Underwriting Expense Ratio, %</t>
  </si>
  <si>
    <t>Total Personal Lines - Underwriting Combined Ratio, %</t>
  </si>
  <si>
    <t>Total Personal Lines - Underwriting Margin, %</t>
  </si>
  <si>
    <t>Y/Y Change in Total Personal Lines - Net Earned Premiums, %</t>
  </si>
  <si>
    <t>Y/Y Improvement in Policy Acquisition Ratio, bps</t>
  </si>
  <si>
    <t>Y/Y Total Policy Acquisition Expense Growth, %</t>
  </si>
  <si>
    <t>Y/Y Total Other Operating Expense Growth, %</t>
  </si>
  <si>
    <t>Y/Y Improvement in Other Operating Expense, bps</t>
  </si>
  <si>
    <t>Y/Y Underwriting Expense excl. Catastrophe Losses Incurred and Prior Accident Years Development Growth, %</t>
  </si>
  <si>
    <t>Y/Y Improvement in Combined Ratio excl. Catastrophe Losses Incurred and Prior Accident Years Development, bps</t>
  </si>
  <si>
    <t>Y/Y Underwriting Expense excl. Prior Accident Years Development Growth, %</t>
  </si>
  <si>
    <t>Y/Y Improvement in Combined Ratio excl. Prior Accident Years Development, bps</t>
  </si>
  <si>
    <t>Y/Y Underwriting Expense Growth, %</t>
  </si>
  <si>
    <t>Y/Y Improvement in Combined Ratio, bps</t>
  </si>
  <si>
    <t>Y/Y Underwriting Income Growth, %</t>
  </si>
  <si>
    <t>Q/Q Growth in Total Policies in Force - End of Period, %</t>
  </si>
  <si>
    <t>Y/Y Growth in Total Policies in Force - End of Period, %</t>
  </si>
  <si>
    <t>Y/Y Growth Total Net Written Premiums, %</t>
  </si>
  <si>
    <t>Total Personal Auto Policies in Force - End of Period, 000s</t>
  </si>
  <si>
    <t>Total Personal Policies in Force - End of Period, 000s</t>
  </si>
  <si>
    <t>Y/Y Adjusted Earnings Per Share Growth, %</t>
  </si>
  <si>
    <t>Underwriting Margin, %</t>
  </si>
  <si>
    <t>Y/Y Growth Total Net Earned Premiums, %</t>
  </si>
  <si>
    <t>Y/Y Short-Term Investments - Avg. of Period Growth, %</t>
  </si>
  <si>
    <t>Other Indemnity - Percentage of Written Premiums Earned, %</t>
  </si>
  <si>
    <t>Total Personal Lines - Loss &amp; LAE Ratio excluding Catastrophe Losses Incurred, %</t>
  </si>
  <si>
    <t>Total Personal Lines - Catastrophe Loss Ratio, %</t>
  </si>
  <si>
    <t>Commercial Lines - Loss &amp; LAE Ratio excluding Catastrophe Losses Incurred, %</t>
  </si>
  <si>
    <t>Commercial Lines - Catastrophe Loss Ratio, %</t>
  </si>
  <si>
    <t>Property Business - Loss &amp; LAE Ratio excluding Catastrophe Losses Incurred, %</t>
  </si>
  <si>
    <t>Property Business - Catastrophe Loss Ratio, %</t>
  </si>
  <si>
    <t>Total Personal Lines - Loss &amp; LAE Ratio excluding Catastrophe Losses Incurred, mm</t>
  </si>
  <si>
    <t>Total Personal Lines - Catastrophe Loss Incurred, mm</t>
  </si>
  <si>
    <t>Commercial Lines - Loss &amp; LAE Ratio excluding Catastrophe Losses Incurred, mm</t>
  </si>
  <si>
    <t>Commercial Lines - Catastrophe Loss Incurred, mm</t>
  </si>
  <si>
    <t>Property Business - Loss &amp; LAE Ratio excluding Catastrophe Losses Incurred, mm</t>
  </si>
  <si>
    <t>Property Business - Catastrophe Loss Incurred, mm</t>
  </si>
  <si>
    <t>Reinsurance Recoverable on unpaid losses, mm</t>
  </si>
  <si>
    <t>Reinsurance recoverable</t>
  </si>
  <si>
    <t>Total Net Earned Premium Mix, %</t>
  </si>
  <si>
    <t>Total Personal Lines Policies in Force - Beginning of Period, 000s</t>
  </si>
  <si>
    <t>Total Personal Lines Policies in Force - End of Period, 000s</t>
  </si>
  <si>
    <t>Total Personal Lines Policies in Force - Avg. of Period, 000s</t>
  </si>
  <si>
    <t>Total Personal Lines - Change in Policies in Force, 000s</t>
  </si>
  <si>
    <t>Direct Auto - Change in Policies in Force, 000s</t>
  </si>
  <si>
    <t>Agency Auto - Change in Policies in Force, 000s</t>
  </si>
  <si>
    <t>Special Lines - Change in Policies in Force, 000s</t>
  </si>
  <si>
    <t>Agency Auto - Net Written Premiums, mm</t>
  </si>
  <si>
    <t>Y/Y Change in Agency Auto - Net Written Premiums, %</t>
  </si>
  <si>
    <t>Agency Auto - Percentage of Written Premiums Earned, %</t>
  </si>
  <si>
    <t>Agency Auto - Net Earned Premiums, mm</t>
  </si>
  <si>
    <t>Y/Y Change in Agency Auto - Net Earned Premiums, %</t>
  </si>
  <si>
    <t>Agency Auto - Underwriting Income, mm</t>
  </si>
  <si>
    <t>Agency Auto - Loss &amp; LAE Ratio, %</t>
  </si>
  <si>
    <t>Agency Auto - Underwriting Expense Ratio, %</t>
  </si>
  <si>
    <t>Agency Auto - Combined Ratio, %</t>
  </si>
  <si>
    <t>Agency Auto - Underwriting Margin, %</t>
  </si>
  <si>
    <t>Direct Auto - Net Written Premiums, mm</t>
  </si>
  <si>
    <t>Y/Y Change in Direct Auto - Net Written Premiums, %</t>
  </si>
  <si>
    <t>Direct Auto - Percentage of Written Premiums Earned, %</t>
  </si>
  <si>
    <t>Direct Auto - Net Earned Premiums, mm</t>
  </si>
  <si>
    <t>Y/Y Change in Direct Auto - Net Earned Premiums, %</t>
  </si>
  <si>
    <t>Direct Auto - Underwriting Income, mm</t>
  </si>
  <si>
    <t>Direct Auto - Loss &amp; LAE Ratio, %</t>
  </si>
  <si>
    <t>Direct Auto - Underwriting Expense Ratio, %</t>
  </si>
  <si>
    <t>Direct Auto - Combined Ratio, %</t>
  </si>
  <si>
    <t>Direct Auto - Underwriting Margin, %</t>
  </si>
  <si>
    <t>Service Revenues, mm</t>
  </si>
  <si>
    <t>Y/Y Service Revenues Growth, %</t>
  </si>
  <si>
    <t>Service Expenses, mm</t>
  </si>
  <si>
    <t>Service Expense Ratio, %</t>
  </si>
  <si>
    <t>Fees and Other Revenue, mm</t>
  </si>
  <si>
    <t>Y/Y Fees and Other Revenues Growth, %</t>
  </si>
  <si>
    <t>Gains (Losses) on Extinguishment of Debt, mm</t>
  </si>
  <si>
    <t>Agency Auto - Annualized Net Written Premium per Policy, $/Policy</t>
  </si>
  <si>
    <t>Direct Auto - Annualized Net Written Premium per Policy, $/Policy</t>
  </si>
  <si>
    <t>Total Personal Lines - Annualized Net Written Premium per Policy, $/Policy</t>
  </si>
  <si>
    <t>Commercial Lines - Annualized Net Written Premium per Policy, $/Policy</t>
  </si>
  <si>
    <t>Property Business - Annualized Net Written Premium per Policy, $/Policy</t>
  </si>
  <si>
    <t>Y/Y Change in Agency Auto Annualized Net Written Premium per Policy, %</t>
  </si>
  <si>
    <t>Y/Y Change in Direct Auto Annualized Net Written Premium per Policy, %</t>
  </si>
  <si>
    <t>Y/Y Change in Total Personal Lines Annualized Net Written Premium per Policy, %</t>
  </si>
  <si>
    <t>Y/Y Change in Commercial Lines Annualized Net Written Premium per Policy, %</t>
  </si>
  <si>
    <t>Y/Y Change in Property Business Annualized Net Written Premium per Policy, %</t>
  </si>
  <si>
    <t>Insurance Segment Summary</t>
  </si>
  <si>
    <t>Total Underwriting Expense Ratio, %</t>
  </si>
  <si>
    <t>Other Indemnity - Underwriting Income, mm</t>
  </si>
  <si>
    <t>Insurance</t>
  </si>
  <si>
    <t>Y/Y Total Loss and LAE growth, %</t>
  </si>
  <si>
    <t>Supplemental Data</t>
  </si>
  <si>
    <t>Key Metric - Applications Growth</t>
  </si>
  <si>
    <t>Agency Auto New Applications Growth, %</t>
  </si>
  <si>
    <t>Agency Auto Renewal Applications Growth, %</t>
  </si>
  <si>
    <t>Agency Auto Written Premium Per Policy Growth, %</t>
  </si>
  <si>
    <t>Agency Auto - Policy Life Expectancy Trailing 3 Months Growth, %</t>
  </si>
  <si>
    <t>Agency Auto - Policy Life Expectancy Trailing 12 Months Growth, %</t>
  </si>
  <si>
    <t>Direct Auto New Applications Growth, %</t>
  </si>
  <si>
    <t>Direct Auto Renewal Applications Growth, %</t>
  </si>
  <si>
    <t>Direct Auto Written Premium Per Policy Growth, %</t>
  </si>
  <si>
    <t>Direct Auto - Policy Life Expectancy Trailing 3 Months Growth, %</t>
  </si>
  <si>
    <t>Direct Auto - Policy Life Expectancy Trailing 12 Months Growth, %</t>
  </si>
  <si>
    <t>Total Personal Lines New Applications Growth, %</t>
  </si>
  <si>
    <t>Total Personal Lines Renewal Applications Growth, %</t>
  </si>
  <si>
    <t>Total Personal Lines Written Premium Per Policy Growth, %</t>
  </si>
  <si>
    <t>Total Personal Lines - Policy Life Expectancy Trailing 3 Months Growth, %</t>
  </si>
  <si>
    <t>Total Personal Lines - Policy Life Expectancy Trailing 12 Months Growth, %</t>
  </si>
  <si>
    <t>Commercial Lines New Applications Growth, %</t>
  </si>
  <si>
    <t>Commercial Lines Renewal Applications Growth, %</t>
  </si>
  <si>
    <t>Commercial Lines Written Premium Per Policy Growth, %</t>
  </si>
  <si>
    <t>Commercial Lines - Policy Life Expectancy Trailing 12 Months Growth, %</t>
  </si>
  <si>
    <t>Property Lines New Applications Growth, %</t>
  </si>
  <si>
    <t>Property Lines Renewal Applications Growth, %</t>
  </si>
  <si>
    <t>Property Lines Written Premium Per Policy Growth, %</t>
  </si>
  <si>
    <t>Property Lines - Policy Life Expectancy Trailing 12 Months Growth, %</t>
  </si>
  <si>
    <t>Segment Summary</t>
  </si>
  <si>
    <t>Total Revenue, mm</t>
  </si>
  <si>
    <t>Property Business - Underwriting Expense (Calculated), mm</t>
  </si>
  <si>
    <t>Total Revenue Mix, %</t>
  </si>
  <si>
    <t>Commercial Lines - Underwriting Expense (Calculated), mm</t>
  </si>
  <si>
    <t>Total Personal Lines - Underwriting Expense (Calculated), mm</t>
  </si>
  <si>
    <t>Direct  Auto - Underwriting Expense (Calculated), mm</t>
  </si>
  <si>
    <t>Agency  Auto - Underwriting Expense (Calculated), mm</t>
  </si>
  <si>
    <t>Agency Auto - Loss &amp; LAE (Calculated), mm</t>
  </si>
  <si>
    <t>Direct Auto Loss &amp; LAE (Calculated), mm</t>
  </si>
  <si>
    <t>Total Personal Lines - Loss &amp; LAE (Calculated), mm</t>
  </si>
  <si>
    <t>Commercial Lines - Loss &amp; LAE (Calculated), mm</t>
  </si>
  <si>
    <t>Property Business - Loss &amp; LAE (Calculated), mm</t>
  </si>
  <si>
    <t>Discrepancy, mm</t>
  </si>
  <si>
    <t>Other Indemnity - Underwriting Margin, %</t>
  </si>
  <si>
    <t>Total Underwriting Margin, %</t>
  </si>
  <si>
    <t>Net Investment Gains as a % of Average Total Investments, %</t>
  </si>
  <si>
    <t>Other Segments (FS)</t>
  </si>
  <si>
    <t>Net Earned Premium Mix, %</t>
  </si>
  <si>
    <t>Investment Income Mix, %</t>
  </si>
  <si>
    <t>Net Investment Gains Mix, %</t>
  </si>
  <si>
    <t>Service Revenues Mix, %</t>
  </si>
  <si>
    <t>Fees and Other Revenue Mix, %</t>
  </si>
  <si>
    <t>Gains (Losses) on Extinguishment of Debt Mix, %</t>
  </si>
  <si>
    <t>Investment Expense</t>
  </si>
  <si>
    <t>One-time Underwriting Expense</t>
  </si>
  <si>
    <t>Interest Expense, mm</t>
  </si>
  <si>
    <t>Q1-2022</t>
  </si>
  <si>
    <t>Total Underwriting Pre-tax Profit, mm</t>
  </si>
  <si>
    <t>Service Pre-tax Profit, mm</t>
  </si>
  <si>
    <t>Total Pre-tax Profit, mm</t>
  </si>
  <si>
    <t>Direct Auto - Net Earned Premium Mix,%</t>
  </si>
  <si>
    <t>Agency Auto - Net Earned Premium Mix, %</t>
  </si>
  <si>
    <t>Total Personal Lines - Net Earned Premium Mix, %</t>
  </si>
  <si>
    <t>Property - Net Earned Premium Mix, %</t>
  </si>
  <si>
    <t>Commercial Lines - Net Earned Premium Mix, %</t>
  </si>
  <si>
    <t>Other Indemnity - Net Earned Premium Mix, %</t>
  </si>
  <si>
    <t>Y/Y Improvement in Underwriting Margin, bps</t>
  </si>
  <si>
    <t>Last Working Day In Period</t>
  </si>
  <si>
    <t>Stock Price EoP</t>
  </si>
  <si>
    <t>FX EoP</t>
  </si>
  <si>
    <t>PGR_US</t>
  </si>
  <si>
    <t>Q2-2022</t>
  </si>
  <si>
    <t>Goodwill impairment</t>
  </si>
  <si>
    <t>Goodwill Impairment</t>
  </si>
  <si>
    <t>Share Count Analysis</t>
  </si>
  <si>
    <t>Q3-2022</t>
  </si>
  <si>
    <t>GK</t>
  </si>
  <si>
    <t>FY2022</t>
  </si>
  <si>
    <t>FV</t>
  </si>
  <si>
    <t>Key Metrics - Employees (FS)</t>
  </si>
  <si>
    <t>Total Employees, # of employees</t>
  </si>
  <si>
    <t>TP</t>
  </si>
  <si>
    <t>KPI Data</t>
  </si>
  <si>
    <t>MO_RIS_REV</t>
  </si>
  <si>
    <t>MO_RIS_NI_NONGAAP_Diluted</t>
  </si>
  <si>
    <t>MO_RIS_EPS_WAD_Adj</t>
  </si>
  <si>
    <t>MO_OS_EmployeeCount</t>
  </si>
  <si>
    <t>KPI Count</t>
  </si>
  <si>
    <t>Apply Trade Currency Scaling</t>
  </si>
  <si>
    <t>Q1-2023</t>
  </si>
  <si>
    <t>SBM</t>
  </si>
  <si>
    <t>Q2-2023</t>
  </si>
  <si>
    <t>Q3-2023</t>
  </si>
  <si>
    <t>KuB</t>
  </si>
  <si>
    <t>Cash paid for interest</t>
  </si>
  <si>
    <t>Cash paid for income taxes</t>
  </si>
  <si>
    <t>Q/Q basic share expansion from dilutive securities, %</t>
  </si>
  <si>
    <t>Y/Y basic share expansion from dilutive securities, %</t>
  </si>
  <si>
    <t>Q/Q basic share expansion from share issuance (buyback), %</t>
  </si>
  <si>
    <t>Y/Y basic share expansion from share issuance (buyback), %</t>
  </si>
  <si>
    <t>Q/Q basic share expansion - EoP, %</t>
  </si>
  <si>
    <t>Y/Y basic share expansion - EoP, %</t>
  </si>
  <si>
    <t>Diluted share count to basic share count ratio, x</t>
  </si>
  <si>
    <t>EoP</t>
  </si>
  <si>
    <t>EoP Common Stock Outstanding, mm shares</t>
  </si>
  <si>
    <t>Cover Page Common Stock Outstanding, mm shares</t>
  </si>
  <si>
    <t>Date of Cover Page Share Count, date</t>
  </si>
  <si>
    <t>Dilutive Shares, mm shares</t>
  </si>
  <si>
    <t>EoP Total Diluted Common Stock Outstanding, mm shares</t>
  </si>
  <si>
    <t>Quarterly Guidance Table</t>
  </si>
  <si>
    <t>Reporting Date</t>
  </si>
  <si>
    <t>Applicable Period</t>
  </si>
  <si>
    <t>Annual Guidance Table</t>
  </si>
  <si>
    <t>Is Latest</t>
  </si>
  <si>
    <t>MO_KPI_NWP</t>
  </si>
  <si>
    <t>MO_KPI_NEP</t>
  </si>
  <si>
    <t>MO_KPI_UI</t>
  </si>
  <si>
    <t>MO_KPI_LossRatio</t>
  </si>
  <si>
    <t>MO_KPI_PAERatio</t>
  </si>
  <si>
    <t>MO_KPI_CombinedRatio</t>
  </si>
  <si>
    <t>MO_KPI_InvestmentBalance</t>
  </si>
  <si>
    <t>MO_KPI_NetIIYield</t>
  </si>
  <si>
    <t>MO_BSS_NTR</t>
  </si>
  <si>
    <t>MO_KPI_Loss_exCATS</t>
  </si>
  <si>
    <t>MO_KPI_Loss</t>
  </si>
  <si>
    <t>MO_KPI_PAE</t>
  </si>
  <si>
    <t>MO_KPI_OOE</t>
  </si>
  <si>
    <t>MO_KPI_UnderwritingExpense</t>
  </si>
  <si>
    <t>MO_KPI_WPERatio</t>
  </si>
  <si>
    <t>MO_KPI_OOERatio</t>
  </si>
  <si>
    <t>MO_KPI_DAC</t>
  </si>
  <si>
    <t>MO_KPI_GUPR</t>
  </si>
  <si>
    <t>MO_KPI_CUP</t>
  </si>
  <si>
    <t>MO_KPI_NUPR</t>
  </si>
  <si>
    <t>MO_KPI_GLR</t>
  </si>
  <si>
    <t>MO_KPI_RR</t>
  </si>
  <si>
    <t>MO_KPI_NLR</t>
  </si>
  <si>
    <t>MO_KPI_NetII</t>
  </si>
  <si>
    <t>MO_KPI_NetIG</t>
  </si>
  <si>
    <t>MO_BSS_ReserveRatio</t>
  </si>
  <si>
    <t>MO_BSS_SolvencyRatio</t>
  </si>
  <si>
    <t>MO_BSS_BVPS</t>
  </si>
  <si>
    <t>MO_BSS_TBVPS</t>
  </si>
  <si>
    <t>MO_BSS_ROA</t>
  </si>
  <si>
    <t>MO_BSS_ROE</t>
  </si>
  <si>
    <t>MO_BSS_ROTE</t>
  </si>
  <si>
    <t>MO_CR_TotalCapitalization</t>
  </si>
  <si>
    <t>MO_CR_Debt_ToCapitalRatio</t>
  </si>
  <si>
    <t>MO_DS_PayoutRatio</t>
  </si>
  <si>
    <t>MO_KPI_PIF</t>
  </si>
  <si>
    <t>FY2023</t>
  </si>
  <si>
    <t>HN</t>
  </si>
  <si>
    <t>AHA</t>
  </si>
  <si>
    <t>Arizona Net Premium Written, mm</t>
  </si>
  <si>
    <t>Q1-2024</t>
  </si>
  <si>
    <t>KKR</t>
  </si>
  <si>
    <t>Need to update your model? Do it in one click with the Updater tool:</t>
  </si>
  <si>
    <t>Tegus Excel Add-in</t>
  </si>
  <si>
    <t>Tegus</t>
  </si>
  <si>
    <t>Q2-2024</t>
  </si>
  <si>
    <t>Executive Compensation</t>
  </si>
  <si>
    <t>CEO - Base Pay, 000s</t>
  </si>
  <si>
    <t>CEO - Stock Awards, 000s</t>
  </si>
  <si>
    <t>CEO - Non-equity incentive plans, 000s</t>
  </si>
  <si>
    <t>CEO - All other compensation, 000s</t>
  </si>
  <si>
    <t>CEO - comp tied to equity, %</t>
  </si>
  <si>
    <t>Market Cap - EoP, mm</t>
  </si>
  <si>
    <t>CEO - EoP shares beneficially owned, 000s</t>
  </si>
  <si>
    <t>CFO - Base Pay, 000s</t>
  </si>
  <si>
    <t>CFO - Stock Awards, 000s</t>
  </si>
  <si>
    <t>CFO - Non-equity incentive plans, 000s</t>
  </si>
  <si>
    <t>CFO - All other compensation, 000s</t>
  </si>
  <si>
    <t>CFO - comp tied to equity, %</t>
  </si>
  <si>
    <t>CFO - EoP shares beneficially owned, 000s</t>
  </si>
  <si>
    <t>CMO - Base Pay, 000s</t>
  </si>
  <si>
    <t>CMO - Bonus, 000s</t>
  </si>
  <si>
    <t>CMO - Stock Awards, 000s</t>
  </si>
  <si>
    <t>CMO - Non-equity incentive plans, 000s</t>
  </si>
  <si>
    <t>CMO - All other compensation, 000s</t>
  </si>
  <si>
    <t>CMO - comp tied to equity, %</t>
  </si>
  <si>
    <t>CMO - EoP shares beneficially owned, 000s</t>
  </si>
  <si>
    <t>Board Diversity</t>
  </si>
  <si>
    <t>Total # of current directors</t>
  </si>
  <si>
    <t>Total # of independent current directors</t>
  </si>
  <si>
    <t>Total # of director nominees</t>
  </si>
  <si>
    <t>Director Compensation</t>
  </si>
  <si>
    <t>Director 1 cash comp, 000s</t>
  </si>
  <si>
    <t>Director 2 cash comp, 000s</t>
  </si>
  <si>
    <t>Director 3 cash comp, 000s</t>
  </si>
  <si>
    <t>Director 4 cash comp, 000s</t>
  </si>
  <si>
    <t>Director 5 cash comp, 000s</t>
  </si>
  <si>
    <t>Director 6 cash comp, 000s</t>
  </si>
  <si>
    <t>Director 7 cash comp, 000s</t>
  </si>
  <si>
    <t>Director 8 cash comp, 000s</t>
  </si>
  <si>
    <t>Director 9 cash comp, 000s</t>
  </si>
  <si>
    <t>Director 10 cash comp, 000s</t>
  </si>
  <si>
    <t>Director 11 cash comp, 000s</t>
  </si>
  <si>
    <t>Director 12 cash comp, 000s</t>
  </si>
  <si>
    <t>Total director cash comp, 000s</t>
  </si>
  <si>
    <t>Director 1 stock award comp, 000s</t>
  </si>
  <si>
    <t>Director 2 stock award comp, 000s</t>
  </si>
  <si>
    <t>Director 3 stock award comp, 000s</t>
  </si>
  <si>
    <t>Director 4 stock award comp, 000s</t>
  </si>
  <si>
    <t>Director 5 stock award comp, 000s</t>
  </si>
  <si>
    <t>Director 6 stock award comp, 000s</t>
  </si>
  <si>
    <t>Director 7 stock award comp, 000s</t>
  </si>
  <si>
    <t>Director 8 stock award comp, 000s</t>
  </si>
  <si>
    <t>Director 9 stock award comp, 000s</t>
  </si>
  <si>
    <t>Director 10 stock award comp, 000s</t>
  </si>
  <si>
    <t>Director 11 stock award comp, 000s</t>
  </si>
  <si>
    <t>Director 12 stock award comp, 000s</t>
  </si>
  <si>
    <t>Total director stock award comp, 000s</t>
  </si>
  <si>
    <t>Director 1 all other comp, 000s</t>
  </si>
  <si>
    <t>Director 2 all other comp, 000s</t>
  </si>
  <si>
    <t>Director 3 all other comp, 000s</t>
  </si>
  <si>
    <t>Director 4 all other comp, 000s</t>
  </si>
  <si>
    <t>Director 5 all other comp, 000s</t>
  </si>
  <si>
    <t>Director 6 all other comp, 000s</t>
  </si>
  <si>
    <t>Director 7 all other comp, 000s</t>
  </si>
  <si>
    <t>Director 8 all other comp, 000s</t>
  </si>
  <si>
    <t>Director 9 all other comp, 000s</t>
  </si>
  <si>
    <t>Director 10 all other comp, 000s</t>
  </si>
  <si>
    <t>Director 11 all other comp, 000s</t>
  </si>
  <si>
    <t>Director 12 all other comp, 000s</t>
  </si>
  <si>
    <t>Total director all other comp, 000s</t>
  </si>
  <si>
    <t>Total director compensation, 000s</t>
  </si>
  <si>
    <t>Other Alignment Data Points</t>
  </si>
  <si>
    <t>CEO - Total Comp, 000s</t>
  </si>
  <si>
    <t>CFO - Total Comp, 000s</t>
  </si>
  <si>
    <t>CMO - Total Comp, 000s</t>
  </si>
  <si>
    <t>CEO - Stock Ownership Guidelines times base salary, x</t>
  </si>
  <si>
    <t>NEO reporting to CEO - Stock Ownership Guidelines, x</t>
  </si>
  <si>
    <t>Directors - Stock Ownership Guidelines, x</t>
  </si>
  <si>
    <t>RF</t>
  </si>
  <si>
    <t>Q3-2024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</si>
</sst>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_);_(* \(#,##0.0\);_(* &quot;-&quot;??_);_(@_)"/>
    <numFmt numFmtId="165" formatCode="_(&quot;$&quot;* #,##0_);_(&quot;$&quot;* \(#,##0\);_(&quot;$&quot;* &quot;-&quot;??_);_(@_)"/>
    <numFmt numFmtId="166" formatCode="_(* #,##0_);_(* \(#,##0\);_(* &quot;-&quot;??_);_(@_)"/>
    <numFmt numFmtId="167" formatCode="_(* 0.0%_);_(* \-0.0%_);_(* &quot;-&quot;??_);_(@_)"/>
    <numFmt numFmtId="168" formatCode="_(* #,##0.0_);_(* \(#,##0.0\);_(* &quot;-&quot;??_);@"/>
    <numFmt numFmtId="169" formatCode="_(&quot;$&quot;* 0.00_);_(&quot;$&quot;* \(0.00\);_(&quot;$&quot;* &quot;-&quot;??_);_(@_)"/>
    <numFmt numFmtId="170" formatCode="_(* 0.0\ \x_);\ _(* &quot;n/a&quot;_);_(* &quot;-&quot;??_);_(@_)"/>
    <numFmt numFmtId="171" formatCode="_(@_)"/>
    <numFmt numFmtId="172" formatCode=";;;"/>
    <numFmt numFmtId="173" formatCode="_(&quot;$&quot;* #,##0.000_);_(&quot;$&quot;* \(#,##0.000\);_(&quot;$&quot;* &quot;-&quot;??_);_(@_)"/>
    <numFmt numFmtId="174" formatCode="_(* #,##0.0_);_(* \(#,##0.0\);_(* &quot;-&quot;??_);_(&quot;Bloomberg &gt;&gt; &quot;@_)"/>
    <numFmt numFmtId="175" formatCode="_(* #,##0.0_);_(* \(#,##0.0\);_(* &quot;-&quot;??_);_(&quot;Capital IQ &gt;&gt; &quot;@_)"/>
    <numFmt numFmtId="176" formatCode="_(* #,##0.0_);_(* \(#,##0.0\);_(* &quot;-&quot;??_);_(&quot;FactSet &gt;&gt; &quot;@_)"/>
    <numFmt numFmtId="177" formatCode="_(* #,##0.0_);_(* \(#,##0.0\);_(* &quot;-&quot;??_);_(&quot;Ticker :   &quot;@_)"/>
    <numFmt numFmtId="178" formatCode="_(&quot;$&quot;* 0.00_);_(&quot;$&quot;* \(0.00\);_(&quot;$&quot;* &quot;-&quot;??_);_(@\ * \ &quot;Toggle  &gt;&gt;&gt;&quot;_)"/>
    <numFmt numFmtId="179" formatCode="_(* 0.00%_);_(* \-0.00%_);_(* &quot;-&quot;??_);_(@_)"/>
    <numFmt numFmtId="180" formatCode="_(* #,##0.0_);_(* \(#,##0.0\);_(* &quot;-&quot;??_);_(&quot;Model Sheet Currency :   &quot;@_)"/>
    <numFmt numFmtId="181" formatCode="_(* #,##0.0_);_(* \(#,##0.0\);_(* &quot;-&quot;??_);_(&quot;Canalyst Security Identification #: &quot;@_)"/>
    <numFmt numFmtId="182" formatCode="_(* #,##0.0_);_(* \(#,##0.0\);_(* &quot;-&quot;??_);_(&quot;Model Version #: &quot;@_)"/>
    <numFmt numFmtId="183" formatCode="_(* #,##0.0_);_(* \(#,##0.0\);_(* &quot; - &quot;??_);_(&quot;Last Price (&quot;@&quot;) &quot;_)"/>
    <numFmt numFmtId="184" formatCode="_(* #,##0.0_);_(* \(#,##0.0\);_(* &quot;-&quot;??_);_(&quot;Real-Time Stock Price :   &quot;@_)"/>
    <numFmt numFmtId="185" formatCode="_(&quot;$&quot;* 0.00_);_(&quot;$&quot;* \(0.00\);_(&quot;$&quot;* &quot; - &quot;??_);_(@_)"/>
    <numFmt numFmtId="186" formatCode="_(* #,##0.000_);_(* \(#,##0.000\);_(* &quot;-&quot;??_);_(@_)"/>
    <numFmt numFmtId="187" formatCode="&quot;Most Recent Period:&quot;"/>
    <numFmt numFmtId="188" formatCode="_(* #,##0.0_);_(* \(#,##0.0\);_(* &quot; -&quot;??_);_(&quot;Refinitiv &gt;&gt; &quot;@_)"/>
    <numFmt numFmtId="189" formatCode="yyyy\-mm\-dd"/>
    <numFmt numFmtId="190" formatCode="_(&quot;$&quot;* #,##0.00_);_(&quot;$&quot;* \(#,##0.00\);_(&quot;$&quot;* &quot; - &quot;??_);_(@_)"/>
    <numFmt numFmtId="191" formatCode="_(\$* 0.00_);_(\$* \(0.00\);_(\$* &quot; - &quot;??_);_(@_)"/>
    <numFmt numFmtId="192" formatCode="m\-d\-yy"/>
    <numFmt numFmtId="193" formatCode="_(\$* 0.00_);_(\$* \(0.00\);_(\$* &quot;-&quot;??_);_(@\ * \ &quot;Toggle  &gt;&gt;&gt;&quot;_)"/>
    <numFmt numFmtId="194" formatCode="_(* 0.00\ \x_);\ _(* &quot;n/a&quot;_);_(* &quot;-&quot;??_);_(@_)"/>
    <numFmt numFmtId="195" formatCode="m/d/yy"/>
    <numFmt numFmtId="196" formatCode="_(* #,##0.0_);_(* \(#,##0.0\);_(* &quot;-&quot;??_);_(&quot;Tegus Ticker &gt;&gt; &quot;@_)"/>
    <numFmt numFmtId="197" formatCode=";;"/>
    <numFmt numFmtId="198" formatCode="_(* 0%_);_(* \-0%_);_(* &quot;-&quot;??_);_(@_)"/>
  </numFmts>
  <fonts count="52">
    <font>
      <sz val="11"/>
      <name val="Calibri"/>
      <family val="2"/>
    </font>
    <font>
      <sz val="10"/>
      <color theme="1"/>
      <name val="Arial"/>
      <family val="2"/>
    </font>
    <font>
      <sz val="11"/>
      <color theme="1"/>
      <name val="Calibri"/>
      <family val="2"/>
      <scheme val="minor"/>
    </font>
    <font>
      <b/>
      <sz val="11"/>
      <color theme="1"/>
      <name val="Calibri"/>
      <family val="2"/>
      <scheme val="minor"/>
    </font>
    <font>
      <u val="single"/>
      <sz val="11"/>
      <color theme="10"/>
      <name val="Calibri"/>
      <family val="2"/>
      <scheme val="minor"/>
    </font>
    <font>
      <i/>
      <sz val="11"/>
      <color theme="1"/>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22"/>
      <color theme="1"/>
      <name val="Calibri"/>
      <family val="2"/>
      <scheme val="minor"/>
    </font>
    <font>
      <u val="single"/>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z val="14"/>
      <name val="Calibri"/>
      <family val="2"/>
      <scheme val="minor"/>
    </font>
    <font>
      <i/>
      <sz val="11"/>
      <name val="Calibri"/>
      <family val="2"/>
    </font>
    <font>
      <sz val="11"/>
      <color rgb="FF000000"/>
      <name val="Calibri"/>
      <family val="2"/>
      <scheme val="minor"/>
    </font>
    <font>
      <i/>
      <sz val="11"/>
      <color rgb="FFFF0000"/>
      <name val="Calibri"/>
      <family val="2"/>
    </font>
    <font>
      <b/>
      <sz val="11"/>
      <color rgb="FFFFFFFF"/>
      <name val="Calibri"/>
      <family val="2"/>
    </font>
    <font>
      <i/>
      <sz val="11"/>
      <color rgb="FF000000"/>
      <name val="Calibri"/>
      <family val="2"/>
    </font>
    <font>
      <u val="single"/>
      <sz val="22"/>
      <color theme="10"/>
      <name val="Calibri"/>
      <family val="2"/>
      <scheme val="minor"/>
    </font>
    <font>
      <sz val="11"/>
      <color rgb="FF000000"/>
      <name val="Calibri"/>
      <family val="2"/>
    </font>
    <font>
      <b/>
      <sz val="11"/>
      <color rgb="FF000000"/>
      <name val="Calibri"/>
      <family val="2"/>
    </font>
    <font>
      <b/>
      <sz val="11"/>
      <color theme="1"/>
      <name val="Calibri"/>
      <family val="2"/>
    </font>
    <font>
      <sz val="11"/>
      <color theme="1"/>
      <name val="Calibri"/>
      <family val="2"/>
    </font>
    <font>
      <i/>
      <sz val="11"/>
      <color rgb="FF000000"/>
      <name val="Calibri"/>
      <family val="2"/>
      <scheme val="minor"/>
    </font>
    <font>
      <sz val="10"/>
      <color theme="0"/>
      <name val="Calibri"/>
      <family val="2"/>
      <scheme val="minor"/>
    </font>
    <font>
      <b/>
      <sz val="11"/>
      <color rgb="FF000000"/>
      <name val="Calibri"/>
      <family val="2"/>
      <scheme val="minor"/>
    </font>
    <font>
      <b/>
      <sz val="11"/>
      <color rgb="FFFFFFFF"/>
      <name val="Calibri"/>
      <family val="2"/>
      <scheme val="minor"/>
    </font>
    <font>
      <sz val="11"/>
      <color rgb="FFFFFFFF"/>
      <name val="Calibri"/>
      <family val="2"/>
    </font>
    <font>
      <b/>
      <i/>
      <sz val="11"/>
      <color rgb="FF000000"/>
      <name val="Calibri"/>
      <family val="2"/>
    </font>
    <font>
      <b/>
      <i/>
      <sz val="11"/>
      <color rgb="FF000000"/>
      <name val="Calibri"/>
      <family val="2"/>
      <scheme val="minor"/>
    </font>
    <font>
      <u val="single"/>
      <sz val="22"/>
      <color rgb="FF000000"/>
      <name val="Calibri"/>
      <family val="2"/>
      <scheme val="minor"/>
    </font>
    <font>
      <u val="single"/>
      <sz val="14"/>
      <color rgb="FF0000FF"/>
      <name val="Calibri"/>
      <family val="2"/>
      <scheme val="minor"/>
    </font>
    <font>
      <b/>
      <sz val="9"/>
      <name val="Tahoma"/>
      <family val="2"/>
    </font>
    <font>
      <sz val="9"/>
      <name val="Tahoma"/>
      <family val="2"/>
    </font>
    <font>
      <sz val="7"/>
      <color rgb="FF000000"/>
      <name val="Calibri"/>
      <family val="2"/>
      <scheme val="minor"/>
    </font>
    <font>
      <b/>
      <sz val="7"/>
      <color rgb="FF000000"/>
      <name val="Calibri"/>
      <family val="2"/>
      <scheme val="minor"/>
    </font>
    <font>
      <i/>
      <sz val="11"/>
      <color theme="1"/>
      <name val="Calibri"/>
      <family val="2"/>
    </font>
    <font>
      <b/>
      <sz val="14"/>
      <color rgb="FFD04B35"/>
      <name val="Calibri"/>
      <family val="2"/>
      <scheme val="minor"/>
    </font>
    <font>
      <u val="single"/>
      <sz val="14"/>
      <color theme="10"/>
      <name val="Calibri"/>
      <family val="2"/>
      <scheme val="minor"/>
    </font>
    <font>
      <u val="single"/>
      <sz val="22"/>
      <color theme="1"/>
      <name val="Calibri"/>
      <family val="2"/>
      <scheme val="minor"/>
    </font>
    <font>
      <sz val="11"/>
      <color rgb="FF0000FC"/>
      <name val="Calibri"/>
      <family val="2"/>
    </font>
    <font>
      <b/>
      <sz val="11"/>
      <color rgb="FF0000FC"/>
      <name val="Calibri"/>
      <family val="2"/>
    </font>
    <font>
      <sz val="11"/>
      <color rgb="FF009900"/>
      <name val="Calibri"/>
      <family val="2"/>
    </font>
    <font>
      <b/>
      <sz val="11"/>
      <color rgb="FF009900"/>
      <name val="Calibri"/>
      <family val="2"/>
    </font>
    <font>
      <i/>
      <sz val="11"/>
      <color rgb="FF0000FC"/>
      <name val="Calibri"/>
      <family val="2"/>
    </font>
    <font>
      <sz val="11"/>
      <color rgb="FF0000FC"/>
      <name val="Calibri"/>
      <family val="2"/>
      <scheme val="minor"/>
    </font>
  </fonts>
  <fills count="9">
    <fill>
      <patternFill patternType="none"/>
    </fill>
    <fill>
      <patternFill patternType="gray125"/>
    </fill>
    <fill>
      <patternFill patternType="solid">
        <fgColor rgb="FFC6EFCE"/>
        <bgColor indexed="64"/>
      </patternFill>
    </fill>
    <fill>
      <patternFill patternType="solid">
        <fgColor rgb="FFFFFFFF"/>
        <bgColor indexed="64"/>
      </patternFill>
    </fill>
    <fill>
      <patternFill patternType="solid">
        <fgColor rgb="FF89E0FF"/>
        <bgColor indexed="64"/>
      </patternFill>
    </fill>
    <fill>
      <patternFill patternType="solid">
        <fgColor rgb="FF000000"/>
        <bgColor indexed="64"/>
      </patternFill>
    </fill>
    <fill>
      <patternFill patternType="solid">
        <fgColor rgb="FFD0F9F2"/>
        <bgColor indexed="64"/>
      </patternFill>
    </fill>
    <fill>
      <patternFill patternType="solid">
        <fgColor rgb="FFECEDF0"/>
        <bgColor indexed="64"/>
      </patternFill>
    </fill>
    <fill>
      <patternFill patternType="solid">
        <fgColor rgb="FFF2F2F2"/>
        <bgColor indexed="64"/>
      </patternFill>
    </fill>
  </fills>
  <borders count="38">
    <border>
      <left/>
      <right/>
      <top/>
      <bottom/>
      <diagonal/>
    </border>
    <border>
      <left/>
      <right style="thin">
        <color auto="1"/>
      </right>
      <top/>
      <bottom style="thin">
        <color auto="1"/>
      </bottom>
    </border>
    <border>
      <left/>
      <right/>
      <top/>
      <bottom style="thin">
        <color auto="1"/>
      </bottom>
    </border>
    <border>
      <left style="thin">
        <color auto="1"/>
      </left>
      <right/>
      <top/>
      <bottom style="thin">
        <color auto="1"/>
      </bottom>
    </border>
    <border>
      <left/>
      <right style="thin">
        <color auto="1"/>
      </right>
      <top/>
      <bottom/>
    </border>
    <border>
      <left style="thin">
        <color auto="1"/>
      </left>
      <right/>
      <top/>
      <bottom/>
    </border>
    <border>
      <left/>
      <right style="thin">
        <color auto="1"/>
      </right>
      <top style="thin">
        <color auto="1"/>
      </top>
      <bottom/>
    </border>
    <border>
      <left/>
      <right/>
      <top style="thin">
        <color auto="1"/>
      </top>
      <bottom/>
    </border>
    <border>
      <left style="thin">
        <color auto="1"/>
      </left>
      <right/>
      <top style="thin">
        <color auto="1"/>
      </top>
      <bottom/>
    </border>
    <border>
      <left/>
      <right/>
      <top style="thin">
        <color auto="1"/>
      </top>
      <bottom style="thin">
        <color auto="1"/>
      </bottom>
    </border>
    <border>
      <left/>
      <right style="thin">
        <color rgb="FF000000"/>
      </right>
      <top/>
      <bottom/>
    </border>
    <border>
      <left style="thin">
        <color rgb="FF000000"/>
      </left>
      <right/>
      <top/>
      <bottom/>
    </border>
    <border>
      <left/>
      <right/>
      <top style="thin">
        <color rgb="FF000000"/>
      </top>
      <bottom/>
    </border>
    <border>
      <left/>
      <right/>
      <top/>
      <bottom style="thin">
        <color rgb="FF000000"/>
      </bottom>
    </border>
    <border>
      <left/>
      <right style="thin">
        <color rgb="FF000000"/>
      </right>
      <top style="thin">
        <color rgb="FF000000"/>
      </top>
      <bottom/>
    </border>
    <border>
      <left style="thin">
        <color rgb="FF000000"/>
      </left>
      <right/>
      <top style="thin">
        <color rgb="FF000000"/>
      </top>
      <bottom/>
    </border>
    <border>
      <left/>
      <right/>
      <top style="thin">
        <color rgb="FF000000"/>
      </top>
      <bottom style="thin">
        <color rgb="FF000000"/>
      </bottom>
    </border>
    <border>
      <left style="thin">
        <color auto="1"/>
      </left>
      <right style="thin">
        <color auto="1"/>
      </right>
      <top style="thin">
        <color auto="1"/>
      </top>
      <bottom/>
    </border>
    <border>
      <left style="thin">
        <color auto="1"/>
      </left>
      <right style="thin">
        <color auto="1"/>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auto="1"/>
      </left>
      <right style="thin">
        <color auto="1"/>
      </right>
      <top/>
      <bottom style="thin">
        <color auto="1"/>
      </bottom>
    </border>
    <border>
      <left/>
      <right style="thick">
        <color auto="1"/>
      </right>
      <top/>
      <bottom/>
    </border>
    <border>
      <left/>
      <right style="thick">
        <color auto="1"/>
      </right>
      <top style="thin">
        <color rgb="FF000000"/>
      </top>
      <bottom style="thin">
        <color rgb="FF000000"/>
      </bottom>
    </border>
    <border>
      <left/>
      <right style="thick">
        <color auto="1"/>
      </right>
      <top style="thin">
        <color rgb="FF000000"/>
      </top>
      <bottom/>
    </border>
    <border>
      <left/>
      <right style="thick">
        <color auto="1"/>
      </right>
      <top/>
      <bottom style="thin">
        <color rgb="FF000000"/>
      </bottom>
    </border>
    <border>
      <left style="thin">
        <color rgb="FF000000"/>
      </left>
      <right/>
      <top/>
      <bottom style="thin">
        <color auto="1"/>
      </bottom>
    </border>
    <border>
      <left/>
      <right style="thick">
        <color auto="1"/>
      </right>
      <top/>
      <bottom style="thin">
        <color auto="1"/>
      </bottom>
    </border>
    <border>
      <left/>
      <right style="thin">
        <color rgb="FF000000"/>
      </right>
      <top/>
      <bottom style="thin">
        <color auto="1"/>
      </bottom>
    </border>
    <border>
      <left/>
      <right style="thick">
        <color auto="1"/>
      </right>
      <top style="thin">
        <color auto="1"/>
      </top>
      <bottom/>
    </border>
    <border>
      <left style="thin">
        <color auto="1"/>
      </left>
      <right style="thin">
        <color auto="1"/>
      </right>
      <top style="thin">
        <color auto="1"/>
      </top>
      <bottom style="thin">
        <color auto="1"/>
      </bottom>
    </border>
    <border>
      <left style="thin">
        <color auto="1"/>
      </left>
      <right/>
      <top style="thin">
        <color auto="1"/>
      </top>
      <bottom style="thin">
        <color auto="1"/>
      </bottom>
    </border>
    <border>
      <left style="thin">
        <color auto="1"/>
      </left>
      <right style="thin">
        <color auto="1"/>
      </right>
      <top/>
      <bottom style="thin">
        <color rgb="FF000000"/>
      </bottom>
    </border>
    <border>
      <left style="thin">
        <color rgb="FF000000"/>
      </left>
      <right style="thin">
        <color auto="1"/>
      </right>
      <top/>
      <bottom style="thin">
        <color rgb="FF000000"/>
      </bottom>
    </border>
    <border>
      <left style="thin">
        <color auto="1"/>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style="thick">
        <color auto="1"/>
      </right>
      <top style="thin">
        <color auto="1"/>
      </top>
      <bottom style="thin">
        <color auto="1"/>
      </bottom>
    </border>
  </borders>
  <cellStyleXfs count="3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lignment/>
      <protection/>
    </xf>
    <xf numFmtId="44" fontId="0" fillId="0" borderId="0">
      <alignment/>
      <protection/>
    </xf>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2" fillId="0" borderId="0">
      <alignment/>
      <protection/>
    </xf>
    <xf numFmtId="44" fontId="0" fillId="0" borderId="0">
      <alignment/>
      <protection/>
    </xf>
    <xf numFmtId="0" fontId="14" fillId="2" borderId="0">
      <alignment/>
      <protection/>
    </xf>
    <xf numFmtId="0" fontId="4" fillId="0" borderId="0">
      <alignment/>
      <protection/>
    </xf>
    <xf numFmtId="0" fontId="11" fillId="0" borderId="0">
      <alignment vertical="top"/>
      <protection locked="0"/>
    </xf>
    <xf numFmtId="0" fontId="2" fillId="0" borderId="0">
      <alignment/>
      <protection/>
    </xf>
    <xf numFmtId="0" fontId="2" fillId="0" borderId="0">
      <alignment/>
      <protection/>
    </xf>
    <xf numFmtId="0" fontId="0" fillId="0" borderId="0">
      <alignment/>
      <protection/>
    </xf>
    <xf numFmtId="9" fontId="2" fillId="0" borderId="0">
      <alignment/>
      <protection/>
    </xf>
    <xf numFmtId="44" fontId="0" fillId="0" borderId="0">
      <alignment/>
      <protection/>
    </xf>
  </cellStyleXfs>
  <cellXfs count="1574">
    <xf numFmtId="0" fontId="0" fillId="0" borderId="0" xfId="0"/>
    <xf numFmtId="0" fontId="15" fillId="3" borderId="0" xfId="26" applyFont="1" applyFill="1">
      <alignment/>
      <protection/>
    </xf>
    <xf numFmtId="0" fontId="2" fillId="0" borderId="0" xfId="26">
      <alignment/>
      <protection/>
    </xf>
    <xf numFmtId="0" fontId="2" fillId="3" borderId="0" xfId="26" applyFill="1">
      <alignment/>
      <protection/>
    </xf>
    <xf numFmtId="171" fontId="2" fillId="3" borderId="0" xfId="26" applyNumberFormat="1" applyFont="1" applyFill="1" applyAlignment="1" quotePrefix="1">
      <alignment horizontal="left" vertical="top" wrapText="1"/>
      <protection/>
    </xf>
    <xf numFmtId="0" fontId="2" fillId="3" borderId="1" xfId="26" applyFill="1" applyBorder="1" applyAlignment="1">
      <alignment vertical="top" wrapText="1"/>
      <protection/>
    </xf>
    <xf numFmtId="0" fontId="2" fillId="3" borderId="2" xfId="26" applyFill="1" applyBorder="1" applyAlignment="1">
      <alignment vertical="top" wrapText="1"/>
      <protection/>
    </xf>
    <xf numFmtId="0" fontId="2" fillId="3" borderId="3" xfId="26" applyFill="1" applyBorder="1" applyAlignment="1">
      <alignment vertical="top" wrapText="1"/>
      <protection/>
    </xf>
    <xf numFmtId="0" fontId="2" fillId="3" borderId="4" xfId="26" applyFill="1" applyBorder="1" applyAlignment="1">
      <alignment vertical="top" wrapText="1"/>
      <protection/>
    </xf>
    <xf numFmtId="0" fontId="2" fillId="3" borderId="0" xfId="26" applyFill="1" applyAlignment="1">
      <alignment vertical="top" wrapText="1"/>
      <protection/>
    </xf>
    <xf numFmtId="0" fontId="2" fillId="3" borderId="5" xfId="26" applyFill="1" applyBorder="1" applyAlignment="1">
      <alignment vertical="top" wrapText="1"/>
      <protection/>
    </xf>
    <xf numFmtId="0" fontId="2" fillId="3" borderId="6" xfId="26" applyFill="1" applyBorder="1" applyAlignment="1">
      <alignment vertical="top" wrapText="1"/>
      <protection/>
    </xf>
    <xf numFmtId="0" fontId="2" fillId="3" borderId="7" xfId="26" applyFill="1" applyBorder="1" applyAlignment="1">
      <alignment vertical="top" wrapText="1"/>
      <protection/>
    </xf>
    <xf numFmtId="0" fontId="40" fillId="3" borderId="8" xfId="26" applyFont="1" applyFill="1" applyBorder="1" applyAlignment="1">
      <alignment vertical="top" wrapText="1"/>
      <protection/>
    </xf>
    <xf numFmtId="0" fontId="10" fillId="3" borderId="0" xfId="26" applyFont="1" applyFill="1" applyAlignment="1">
      <alignment horizontal="center"/>
      <protection/>
    </xf>
    <xf numFmtId="0" fontId="2" fillId="0" borderId="0" xfId="26">
      <alignment/>
      <protection/>
    </xf>
    <xf numFmtId="167" fontId="13" fillId="4" borderId="0" xfId="0" applyNumberFormat="1" applyFont="1" applyFill="1"/>
    <xf numFmtId="164" fontId="20" fillId="2" borderId="0" xfId="22" applyNumberFormat="1" applyFont="1" applyFill="1">
      <alignment/>
      <protection/>
    </xf>
    <xf numFmtId="167" fontId="21" fillId="4" borderId="0" xfId="0" applyNumberFormat="1" applyFont="1" applyFill="1"/>
    <xf numFmtId="0" fontId="0" fillId="3" borderId="0" xfId="0" applyFont="1" applyFill="1"/>
    <xf numFmtId="173" fontId="13" fillId="4" borderId="0" xfId="16" applyNumberFormat="1" applyFont="1" applyFill="1">
      <alignment/>
      <protection/>
    </xf>
    <xf numFmtId="179" fontId="7" fillId="3" borderId="0" xfId="0" applyNumberFormat="1" applyFont="1" applyFill="1" applyAlignment="1">
      <alignment horizontal="left"/>
    </xf>
    <xf numFmtId="167" fontId="19" fillId="3" borderId="0" xfId="0" applyNumberFormat="1" applyFont="1" applyFill="1" applyAlignment="1">
      <alignment horizontal="left" indent="1"/>
    </xf>
    <xf numFmtId="167" fontId="7" fillId="3" borderId="0" xfId="0" applyNumberFormat="1" applyFont="1" applyFill="1" applyAlignment="1">
      <alignment horizontal="left"/>
    </xf>
    <xf numFmtId="167" fontId="0" fillId="3" borderId="0" xfId="0" applyNumberFormat="1" applyFont="1" applyFill="1" applyAlignment="1">
      <alignment horizontal="left" indent="1"/>
    </xf>
    <xf numFmtId="164" fontId="7" fillId="3" borderId="0" xfId="0" applyNumberFormat="1" applyFont="1" applyFill="1" applyAlignment="1">
      <alignment horizontal="left"/>
    </xf>
    <xf numFmtId="164" fontId="0" fillId="3" borderId="0" xfId="0" applyNumberFormat="1" applyFont="1" applyFill="1" applyAlignment="1">
      <alignment horizontal="left"/>
    </xf>
    <xf numFmtId="164" fontId="0" fillId="3" borderId="0" xfId="0" applyNumberFormat="1" applyFont="1" applyFill="1" applyAlignment="1">
      <alignment horizontal="left" indent="4"/>
    </xf>
    <xf numFmtId="167" fontId="7" fillId="3" borderId="0" xfId="0" applyNumberFormat="1" applyFont="1" applyFill="1"/>
    <xf numFmtId="169" fontId="3" fillId="3" borderId="0" xfId="16" applyNumberFormat="1" applyFont="1" applyFill="1">
      <alignment/>
      <protection/>
    </xf>
    <xf numFmtId="167" fontId="5" fillId="3" borderId="0" xfId="0" applyNumberFormat="1" applyFont="1" applyFill="1" applyAlignment="1">
      <alignment horizontal="left"/>
    </xf>
    <xf numFmtId="164" fontId="0" fillId="3" borderId="0" xfId="0" applyNumberFormat="1" applyFont="1" applyFill="1" applyAlignment="1">
      <alignment horizontal="left" indent="2"/>
    </xf>
    <xf numFmtId="166" fontId="0" fillId="3" borderId="0" xfId="0" applyNumberFormat="1" applyFont="1" applyFill="1"/>
    <xf numFmtId="167" fontId="22" fillId="5" borderId="0" xfId="0" applyNumberFormat="1" applyFont="1" applyFill="1"/>
    <xf numFmtId="166" fontId="7" fillId="3" borderId="0" xfId="0" applyNumberFormat="1" applyFont="1" applyFill="1"/>
    <xf numFmtId="0" fontId="7" fillId="3" borderId="0" xfId="0" applyFont="1" applyFill="1"/>
    <xf numFmtId="0" fontId="15" fillId="0" borderId="0" xfId="26" applyFont="1">
      <alignment/>
      <protection/>
    </xf>
    <xf numFmtId="167" fontId="0" fillId="4" borderId="2" xfId="0" applyNumberFormat="1" applyFont="1" applyFill="1" applyBorder="1" applyAlignment="1">
      <alignment horizontal="right"/>
    </xf>
    <xf numFmtId="169" fontId="3" fillId="3" borderId="0" xfId="16" applyNumberFormat="1" applyFont="1" applyFill="1" applyAlignment="1">
      <alignment horizontal="left"/>
      <protection/>
    </xf>
    <xf numFmtId="44" fontId="3" fillId="3" borderId="0" xfId="16" applyFont="1" applyFill="1" applyAlignment="1">
      <alignment horizontal="left"/>
      <protection/>
    </xf>
    <xf numFmtId="164" fontId="0" fillId="3" borderId="2" xfId="0" applyNumberFormat="1" applyFont="1" applyFill="1" applyBorder="1" applyAlignment="1">
      <alignment horizontal="left" indent="4"/>
    </xf>
    <xf numFmtId="164" fontId="28" fillId="3" borderId="0" xfId="0" applyNumberFormat="1" applyFont="1" applyFill="1" applyAlignment="1">
      <alignment horizontal="left" indent="1"/>
    </xf>
    <xf numFmtId="164" fontId="7" fillId="3" borderId="7" xfId="0" applyNumberFormat="1" applyFont="1" applyFill="1" applyBorder="1" applyAlignment="1">
      <alignment horizontal="left"/>
    </xf>
    <xf numFmtId="164" fontId="7" fillId="3" borderId="9" xfId="0" applyNumberFormat="1" applyFont="1" applyFill="1" applyBorder="1" applyAlignment="1">
      <alignment horizontal="left"/>
    </xf>
    <xf numFmtId="164" fontId="27" fillId="3" borderId="0" xfId="0" applyNumberFormat="1" applyFont="1" applyFill="1" applyAlignment="1">
      <alignment horizontal="left"/>
    </xf>
    <xf numFmtId="164" fontId="3" fillId="3" borderId="0" xfId="0" applyNumberFormat="1" applyFont="1" applyFill="1"/>
    <xf numFmtId="164" fontId="0" fillId="3" borderId="2" xfId="0" applyNumberFormat="1" applyFont="1" applyFill="1" applyBorder="1" applyAlignment="1">
      <alignment horizontal="left" indent="2"/>
    </xf>
    <xf numFmtId="167" fontId="9" fillId="4" borderId="0" xfId="0" applyNumberFormat="1" applyFont="1" applyFill="1"/>
    <xf numFmtId="167" fontId="0" fillId="4" borderId="2" xfId="0" applyNumberFormat="1" applyFont="1" applyFill="1" applyBorder="1"/>
    <xf numFmtId="167" fontId="0" fillId="3" borderId="2" xfId="0" applyNumberFormat="1" applyFont="1" applyFill="1" applyBorder="1"/>
    <xf numFmtId="167" fontId="29" fillId="3" borderId="0" xfId="16" applyNumberFormat="1" applyFont="1" applyFill="1">
      <alignment/>
      <protection/>
    </xf>
    <xf numFmtId="167" fontId="23" fillId="4" borderId="0" xfId="0" applyNumberFormat="1" applyFont="1" applyFill="1" applyAlignment="1">
      <alignment horizontal="right"/>
    </xf>
    <xf numFmtId="167" fontId="9" fillId="3" borderId="2" xfId="0" applyNumberFormat="1" applyFont="1" applyFill="1" applyBorder="1"/>
    <xf numFmtId="167" fontId="9" fillId="4" borderId="2" xfId="0" applyNumberFormat="1" applyFont="1" applyFill="1" applyBorder="1"/>
    <xf numFmtId="167" fontId="21" fillId="3" borderId="0" xfId="0" applyNumberFormat="1" applyFont="1" applyFill="1"/>
    <xf numFmtId="180" fontId="3" fillId="3" borderId="0" xfId="0" applyNumberFormat="1" applyFont="1" applyFill="1"/>
    <xf numFmtId="164" fontId="0" fillId="3" borderId="7" xfId="0" applyNumberFormat="1" applyFont="1" applyFill="1" applyBorder="1" applyAlignment="1">
      <alignment horizontal="left" indent="1"/>
    </xf>
    <xf numFmtId="164" fontId="0" fillId="3" borderId="7" xfId="0" applyNumberFormat="1" applyFont="1" applyFill="1" applyBorder="1" applyAlignment="1">
      <alignment horizontal="left" indent="2"/>
    </xf>
    <xf numFmtId="167" fontId="7" fillId="3" borderId="7" xfId="0" applyNumberFormat="1" applyFont="1" applyFill="1" applyBorder="1" applyAlignment="1">
      <alignment horizontal="left"/>
    </xf>
    <xf numFmtId="167" fontId="21" fillId="4" borderId="0" xfId="15" applyNumberFormat="1" applyFont="1" applyFill="1">
      <alignment/>
      <protection/>
    </xf>
    <xf numFmtId="1" fontId="26" fillId="3" borderId="0" xfId="0" applyNumberFormat="1" applyFont="1" applyFill="1" applyAlignment="1">
      <alignment horizontal="center"/>
    </xf>
    <xf numFmtId="0" fontId="31" fillId="3" borderId="0" xfId="0" applyFont="1" applyFill="1" applyAlignment="1">
      <alignment horizontal="center"/>
    </xf>
    <xf numFmtId="167" fontId="23" fillId="4" borderId="0" xfId="0" applyNumberFormat="1" applyFont="1" applyFill="1" applyAlignment="1">
      <alignment horizontal="center"/>
    </xf>
    <xf numFmtId="167" fontId="23" fillId="4" borderId="0" xfId="0" applyNumberFormat="1" applyFont="1" applyFill="1"/>
    <xf numFmtId="169" fontId="26" fillId="4" borderId="0" xfId="0" applyNumberFormat="1" applyFont="1" applyFill="1"/>
    <xf numFmtId="169" fontId="23" fillId="4" borderId="0" xfId="0" applyNumberFormat="1" applyFont="1" applyFill="1" applyAlignment="1">
      <alignment horizontal="right"/>
    </xf>
    <xf numFmtId="173" fontId="26" fillId="4" borderId="0" xfId="16" applyNumberFormat="1" applyFont="1" applyFill="1">
      <alignment/>
      <protection/>
    </xf>
    <xf numFmtId="167" fontId="23" fillId="4" borderId="0" xfId="16" applyNumberFormat="1" applyFont="1" applyFill="1">
      <alignment/>
      <protection/>
    </xf>
    <xf numFmtId="179" fontId="26" fillId="4" borderId="0" xfId="0" applyNumberFormat="1" applyFont="1" applyFill="1"/>
    <xf numFmtId="179" fontId="23" fillId="4" borderId="0" xfId="0" applyNumberFormat="1" applyFont="1" applyFill="1" applyAlignment="1">
      <alignment horizontal="right"/>
    </xf>
    <xf numFmtId="167" fontId="23" fillId="4" borderId="0" xfId="15" applyNumberFormat="1" applyFont="1" applyFill="1">
      <alignment/>
      <protection/>
    </xf>
    <xf numFmtId="164" fontId="0" fillId="3" borderId="0" xfId="0" applyNumberFormat="1" applyFont="1" applyFill="1" applyAlignment="1">
      <alignment horizontal="left" indent="3"/>
    </xf>
    <xf numFmtId="17" fontId="20" fillId="3" borderId="0" xfId="0" applyNumberFormat="1" applyFont="1" applyFill="1" applyAlignment="1">
      <alignment horizontal="center"/>
    </xf>
    <xf numFmtId="164" fontId="0" fillId="3" borderId="2" xfId="0" applyNumberFormat="1" applyFont="1" applyFill="1" applyBorder="1" applyAlignment="1">
      <alignment horizontal="left" indent="3"/>
    </xf>
    <xf numFmtId="164" fontId="32" fillId="5" borderId="0" xfId="27" applyNumberFormat="1" applyFont="1" applyFill="1">
      <alignment/>
      <protection/>
    </xf>
    <xf numFmtId="167" fontId="22" fillId="5" borderId="0" xfId="27" applyNumberFormat="1" applyFont="1" applyFill="1">
      <alignment/>
      <protection/>
    </xf>
    <xf numFmtId="167" fontId="33" fillId="5" borderId="0" xfId="27" applyNumberFormat="1" applyFont="1" applyFill="1">
      <alignment/>
      <protection/>
    </xf>
    <xf numFmtId="164" fontId="22" fillId="5" borderId="0" xfId="27" applyNumberFormat="1" applyFont="1" applyFill="1">
      <alignment/>
      <protection/>
    </xf>
    <xf numFmtId="164" fontId="31" fillId="3" borderId="0" xfId="27" applyNumberFormat="1" applyFont="1" applyFill="1" applyAlignment="1">
      <alignment horizontal="center"/>
      <protection/>
    </xf>
    <xf numFmtId="169" fontId="26" fillId="4" borderId="0" xfId="27" applyNumberFormat="1" applyFont="1" applyFill="1">
      <alignment/>
      <protection/>
    </xf>
    <xf numFmtId="166" fontId="26" fillId="4" borderId="0" xfId="27" applyNumberFormat="1" applyFont="1" applyFill="1">
      <alignment/>
      <protection/>
    </xf>
    <xf numFmtId="166" fontId="26" fillId="3" borderId="0" xfId="27" applyNumberFormat="1" applyFont="1" applyFill="1">
      <alignment/>
      <protection/>
    </xf>
    <xf numFmtId="167" fontId="25" fillId="4" borderId="0" xfId="27" applyNumberFormat="1" applyFont="1" applyFill="1">
      <alignment/>
      <protection/>
    </xf>
    <xf numFmtId="167" fontId="25" fillId="3" borderId="0" xfId="27" applyNumberFormat="1" applyFont="1" applyFill="1">
      <alignment/>
      <protection/>
    </xf>
    <xf numFmtId="167" fontId="25" fillId="4" borderId="2" xfId="27" applyNumberFormat="1" applyFont="1" applyFill="1" applyBorder="1">
      <alignment/>
      <protection/>
    </xf>
    <xf numFmtId="167" fontId="25" fillId="3" borderId="2" xfId="27" applyNumberFormat="1" applyFont="1" applyFill="1" applyBorder="1">
      <alignment/>
      <protection/>
    </xf>
    <xf numFmtId="167" fontId="26" fillId="4" borderId="0" xfId="27" applyNumberFormat="1" applyFont="1" applyFill="1">
      <alignment/>
      <protection/>
    </xf>
    <xf numFmtId="167" fontId="26" fillId="3" borderId="0" xfId="27" applyNumberFormat="1" applyFont="1" applyFill="1">
      <alignment/>
      <protection/>
    </xf>
    <xf numFmtId="169" fontId="26" fillId="3" borderId="0" xfId="27" applyNumberFormat="1" applyFont="1" applyFill="1">
      <alignment/>
      <protection/>
    </xf>
    <xf numFmtId="167" fontId="26" fillId="3" borderId="0" xfId="27" applyNumberFormat="1" applyFont="1" applyFill="1" applyAlignment="1">
      <alignment horizontal="center"/>
      <protection/>
    </xf>
    <xf numFmtId="167" fontId="25" fillId="3" borderId="0" xfId="27" applyNumberFormat="1" applyFont="1" applyFill="1" applyAlignment="1">
      <alignment horizontal="center"/>
      <protection/>
    </xf>
    <xf numFmtId="179" fontId="25" fillId="4" borderId="0" xfId="27" applyNumberFormat="1" applyFont="1" applyFill="1" applyAlignment="1">
      <alignment horizontal="right"/>
      <protection/>
    </xf>
    <xf numFmtId="179" fontId="25" fillId="3" borderId="0" xfId="27" applyNumberFormat="1" applyFont="1" applyFill="1" applyAlignment="1">
      <alignment horizontal="right"/>
      <protection/>
    </xf>
    <xf numFmtId="167" fontId="25" fillId="4" borderId="0" xfId="27" applyNumberFormat="1" applyFont="1" applyFill="1" applyAlignment="1">
      <alignment horizontal="right"/>
      <protection/>
    </xf>
    <xf numFmtId="167" fontId="25" fillId="3" borderId="0" xfId="27" applyNumberFormat="1" applyFont="1" applyFill="1" applyAlignment="1">
      <alignment horizontal="right"/>
      <protection/>
    </xf>
    <xf numFmtId="170" fontId="25" fillId="4" borderId="0" xfId="27" applyNumberFormat="1" applyFont="1" applyFill="1" applyAlignment="1">
      <alignment horizontal="right"/>
      <protection/>
    </xf>
    <xf numFmtId="170" fontId="25" fillId="3" borderId="0" xfId="27" applyNumberFormat="1" applyFont="1" applyFill="1">
      <alignment/>
      <protection/>
    </xf>
    <xf numFmtId="167" fontId="29" fillId="3" borderId="0" xfId="0" applyNumberFormat="1" applyFont="1" applyFill="1" applyAlignment="1">
      <alignment horizontal="left" indent="1"/>
    </xf>
    <xf numFmtId="167" fontId="23" fillId="3" borderId="0" xfId="0" applyNumberFormat="1" applyFont="1" applyFill="1"/>
    <xf numFmtId="169" fontId="29" fillId="3" borderId="0" xfId="0" applyNumberFormat="1" applyFont="1" applyFill="1" applyAlignment="1">
      <alignment horizontal="left" indent="1"/>
    </xf>
    <xf numFmtId="179" fontId="29" fillId="3" borderId="0" xfId="0" applyNumberFormat="1" applyFont="1" applyFill="1" applyAlignment="1">
      <alignment horizontal="left" indent="1"/>
    </xf>
    <xf numFmtId="170" fontId="2" fillId="3" borderId="0" xfId="0" applyNumberFormat="1" applyFont="1" applyFill="1"/>
    <xf numFmtId="167" fontId="21" fillId="3" borderId="0" xfId="0" applyNumberFormat="1" applyFont="1" applyFill="1" applyAlignment="1">
      <alignment horizontal="right"/>
    </xf>
    <xf numFmtId="167" fontId="21" fillId="4" borderId="0" xfId="0" applyNumberFormat="1" applyFont="1" applyFill="1" applyAlignment="1">
      <alignment horizontal="right"/>
    </xf>
    <xf numFmtId="179" fontId="26" fillId="3" borderId="0" xfId="0" applyNumberFormat="1" applyFont="1" applyFill="1" applyAlignment="1">
      <alignment horizontal="left"/>
    </xf>
    <xf numFmtId="179" fontId="26" fillId="3" borderId="0" xfId="0" applyNumberFormat="1" applyFont="1" applyFill="1"/>
    <xf numFmtId="167" fontId="13" fillId="3" borderId="0" xfId="0" applyNumberFormat="1" applyFont="1" applyFill="1"/>
    <xf numFmtId="167" fontId="23" fillId="3" borderId="0" xfId="0" applyNumberFormat="1" applyFont="1" applyFill="1" applyAlignment="1">
      <alignment horizontal="left" indent="1"/>
    </xf>
    <xf numFmtId="167" fontId="23" fillId="3" borderId="0" xfId="0" applyNumberFormat="1" applyFont="1" applyFill="1" applyAlignment="1">
      <alignment horizontal="left" indent="4"/>
    </xf>
    <xf numFmtId="179" fontId="26" fillId="3" borderId="0" xfId="0" applyNumberFormat="1" applyFont="1" applyFill="1" applyAlignment="1">
      <alignment horizontal="left" indent="4"/>
    </xf>
    <xf numFmtId="169" fontId="23" fillId="3" borderId="0" xfId="0" applyNumberFormat="1" applyFont="1" applyFill="1" applyAlignment="1">
      <alignment horizontal="left" indent="3"/>
    </xf>
    <xf numFmtId="179" fontId="23" fillId="3" borderId="0" xfId="0" applyNumberFormat="1" applyFont="1" applyFill="1" applyAlignment="1">
      <alignment horizontal="left" indent="3"/>
    </xf>
    <xf numFmtId="167" fontId="9" fillId="3" borderId="0" xfId="0" applyNumberFormat="1" applyFont="1" applyFill="1"/>
    <xf numFmtId="167" fontId="21" fillId="3" borderId="0" xfId="15" applyNumberFormat="1" applyFont="1" applyFill="1">
      <alignment/>
      <protection/>
    </xf>
    <xf numFmtId="169" fontId="26" fillId="3" borderId="0" xfId="0" applyNumberFormat="1" applyFont="1" applyFill="1"/>
    <xf numFmtId="173" fontId="13" fillId="3" borderId="0" xfId="16" applyNumberFormat="1" applyFont="1" applyFill="1">
      <alignment/>
      <protection/>
    </xf>
    <xf numFmtId="167" fontId="23" fillId="3" borderId="0" xfId="16" applyNumberFormat="1" applyFont="1" applyFill="1">
      <alignment/>
      <protection/>
    </xf>
    <xf numFmtId="17" fontId="35" fillId="3" borderId="0" xfId="27" applyNumberFormat="1" applyFont="1" applyFill="1" applyAlignment="1">
      <alignment horizontal="center"/>
      <protection/>
    </xf>
    <xf numFmtId="168" fontId="36" fillId="3" borderId="0" xfId="23" applyNumberFormat="1" applyFont="1" applyFill="1" applyAlignment="1">
      <alignment horizontal="left"/>
      <protection/>
    </xf>
    <xf numFmtId="164" fontId="31" fillId="3" borderId="0" xfId="27" applyNumberFormat="1" applyFont="1" applyFill="1" applyAlignment="1">
      <alignment horizontal="left"/>
      <protection/>
    </xf>
    <xf numFmtId="164" fontId="35" fillId="3" borderId="0" xfId="27" applyNumberFormat="1" applyFont="1" applyFill="1" applyAlignment="1">
      <alignment horizontal="center"/>
      <protection/>
    </xf>
    <xf numFmtId="164" fontId="26" fillId="3" borderId="0" xfId="27" applyNumberFormat="1" applyFont="1" applyFill="1" applyAlignment="1">
      <alignment horizontal="left"/>
      <protection/>
    </xf>
    <xf numFmtId="164" fontId="25" fillId="3" borderId="0" xfId="27" applyNumberFormat="1" applyFont="1" applyFill="1" applyAlignment="1">
      <alignment horizontal="left" indent="1"/>
      <protection/>
    </xf>
    <xf numFmtId="164" fontId="25" fillId="3" borderId="0" xfId="27" applyNumberFormat="1" applyFont="1" applyFill="1" applyAlignment="1">
      <alignment horizontal="left" indent="3"/>
      <protection/>
    </xf>
    <xf numFmtId="164" fontId="26" fillId="3" borderId="7" xfId="27" applyNumberFormat="1" applyFont="1" applyFill="1" applyBorder="1" applyAlignment="1">
      <alignment horizontal="left"/>
      <protection/>
    </xf>
    <xf numFmtId="164" fontId="26" fillId="3" borderId="7" xfId="27" applyNumberFormat="1" applyFont="1" applyFill="1" applyBorder="1" applyAlignment="1">
      <alignment horizontal="left" indent="3"/>
      <protection/>
    </xf>
    <xf numFmtId="166" fontId="26" fillId="3" borderId="0" xfId="27" applyNumberFormat="1" applyFont="1" applyFill="1" applyAlignment="1">
      <alignment horizontal="left"/>
      <protection/>
    </xf>
    <xf numFmtId="166" fontId="26" fillId="3" borderId="0" xfId="27" applyNumberFormat="1" applyFont="1" applyFill="1" applyAlignment="1">
      <alignment horizontal="left" indent="3"/>
      <protection/>
    </xf>
    <xf numFmtId="164" fontId="26" fillId="3" borderId="0" xfId="27" applyNumberFormat="1" applyFont="1" applyFill="1" applyAlignment="1">
      <alignment horizontal="left" indent="3"/>
      <protection/>
    </xf>
    <xf numFmtId="164" fontId="25" fillId="3" borderId="2" xfId="27" applyNumberFormat="1" applyFont="1" applyFill="1" applyBorder="1" applyAlignment="1">
      <alignment horizontal="left" indent="3"/>
      <protection/>
    </xf>
    <xf numFmtId="164" fontId="25" fillId="3" borderId="0" xfId="27" applyNumberFormat="1" applyFont="1" applyFill="1" applyAlignment="1">
      <alignment horizontal="left" indent="2"/>
      <protection/>
    </xf>
    <xf numFmtId="167" fontId="25" fillId="3" borderId="0" xfId="27" applyNumberFormat="1" applyFont="1" applyFill="1" applyAlignment="1">
      <alignment horizontal="left" indent="1"/>
      <protection/>
    </xf>
    <xf numFmtId="167" fontId="25" fillId="3" borderId="0" xfId="27" applyNumberFormat="1" applyFont="1" applyFill="1" applyAlignment="1">
      <alignment horizontal="left" indent="3"/>
      <protection/>
    </xf>
    <xf numFmtId="167" fontId="25" fillId="3" borderId="2" xfId="27" applyNumberFormat="1" applyFont="1" applyFill="1" applyBorder="1" applyAlignment="1">
      <alignment horizontal="left" indent="1"/>
      <protection/>
    </xf>
    <xf numFmtId="167" fontId="25" fillId="3" borderId="2" xfId="27" applyNumberFormat="1" applyFont="1" applyFill="1" applyBorder="1" applyAlignment="1">
      <alignment horizontal="left" indent="3"/>
      <protection/>
    </xf>
    <xf numFmtId="167" fontId="26" fillId="3" borderId="0" xfId="27" applyNumberFormat="1" applyFont="1" applyFill="1" applyAlignment="1">
      <alignment horizontal="left"/>
      <protection/>
    </xf>
    <xf numFmtId="167" fontId="26" fillId="3" borderId="0" xfId="27" applyNumberFormat="1" applyFont="1" applyFill="1" applyAlignment="1">
      <alignment horizontal="left" indent="3"/>
      <protection/>
    </xf>
    <xf numFmtId="169" fontId="31" fillId="3" borderId="0" xfId="21" applyNumberFormat="1" applyFont="1" applyFill="1">
      <alignment/>
      <protection/>
    </xf>
    <xf numFmtId="169" fontId="26" fillId="3" borderId="0" xfId="27" applyNumberFormat="1" applyFont="1" applyFill="1" applyAlignment="1">
      <alignment horizontal="left" indent="3"/>
      <protection/>
    </xf>
    <xf numFmtId="167" fontId="20" fillId="3" borderId="0" xfId="21" applyNumberFormat="1" applyFont="1" applyFill="1">
      <alignment/>
      <protection/>
    </xf>
    <xf numFmtId="44" fontId="26" fillId="3" borderId="0" xfId="27" applyNumberFormat="1" applyFont="1" applyFill="1" applyAlignment="1">
      <alignment horizontal="left"/>
      <protection/>
    </xf>
    <xf numFmtId="44" fontId="31" fillId="3" borderId="0" xfId="21" applyFont="1" applyFill="1">
      <alignment/>
      <protection/>
    </xf>
    <xf numFmtId="44" fontId="25" fillId="3" borderId="0" xfId="27" applyNumberFormat="1" applyFont="1" applyFill="1" applyAlignment="1">
      <alignment horizontal="left"/>
      <protection/>
    </xf>
    <xf numFmtId="179" fontId="25" fillId="3" borderId="0" xfId="27" applyNumberFormat="1" applyFont="1" applyFill="1" applyAlignment="1">
      <alignment horizontal="left"/>
      <protection/>
    </xf>
    <xf numFmtId="179" fontId="20" fillId="3" borderId="0" xfId="21" applyNumberFormat="1" applyFont="1" applyFill="1">
      <alignment/>
      <protection/>
    </xf>
    <xf numFmtId="164" fontId="20" fillId="3" borderId="0" xfId="21" applyNumberFormat="1" applyFont="1" applyFill="1">
      <alignment/>
      <protection/>
    </xf>
    <xf numFmtId="164" fontId="20" fillId="3" borderId="2" xfId="21" applyNumberFormat="1" applyFont="1" applyFill="1" applyBorder="1">
      <alignment/>
      <protection/>
    </xf>
    <xf numFmtId="167" fontId="25" fillId="3" borderId="0" xfId="27" applyNumberFormat="1" applyFont="1" applyFill="1" applyAlignment="1">
      <alignment horizontal="left"/>
      <protection/>
    </xf>
    <xf numFmtId="170" fontId="20" fillId="3" borderId="0" xfId="27" applyNumberFormat="1" applyFont="1" applyFill="1">
      <alignment/>
      <protection/>
    </xf>
    <xf numFmtId="170" fontId="25" fillId="3" borderId="0" xfId="27" applyNumberFormat="1" applyFont="1" applyFill="1" applyAlignment="1">
      <alignment horizontal="left" indent="3"/>
      <protection/>
    </xf>
    <xf numFmtId="0" fontId="25" fillId="3" borderId="0" xfId="27" applyFont="1" applyFill="1">
      <alignment/>
      <protection/>
    </xf>
    <xf numFmtId="164" fontId="25" fillId="3" borderId="10" xfId="0" applyNumberFormat="1" applyFont="1" applyFill="1" applyBorder="1"/>
    <xf numFmtId="164" fontId="20" fillId="3" borderId="11" xfId="25" applyNumberFormat="1" applyFont="1" applyFill="1" applyBorder="1" applyAlignment="1">
      <alignment horizontal="left" indent="1"/>
      <protection/>
    </xf>
    <xf numFmtId="164" fontId="7" fillId="3" borderId="12" xfId="0" applyNumberFormat="1" applyFont="1" applyFill="1" applyBorder="1"/>
    <xf numFmtId="164" fontId="0" fillId="3" borderId="0" xfId="0" applyNumberFormat="1" applyFill="1"/>
    <xf numFmtId="0" fontId="0" fillId="3" borderId="0" xfId="0" applyFill="1"/>
    <xf numFmtId="185" fontId="0" fillId="3" borderId="0" xfId="0" applyNumberFormat="1" applyFill="1" applyAlignment="1">
      <alignment horizontal="left" indent="1"/>
    </xf>
    <xf numFmtId="185" fontId="0" fillId="3" borderId="0" xfId="0" applyNumberFormat="1" applyFill="1"/>
    <xf numFmtId="164" fontId="0" fillId="3" borderId="0" xfId="0" applyNumberFormat="1" applyFill="1" applyAlignment="1">
      <alignment horizontal="left" indent="1"/>
    </xf>
    <xf numFmtId="166" fontId="0" fillId="3" borderId="0" xfId="0" applyNumberFormat="1" applyFill="1" applyAlignment="1">
      <alignment horizontal="left" indent="1"/>
    </xf>
    <xf numFmtId="166" fontId="0" fillId="3" borderId="0" xfId="0" applyNumberFormat="1" applyFill="1"/>
    <xf numFmtId="166" fontId="0" fillId="3" borderId="13" xfId="0" applyNumberFormat="1" applyFill="1" applyBorder="1" applyAlignment="1">
      <alignment horizontal="left" indent="1"/>
    </xf>
    <xf numFmtId="166" fontId="0" fillId="3" borderId="13" xfId="0" applyNumberFormat="1" applyFill="1" applyBorder="1"/>
    <xf numFmtId="0" fontId="33" fillId="5" borderId="0" xfId="0" applyFont="1" applyFill="1"/>
    <xf numFmtId="44" fontId="26" fillId="3" borderId="0" xfId="27" applyNumberFormat="1" applyFont="1" applyFill="1">
      <alignment/>
      <protection/>
    </xf>
    <xf numFmtId="179" fontId="25" fillId="3" borderId="0" xfId="27" applyNumberFormat="1" applyFont="1" applyFill="1">
      <alignment/>
      <protection/>
    </xf>
    <xf numFmtId="186" fontId="0" fillId="3" borderId="0" xfId="0" applyNumberFormat="1" applyFill="1"/>
    <xf numFmtId="186" fontId="9" fillId="3" borderId="0" xfId="0" applyNumberFormat="1" applyFont="1" applyFill="1"/>
    <xf numFmtId="164" fontId="25" fillId="3" borderId="12" xfId="0" applyNumberFormat="1" applyFont="1" applyFill="1" applyBorder="1"/>
    <xf numFmtId="164" fontId="20" fillId="3" borderId="12" xfId="25" applyNumberFormat="1" applyFont="1" applyFill="1" applyBorder="1">
      <alignment/>
      <protection/>
    </xf>
    <xf numFmtId="164" fontId="25" fillId="3" borderId="14" xfId="0" applyNumberFormat="1" applyFont="1" applyFill="1" applyBorder="1"/>
    <xf numFmtId="165" fontId="31" fillId="3" borderId="15" xfId="25" applyNumberFormat="1" applyFont="1" applyFill="1" applyBorder="1" applyAlignment="1">
      <alignment horizontal="left"/>
      <protection/>
    </xf>
    <xf numFmtId="165" fontId="20" fillId="3" borderId="11" xfId="25" applyNumberFormat="1" applyFont="1" applyFill="1" applyBorder="1" applyAlignment="1">
      <alignment horizontal="left"/>
      <protection/>
    </xf>
    <xf numFmtId="17" fontId="25" fillId="3" borderId="0" xfId="0" applyNumberFormat="1" applyFont="1" applyFill="1"/>
    <xf numFmtId="185" fontId="20" fillId="3" borderId="11" xfId="25" applyNumberFormat="1" applyFont="1" applyFill="1" applyBorder="1" applyAlignment="1">
      <alignment horizontal="left" indent="1"/>
      <protection/>
    </xf>
    <xf numFmtId="185" fontId="25" fillId="3" borderId="0" xfId="0" applyNumberFormat="1" applyFont="1" applyFill="1"/>
    <xf numFmtId="185" fontId="25" fillId="3" borderId="10" xfId="0" applyNumberFormat="1" applyFont="1" applyFill="1" applyBorder="1"/>
    <xf numFmtId="185" fontId="20" fillId="3" borderId="11" xfId="25" applyNumberFormat="1" applyFont="1" applyFill="1" applyBorder="1" applyAlignment="1">
      <alignment horizontal="left" indent="2"/>
      <protection/>
    </xf>
    <xf numFmtId="186" fontId="20" fillId="3" borderId="11" xfId="25" applyNumberFormat="1" applyFont="1" applyFill="1" applyBorder="1" applyAlignment="1">
      <alignment horizontal="left" indent="1"/>
      <protection/>
    </xf>
    <xf numFmtId="186" fontId="20" fillId="3" borderId="11" xfId="25" applyNumberFormat="1" applyFont="1" applyFill="1" applyBorder="1" applyAlignment="1">
      <alignment horizontal="left" indent="2"/>
      <protection/>
    </xf>
    <xf numFmtId="185" fontId="0" fillId="3" borderId="0" xfId="0" applyNumberFormat="1" applyFont="1" applyFill="1" applyAlignment="1">
      <alignment horizontal="left" indent="1"/>
    </xf>
    <xf numFmtId="185" fontId="25" fillId="4" borderId="0" xfId="0" applyNumberFormat="1" applyFont="1" applyFill="1"/>
    <xf numFmtId="186" fontId="0" fillId="3" borderId="0" xfId="0" applyNumberFormat="1" applyFont="1" applyFill="1" applyAlignment="1">
      <alignment horizontal="left" indent="1"/>
    </xf>
    <xf numFmtId="185" fontId="13" fillId="3" borderId="0" xfId="0" applyNumberFormat="1" applyFont="1" applyFill="1" applyAlignment="1">
      <alignment horizontal="left"/>
    </xf>
    <xf numFmtId="185" fontId="26" fillId="4" borderId="0" xfId="0" applyNumberFormat="1" applyFont="1" applyFill="1"/>
    <xf numFmtId="172" fontId="0" fillId="3" borderId="0" xfId="0" applyNumberFormat="1" applyFont="1" applyFill="1" applyBorder="1"/>
    <xf numFmtId="0" fontId="0" fillId="3" borderId="0" xfId="0" applyFont="1" applyFill="1" applyBorder="1"/>
    <xf numFmtId="1" fontId="7" fillId="3" borderId="0" xfId="0" applyNumberFormat="1" applyFont="1" applyFill="1" applyBorder="1" applyAlignment="1">
      <alignment horizontal="center"/>
    </xf>
    <xf numFmtId="17" fontId="2" fillId="3" borderId="0" xfId="0" applyNumberFormat="1" applyFont="1" applyFill="1" applyBorder="1" applyAlignment="1">
      <alignment horizontal="center"/>
    </xf>
    <xf numFmtId="17" fontId="8" fillId="3" borderId="0" xfId="0" applyNumberFormat="1" applyFont="1" applyFill="1" applyBorder="1" applyAlignment="1">
      <alignment horizontal="center"/>
    </xf>
    <xf numFmtId="0" fontId="3" fillId="3" borderId="0" xfId="0" applyFont="1" applyFill="1" applyBorder="1" applyAlignment="1">
      <alignment horizontal="center"/>
    </xf>
    <xf numFmtId="0" fontId="6" fillId="3" borderId="0" xfId="0" applyFont="1" applyFill="1" applyBorder="1" applyAlignment="1">
      <alignment horizontal="center"/>
    </xf>
    <xf numFmtId="167" fontId="22" fillId="5" borderId="0" xfId="0" applyNumberFormat="1" applyFont="1" applyFill="1" applyBorder="1"/>
    <xf numFmtId="167" fontId="0" fillId="4" borderId="0" xfId="0" applyNumberFormat="1" applyFont="1" applyFill="1" applyBorder="1" applyAlignment="1">
      <alignment horizontal="right"/>
    </xf>
    <xf numFmtId="167" fontId="0" fillId="3" borderId="0" xfId="0" applyNumberFormat="1" applyFont="1" applyFill="1" applyBorder="1" applyAlignment="1">
      <alignment horizontal="right"/>
    </xf>
    <xf numFmtId="167" fontId="7" fillId="4" borderId="0" xfId="0" applyNumberFormat="1" applyFont="1" applyFill="1" applyBorder="1" applyAlignment="1">
      <alignment horizontal="right"/>
    </xf>
    <xf numFmtId="167" fontId="0" fillId="4" borderId="0" xfId="0" applyNumberFormat="1" applyFont="1" applyFill="1" applyBorder="1"/>
    <xf numFmtId="167" fontId="0" fillId="3" borderId="0" xfId="0" applyNumberFormat="1" applyFont="1" applyFill="1" applyBorder="1"/>
    <xf numFmtId="167" fontId="7" fillId="4" borderId="0" xfId="0" applyNumberFormat="1" applyFont="1" applyFill="1" applyBorder="1"/>
    <xf numFmtId="167" fontId="7" fillId="3" borderId="0" xfId="0" applyNumberFormat="1" applyFont="1" applyFill="1" applyBorder="1"/>
    <xf numFmtId="167" fontId="23" fillId="4" borderId="0" xfId="0" applyNumberFormat="1" applyFont="1" applyFill="1" applyBorder="1" applyAlignment="1">
      <alignment horizontal="right"/>
    </xf>
    <xf numFmtId="167" fontId="23" fillId="3" borderId="0" xfId="0" applyNumberFormat="1" applyFont="1" applyFill="1" applyBorder="1" applyAlignment="1">
      <alignment horizontal="right"/>
    </xf>
    <xf numFmtId="179" fontId="26" fillId="4" borderId="0" xfId="0" applyNumberFormat="1" applyFont="1" applyFill="1" applyBorder="1"/>
    <xf numFmtId="179" fontId="26" fillId="3" borderId="0" xfId="0" applyNumberFormat="1" applyFont="1" applyFill="1" applyBorder="1"/>
    <xf numFmtId="169" fontId="23" fillId="4" borderId="0" xfId="0" applyNumberFormat="1" applyFont="1" applyFill="1" applyBorder="1"/>
    <xf numFmtId="169" fontId="23" fillId="3" borderId="0" xfId="0" applyNumberFormat="1" applyFont="1" applyFill="1" applyBorder="1"/>
    <xf numFmtId="169" fontId="29" fillId="3" borderId="0" xfId="0" applyNumberFormat="1" applyFont="1" applyFill="1" applyBorder="1"/>
    <xf numFmtId="167" fontId="19" fillId="4" borderId="0" xfId="16" applyNumberFormat="1" applyFont="1" applyFill="1" applyBorder="1" applyAlignment="1">
      <alignment horizontal="right" indent="1"/>
      <protection/>
    </xf>
    <xf numFmtId="167" fontId="19" fillId="4" borderId="0" xfId="16" applyNumberFormat="1" applyFont="1" applyFill="1" applyBorder="1">
      <alignment/>
      <protection/>
    </xf>
    <xf numFmtId="167" fontId="19" fillId="3" borderId="0" xfId="16" applyNumberFormat="1" applyFont="1" applyFill="1" applyBorder="1">
      <alignment/>
      <protection/>
    </xf>
    <xf numFmtId="179" fontId="7" fillId="4" borderId="0" xfId="0" applyNumberFormat="1" applyFont="1" applyFill="1" applyBorder="1"/>
    <xf numFmtId="179" fontId="7" fillId="3" borderId="0" xfId="0" applyNumberFormat="1" applyFont="1" applyFill="1" applyBorder="1"/>
    <xf numFmtId="179" fontId="23" fillId="4" borderId="0" xfId="0" applyNumberFormat="1" applyFont="1" applyFill="1" applyBorder="1"/>
    <xf numFmtId="179" fontId="23" fillId="3" borderId="0" xfId="0" applyNumberFormat="1" applyFont="1" applyFill="1" applyBorder="1"/>
    <xf numFmtId="185" fontId="7" fillId="4" borderId="0" xfId="0" applyNumberFormat="1" applyFont="1" applyFill="1" applyBorder="1" applyAlignment="1">
      <alignment horizontal="right"/>
    </xf>
    <xf numFmtId="185" fontId="7" fillId="3" borderId="0" xfId="0" applyNumberFormat="1" applyFont="1" applyFill="1" applyBorder="1" applyAlignment="1">
      <alignment horizontal="right"/>
    </xf>
    <xf numFmtId="170" fontId="0" fillId="4" borderId="0" xfId="0" applyNumberFormat="1" applyFont="1" applyFill="1" applyBorder="1" applyAlignment="1">
      <alignment horizontal="right"/>
    </xf>
    <xf numFmtId="185" fontId="0" fillId="4" borderId="0" xfId="0" applyNumberFormat="1" applyFont="1" applyFill="1" applyBorder="1" applyAlignment="1">
      <alignment horizontal="right"/>
    </xf>
    <xf numFmtId="185" fontId="0" fillId="3" borderId="0" xfId="0" applyNumberFormat="1" applyFont="1" applyFill="1" applyBorder="1" applyAlignment="1">
      <alignment horizontal="right"/>
    </xf>
    <xf numFmtId="166" fontId="0" fillId="3" borderId="0" xfId="0" applyNumberFormat="1" applyFont="1" applyFill="1" applyBorder="1"/>
    <xf numFmtId="185" fontId="25" fillId="3" borderId="0" xfId="0" applyNumberFormat="1" applyFont="1" applyFill="1" applyBorder="1"/>
    <xf numFmtId="0" fontId="0" fillId="3" borderId="0" xfId="0" applyFill="1" applyBorder="1"/>
    <xf numFmtId="0" fontId="33" fillId="5" borderId="0" xfId="0" applyFont="1" applyFill="1" applyBorder="1"/>
    <xf numFmtId="164" fontId="20" fillId="3" borderId="0" xfId="0" applyNumberFormat="1" applyFont="1" applyFill="1" applyBorder="1"/>
    <xf numFmtId="179" fontId="20" fillId="3" borderId="0" xfId="0" applyNumberFormat="1" applyFont="1" applyFill="1" applyBorder="1"/>
    <xf numFmtId="173" fontId="20" fillId="3" borderId="0" xfId="16" applyNumberFormat="1" applyFont="1" applyFill="1" applyBorder="1">
      <alignment/>
      <protection/>
    </xf>
    <xf numFmtId="169" fontId="20" fillId="3" borderId="0" xfId="0" applyNumberFormat="1" applyFont="1" applyFill="1" applyBorder="1"/>
    <xf numFmtId="17" fontId="35" fillId="3" borderId="0" xfId="27" applyNumberFormat="1" applyFont="1" applyFill="1" applyBorder="1" applyAlignment="1">
      <alignment horizontal="center"/>
      <protection/>
    </xf>
    <xf numFmtId="164" fontId="31" fillId="3" borderId="0" xfId="27" applyNumberFormat="1" applyFont="1" applyFill="1" applyBorder="1" applyAlignment="1">
      <alignment horizontal="center"/>
      <protection/>
    </xf>
    <xf numFmtId="164" fontId="32" fillId="5" borderId="0" xfId="27" applyNumberFormat="1" applyFont="1" applyFill="1" applyBorder="1">
      <alignment/>
      <protection/>
    </xf>
    <xf numFmtId="166" fontId="26" fillId="4" borderId="0" xfId="27" applyNumberFormat="1" applyFont="1" applyFill="1" applyBorder="1">
      <alignment/>
      <protection/>
    </xf>
    <xf numFmtId="166" fontId="26" fillId="3" borderId="0" xfId="27" applyNumberFormat="1" applyFont="1" applyFill="1" applyBorder="1">
      <alignment/>
      <protection/>
    </xf>
    <xf numFmtId="167" fontId="25" fillId="4" borderId="0" xfId="27" applyNumberFormat="1" applyFont="1" applyFill="1" applyBorder="1">
      <alignment/>
      <protection/>
    </xf>
    <xf numFmtId="167" fontId="25" fillId="3" borderId="0" xfId="27" applyNumberFormat="1" applyFont="1" applyFill="1" applyBorder="1">
      <alignment/>
      <protection/>
    </xf>
    <xf numFmtId="167" fontId="26" fillId="4" borderId="0" xfId="27" applyNumberFormat="1" applyFont="1" applyFill="1" applyBorder="1">
      <alignment/>
      <protection/>
    </xf>
    <xf numFmtId="167" fontId="26" fillId="3" borderId="0" xfId="27" applyNumberFormat="1" applyFont="1" applyFill="1" applyBorder="1">
      <alignment/>
      <protection/>
    </xf>
    <xf numFmtId="169" fontId="26" fillId="4" borderId="0" xfId="27" applyNumberFormat="1" applyFont="1" applyFill="1" applyBorder="1">
      <alignment/>
      <protection/>
    </xf>
    <xf numFmtId="169" fontId="26" fillId="3" borderId="0" xfId="27" applyNumberFormat="1" applyFont="1" applyFill="1" applyBorder="1">
      <alignment/>
      <protection/>
    </xf>
    <xf numFmtId="167" fontId="33" fillId="5" borderId="0" xfId="27" applyNumberFormat="1" applyFont="1" applyFill="1" applyBorder="1">
      <alignment/>
      <protection/>
    </xf>
    <xf numFmtId="167" fontId="26" fillId="4" borderId="0" xfId="27" applyNumberFormat="1" applyFont="1" applyFill="1" applyBorder="1" applyAlignment="1">
      <alignment horizontal="center"/>
      <protection/>
    </xf>
    <xf numFmtId="167" fontId="26" fillId="3" borderId="0" xfId="27" applyNumberFormat="1" applyFont="1" applyFill="1" applyBorder="1" applyAlignment="1">
      <alignment horizontal="center"/>
      <protection/>
    </xf>
    <xf numFmtId="167" fontId="25" fillId="4" borderId="0" xfId="27" applyNumberFormat="1" applyFont="1" applyFill="1" applyBorder="1" applyAlignment="1">
      <alignment horizontal="center"/>
      <protection/>
    </xf>
    <xf numFmtId="167" fontId="25" fillId="3" borderId="0" xfId="27" applyNumberFormat="1" applyFont="1" applyFill="1" applyBorder="1" applyAlignment="1">
      <alignment horizontal="center"/>
      <protection/>
    </xf>
    <xf numFmtId="179" fontId="25" fillId="4" borderId="0" xfId="27" applyNumberFormat="1" applyFont="1" applyFill="1" applyBorder="1" applyAlignment="1">
      <alignment horizontal="right"/>
      <protection/>
    </xf>
    <xf numFmtId="179" fontId="25" fillId="3" borderId="0" xfId="27" applyNumberFormat="1" applyFont="1" applyFill="1" applyBorder="1" applyAlignment="1">
      <alignment horizontal="right"/>
      <protection/>
    </xf>
    <xf numFmtId="167" fontId="25" fillId="4" borderId="0" xfId="27" applyNumberFormat="1" applyFont="1" applyFill="1" applyBorder="1" applyAlignment="1">
      <alignment horizontal="right"/>
      <protection/>
    </xf>
    <xf numFmtId="167" fontId="25" fillId="3" borderId="0" xfId="27" applyNumberFormat="1" applyFont="1" applyFill="1" applyBorder="1" applyAlignment="1">
      <alignment horizontal="right"/>
      <protection/>
    </xf>
    <xf numFmtId="170" fontId="25" fillId="4" borderId="0" xfId="27" applyNumberFormat="1" applyFont="1" applyFill="1" applyBorder="1" applyAlignment="1">
      <alignment horizontal="right"/>
      <protection/>
    </xf>
    <xf numFmtId="170" fontId="25" fillId="3" borderId="0" xfId="27" applyNumberFormat="1" applyFont="1" applyFill="1" applyBorder="1" applyAlignment="1">
      <alignment horizontal="right"/>
      <protection/>
    </xf>
    <xf numFmtId="170" fontId="25" fillId="3" borderId="0" xfId="27" applyNumberFormat="1" applyFont="1" applyFill="1" applyBorder="1">
      <alignment/>
      <protection/>
    </xf>
    <xf numFmtId="44" fontId="26" fillId="3" borderId="0" xfId="0" applyNumberFormat="1" applyFont="1" applyFill="1"/>
    <xf numFmtId="44" fontId="26" fillId="4" borderId="0" xfId="0" applyNumberFormat="1" applyFont="1" applyFill="1"/>
    <xf numFmtId="44" fontId="26" fillId="4" borderId="0" xfId="27" applyNumberFormat="1" applyFont="1" applyFill="1" applyBorder="1" applyAlignment="1">
      <alignment horizontal="center"/>
      <protection/>
    </xf>
    <xf numFmtId="44" fontId="26" fillId="3" borderId="0" xfId="27" applyNumberFormat="1" applyFont="1" applyFill="1" applyBorder="1" applyAlignment="1">
      <alignment horizontal="center"/>
      <protection/>
    </xf>
    <xf numFmtId="44" fontId="26" fillId="3" borderId="0" xfId="27" applyNumberFormat="1" applyFont="1" applyFill="1" applyAlignment="1">
      <alignment horizontal="center"/>
      <protection/>
    </xf>
    <xf numFmtId="44" fontId="26" fillId="4" borderId="0" xfId="27" applyNumberFormat="1" applyFont="1" applyFill="1">
      <alignment/>
      <protection/>
    </xf>
    <xf numFmtId="44" fontId="26" fillId="4" borderId="0" xfId="27" applyNumberFormat="1" applyFont="1" applyFill="1" applyBorder="1" applyAlignment="1">
      <alignment horizontal="right"/>
      <protection/>
    </xf>
    <xf numFmtId="44" fontId="26" fillId="3" borderId="0" xfId="27" applyNumberFormat="1" applyFont="1" applyFill="1" applyBorder="1" applyAlignment="1">
      <alignment horizontal="right"/>
      <protection/>
    </xf>
    <xf numFmtId="44" fontId="26" fillId="3" borderId="0" xfId="27" applyNumberFormat="1" applyFont="1" applyFill="1" applyAlignment="1">
      <alignment horizontal="right"/>
      <protection/>
    </xf>
    <xf numFmtId="44" fontId="26" fillId="4" borderId="0" xfId="27" applyNumberFormat="1" applyFont="1" applyFill="1" applyAlignment="1">
      <alignment horizontal="right"/>
      <protection/>
    </xf>
    <xf numFmtId="164" fontId="25" fillId="3" borderId="2" xfId="0" applyNumberFormat="1" applyFont="1" applyFill="1" applyBorder="1" applyAlignment="1">
      <alignment horizontal="left" indent="4"/>
    </xf>
    <xf numFmtId="164" fontId="25" fillId="3" borderId="2" xfId="0" applyNumberFormat="1" applyFont="1" applyFill="1" applyBorder="1" applyAlignment="1">
      <alignment horizontal="left" indent="3"/>
    </xf>
    <xf numFmtId="164" fontId="7" fillId="3" borderId="11" xfId="0" applyNumberFormat="1" applyFont="1" applyFill="1" applyBorder="1"/>
    <xf numFmtId="164" fontId="0" fillId="3" borderId="11" xfId="0" applyNumberFormat="1" applyFont="1" applyFill="1" applyBorder="1"/>
    <xf numFmtId="164" fontId="0" fillId="3" borderId="11" xfId="0" applyNumberFormat="1" applyFill="1" applyBorder="1"/>
    <xf numFmtId="164" fontId="20" fillId="3" borderId="16" xfId="25" applyNumberFormat="1" applyFont="1" applyFill="1" applyBorder="1" applyAlignment="1">
      <alignment horizontal="left" indent="1"/>
      <protection/>
    </xf>
    <xf numFmtId="164" fontId="25" fillId="3" borderId="16" xfId="0" applyNumberFormat="1" applyFont="1" applyFill="1" applyBorder="1"/>
    <xf numFmtId="164" fontId="20" fillId="3" borderId="16" xfId="25" applyNumberFormat="1" applyFont="1" applyFill="1" applyBorder="1">
      <alignment/>
      <protection/>
    </xf>
    <xf numFmtId="185" fontId="0" fillId="3" borderId="11" xfId="0" applyNumberFormat="1" applyFont="1" applyFill="1" applyBorder="1"/>
    <xf numFmtId="186" fontId="0" fillId="3" borderId="11" xfId="0" applyNumberFormat="1" applyFont="1" applyFill="1" applyBorder="1"/>
    <xf numFmtId="167" fontId="25" fillId="4" borderId="2" xfId="0" applyNumberFormat="1" applyFont="1" applyFill="1" applyBorder="1"/>
    <xf numFmtId="164" fontId="20" fillId="3" borderId="2" xfId="25" applyNumberFormat="1" applyFont="1" applyFill="1" applyBorder="1">
      <alignment/>
      <protection/>
    </xf>
    <xf numFmtId="164" fontId="25" fillId="3" borderId="4" xfId="0" applyNumberFormat="1" applyFont="1" applyFill="1" applyBorder="1"/>
    <xf numFmtId="164" fontId="25" fillId="3" borderId="1" xfId="0" applyNumberFormat="1" applyFont="1" applyFill="1" applyBorder="1"/>
    <xf numFmtId="164" fontId="20" fillId="3" borderId="5" xfId="25" applyNumberFormat="1" applyFont="1" applyFill="1" applyBorder="1" applyAlignment="1">
      <alignment horizontal="left" indent="1"/>
      <protection/>
    </xf>
    <xf numFmtId="164" fontId="20" fillId="3" borderId="3" xfId="25" applyNumberFormat="1" applyFont="1" applyFill="1" applyBorder="1" applyAlignment="1">
      <alignment horizontal="left" indent="1"/>
      <protection/>
    </xf>
    <xf numFmtId="164" fontId="31" fillId="3" borderId="17" xfId="25" applyNumberFormat="1" applyFont="1" applyFill="1" applyBorder="1">
      <alignment/>
      <protection/>
    </xf>
    <xf numFmtId="174" fontId="20" fillId="3" borderId="18" xfId="25" applyNumberFormat="1" applyFont="1" applyFill="1" applyBorder="1" applyAlignment="1">
      <alignment horizontal="left" indent="1"/>
      <protection/>
    </xf>
    <xf numFmtId="175" fontId="20" fillId="3" borderId="18" xfId="25" applyNumberFormat="1" applyFont="1" applyFill="1" applyBorder="1" applyAlignment="1">
      <alignment horizontal="left" indent="1"/>
      <protection/>
    </xf>
    <xf numFmtId="176" fontId="20" fillId="3" borderId="18" xfId="25" applyNumberFormat="1" applyFont="1" applyFill="1" applyBorder="1" applyAlignment="1">
      <alignment horizontal="left" indent="1"/>
      <protection/>
    </xf>
    <xf numFmtId="164" fontId="31" fillId="3" borderId="8" xfId="25" applyNumberFormat="1" applyFont="1" applyFill="1" applyBorder="1">
      <alignment/>
      <protection/>
    </xf>
    <xf numFmtId="167" fontId="26" fillId="3" borderId="7" xfId="27" applyNumberFormat="1" applyFont="1" applyFill="1" applyBorder="1" applyAlignment="1">
      <alignment horizontal="left"/>
      <protection/>
    </xf>
    <xf numFmtId="167" fontId="26" fillId="3" borderId="7" xfId="27" applyNumberFormat="1" applyFont="1" applyFill="1" applyBorder="1" applyAlignment="1">
      <alignment horizontal="left" indent="3"/>
      <protection/>
    </xf>
    <xf numFmtId="167" fontId="26" fillId="4" borderId="7" xfId="27" applyNumberFormat="1" applyFont="1" applyFill="1" applyBorder="1">
      <alignment/>
      <protection/>
    </xf>
    <xf numFmtId="167" fontId="26" fillId="3" borderId="7" xfId="27" applyNumberFormat="1" applyFont="1" applyFill="1" applyBorder="1">
      <alignment/>
      <protection/>
    </xf>
    <xf numFmtId="164" fontId="31" fillId="3" borderId="7" xfId="21" applyNumberFormat="1" applyFont="1" applyFill="1" applyBorder="1">
      <alignment/>
      <protection/>
    </xf>
    <xf numFmtId="164" fontId="7" fillId="3" borderId="0" xfId="0" applyNumberFormat="1" applyFont="1" applyFill="1" applyAlignment="1">
      <alignment horizontal="left" indent="1"/>
    </xf>
    <xf numFmtId="164" fontId="7" fillId="3" borderId="0" xfId="0" applyNumberFormat="1" applyFont="1" applyFill="1" applyBorder="1" applyAlignment="1">
      <alignment horizontal="left"/>
    </xf>
    <xf numFmtId="167" fontId="7" fillId="3" borderId="0" xfId="0" applyNumberFormat="1" applyFont="1" applyFill="1" applyBorder="1" applyAlignment="1">
      <alignment horizontal="left"/>
    </xf>
    <xf numFmtId="167" fontId="26" fillId="3" borderId="0" xfId="0" applyNumberFormat="1" applyFont="1" applyFill="1" applyBorder="1"/>
    <xf numFmtId="167" fontId="26" fillId="4" borderId="0" xfId="0" applyNumberFormat="1" applyFont="1" applyFill="1" applyBorder="1"/>
    <xf numFmtId="167" fontId="0" fillId="3" borderId="0" xfId="0" applyNumberFormat="1" applyFont="1" applyFill="1" applyBorder="1" applyAlignment="1">
      <alignment horizontal="left" indent="1"/>
    </xf>
    <xf numFmtId="167" fontId="25" fillId="4" borderId="0" xfId="0" applyNumberFormat="1" applyFont="1" applyFill="1" applyBorder="1"/>
    <xf numFmtId="167" fontId="28" fillId="4" borderId="0" xfId="0" applyNumberFormat="1" applyFont="1" applyFill="1" applyBorder="1" applyAlignment="1">
      <alignment horizontal="right"/>
    </xf>
    <xf numFmtId="167" fontId="28" fillId="4" borderId="0" xfId="0" applyNumberFormat="1" applyFont="1" applyFill="1" applyBorder="1"/>
    <xf numFmtId="167" fontId="28" fillId="3" borderId="0" xfId="0" applyNumberFormat="1" applyFont="1" applyFill="1" applyBorder="1"/>
    <xf numFmtId="167" fontId="27" fillId="4" borderId="0" xfId="0" applyNumberFormat="1" applyFont="1" applyFill="1" applyBorder="1" applyAlignment="1">
      <alignment horizontal="right"/>
    </xf>
    <xf numFmtId="167" fontId="27" fillId="4" borderId="0" xfId="0" applyNumberFormat="1" applyFont="1" applyFill="1" applyBorder="1"/>
    <xf numFmtId="167" fontId="27" fillId="3" borderId="0" xfId="0" applyNumberFormat="1" applyFont="1" applyFill="1" applyBorder="1"/>
    <xf numFmtId="164" fontId="25" fillId="3" borderId="0" xfId="27" applyNumberFormat="1" applyFont="1" applyFill="1" applyBorder="1" applyAlignment="1">
      <alignment horizontal="left" indent="1"/>
      <protection/>
    </xf>
    <xf numFmtId="164" fontId="25" fillId="3" borderId="0" xfId="27" applyNumberFormat="1" applyFont="1" applyFill="1" applyBorder="1" applyAlignment="1">
      <alignment horizontal="left" indent="3"/>
      <protection/>
    </xf>
    <xf numFmtId="164" fontId="3" fillId="3" borderId="6" xfId="25" applyNumberFormat="1" applyFont="1" applyFill="1" applyBorder="1" applyAlignment="1">
      <alignment horizontal="left"/>
      <protection/>
    </xf>
    <xf numFmtId="164" fontId="2" fillId="3" borderId="4" xfId="25" applyNumberFormat="1" applyFont="1" applyFill="1" applyBorder="1" applyAlignment="1">
      <alignment horizontal="left" indent="1"/>
      <protection/>
    </xf>
    <xf numFmtId="185" fontId="20" fillId="3" borderId="0" xfId="25" applyNumberFormat="1" applyFont="1" applyFill="1" applyBorder="1">
      <alignment/>
      <protection/>
    </xf>
    <xf numFmtId="164" fontId="20" fillId="3" borderId="0" xfId="25" applyNumberFormat="1" applyFont="1" applyFill="1" applyBorder="1">
      <alignment/>
      <protection/>
    </xf>
    <xf numFmtId="0" fontId="4" fillId="3" borderId="19" xfId="23" applyFill="1" applyBorder="1">
      <alignment/>
      <protection/>
    </xf>
    <xf numFmtId="0" fontId="24" fillId="3" borderId="0" xfId="23" applyFont="1" applyFill="1">
      <alignment/>
      <protection/>
    </xf>
    <xf numFmtId="164" fontId="25" fillId="3" borderId="0" xfId="0" applyNumberFormat="1" applyFont="1" applyFill="1" applyAlignment="1">
      <alignment horizontal="left" indent="2"/>
    </xf>
    <xf numFmtId="164" fontId="25" fillId="3" borderId="0" xfId="0" applyNumberFormat="1" applyFont="1" applyFill="1" applyAlignment="1">
      <alignment horizontal="left" indent="4"/>
    </xf>
    <xf numFmtId="164" fontId="25" fillId="3" borderId="2" xfId="0" applyNumberFormat="1" applyFont="1" applyFill="1" applyBorder="1" applyAlignment="1">
      <alignment horizontal="left" indent="2"/>
    </xf>
    <xf numFmtId="164" fontId="7" fillId="0" borderId="0" xfId="0" applyNumberFormat="1" applyFont="1" applyFill="1" applyBorder="1"/>
    <xf numFmtId="164" fontId="0" fillId="3" borderId="0" xfId="0" applyNumberFormat="1" applyFill="1" applyAlignment="1">
      <alignment horizontal="left" indent="2"/>
    </xf>
    <xf numFmtId="164" fontId="0" fillId="3" borderId="2" xfId="0" applyNumberFormat="1" applyFill="1" applyBorder="1" applyAlignment="1">
      <alignment horizontal="left" indent="2"/>
    </xf>
    <xf numFmtId="164" fontId="0" fillId="3" borderId="2" xfId="0" applyNumberFormat="1" applyFill="1" applyBorder="1" applyAlignment="1">
      <alignment horizontal="left" indent="1"/>
    </xf>
    <xf numFmtId="164" fontId="0" fillId="3" borderId="0" xfId="0" applyNumberFormat="1" applyFill="1" applyAlignment="1">
      <alignment horizontal="left"/>
    </xf>
    <xf numFmtId="169" fontId="31" fillId="3" borderId="0" xfId="16" applyNumberFormat="1" applyFont="1" applyFill="1">
      <alignment/>
      <protection/>
    </xf>
    <xf numFmtId="169" fontId="26" fillId="3" borderId="0" xfId="0" applyNumberFormat="1" applyFont="1" applyFill="1" applyAlignment="1">
      <alignment horizontal="left" indent="3"/>
    </xf>
    <xf numFmtId="169" fontId="26" fillId="4" borderId="0" xfId="0" applyNumberFormat="1" applyFont="1" applyFill="1" applyBorder="1"/>
    <xf numFmtId="169" fontId="26" fillId="3" borderId="0" xfId="0" applyNumberFormat="1" applyFont="1" applyFill="1" applyBorder="1"/>
    <xf numFmtId="169" fontId="13" fillId="3" borderId="0" xfId="0" applyNumberFormat="1" applyFont="1" applyFill="1"/>
    <xf numFmtId="169" fontId="13" fillId="4" borderId="0" xfId="0" applyNumberFormat="1" applyFont="1" applyFill="1"/>
    <xf numFmtId="164" fontId="25" fillId="3" borderId="0" xfId="0" applyNumberFormat="1" applyFont="1" applyFill="1" applyAlignment="1">
      <alignment horizontal="left" indent="3"/>
    </xf>
    <xf numFmtId="167" fontId="26" fillId="3" borderId="0" xfId="0" applyNumberFormat="1" applyFont="1" applyFill="1" applyAlignment="1">
      <alignment horizontal="left" indent="3"/>
    </xf>
    <xf numFmtId="167" fontId="23" fillId="3" borderId="0" xfId="16" applyNumberFormat="1" applyFont="1" applyFill="1" applyBorder="1">
      <alignment/>
      <protection/>
    </xf>
    <xf numFmtId="178" fontId="26" fillId="3" borderId="0" xfId="27" applyNumberFormat="1" applyFont="1" applyFill="1" applyAlignment="1">
      <alignment horizontal="left" indent="1"/>
      <protection/>
    </xf>
    <xf numFmtId="185" fontId="13" fillId="3" borderId="0" xfId="27" applyNumberFormat="1" applyFont="1" applyFill="1" applyAlignment="1">
      <alignment horizontal="left"/>
      <protection/>
    </xf>
    <xf numFmtId="185" fontId="26" fillId="4" borderId="0" xfId="27" applyNumberFormat="1" applyFont="1" applyFill="1" applyBorder="1" applyAlignment="1">
      <alignment horizontal="right"/>
      <protection/>
    </xf>
    <xf numFmtId="185" fontId="26" fillId="3" borderId="0" xfId="27" applyNumberFormat="1" applyFont="1" applyFill="1" applyBorder="1" applyAlignment="1">
      <alignment horizontal="right"/>
      <protection/>
    </xf>
    <xf numFmtId="185" fontId="26" fillId="3" borderId="0" xfId="27" applyNumberFormat="1" applyFont="1" applyFill="1" applyAlignment="1">
      <alignment horizontal="right"/>
      <protection/>
    </xf>
    <xf numFmtId="185" fontId="26" fillId="4" borderId="0" xfId="27" applyNumberFormat="1" applyFont="1" applyFill="1">
      <alignment/>
      <protection/>
    </xf>
    <xf numFmtId="166" fontId="22" fillId="5" borderId="0" xfId="27" applyNumberFormat="1" applyFont="1" applyFill="1">
      <alignment/>
      <protection/>
    </xf>
    <xf numFmtId="166" fontId="22" fillId="5" borderId="0" xfId="0" applyNumberFormat="1" applyFont="1" applyFill="1"/>
    <xf numFmtId="186" fontId="25" fillId="3" borderId="0" xfId="0" applyNumberFormat="1" applyFont="1" applyFill="1"/>
    <xf numFmtId="0" fontId="4" fillId="3" borderId="20" xfId="23" applyFill="1" applyBorder="1">
      <alignment/>
      <protection/>
    </xf>
    <xf numFmtId="188" fontId="20" fillId="3" borderId="21" xfId="25" applyNumberFormat="1" applyFont="1" applyFill="1" applyBorder="1" applyAlignment="1">
      <alignment horizontal="left" indent="1"/>
      <protection/>
    </xf>
    <xf numFmtId="177" fontId="2" fillId="3" borderId="0" xfId="0" applyNumberFormat="1" applyFont="1" applyFill="1" applyAlignment="1">
      <alignment horizontal="left"/>
    </xf>
    <xf numFmtId="183" fontId="3" fillId="3" borderId="0" xfId="0" applyNumberFormat="1" applyFont="1" applyFill="1" applyAlignment="1">
      <alignment horizontal="left"/>
    </xf>
    <xf numFmtId="169" fontId="6" fillId="3" borderId="0" xfId="16" applyNumberFormat="1" applyFont="1" applyFill="1" applyAlignment="1">
      <alignment horizontal="center"/>
      <protection/>
    </xf>
    <xf numFmtId="164" fontId="7" fillId="3" borderId="0" xfId="0" applyNumberFormat="1" applyFont="1" applyFill="1" applyAlignment="1">
      <alignment horizontal="center"/>
    </xf>
    <xf numFmtId="184" fontId="3" fillId="3" borderId="0" xfId="0" applyNumberFormat="1" applyFont="1" applyFill="1"/>
    <xf numFmtId="0" fontId="7" fillId="3" borderId="0" xfId="0" applyFont="1" applyFill="1" applyAlignment="1">
      <alignment horizontal="center"/>
    </xf>
    <xf numFmtId="1" fontId="7" fillId="4" borderId="0" xfId="0" applyNumberFormat="1" applyFont="1" applyFill="1" applyBorder="1" applyAlignment="1">
      <alignment horizontal="center"/>
    </xf>
    <xf numFmtId="17" fontId="0" fillId="4" borderId="0" xfId="0" applyNumberFormat="1" applyFont="1" applyFill="1" applyBorder="1" applyAlignment="1">
      <alignment horizontal="center"/>
    </xf>
    <xf numFmtId="0" fontId="7" fillId="4" borderId="0" xfId="0" applyFont="1" applyFill="1" applyBorder="1" applyAlignment="1">
      <alignment horizontal="center"/>
    </xf>
    <xf numFmtId="17" fontId="2" fillId="4" borderId="0" xfId="0" applyNumberFormat="1" applyFont="1" applyFill="1" applyBorder="1" applyAlignment="1">
      <alignment horizontal="center"/>
    </xf>
    <xf numFmtId="0" fontId="3" fillId="4" borderId="0" xfId="0" applyFont="1" applyFill="1" applyBorder="1" applyAlignment="1">
      <alignment horizontal="center"/>
    </xf>
    <xf numFmtId="1" fontId="26" fillId="4" borderId="0" xfId="0" applyNumberFormat="1" applyFont="1" applyFill="1" applyAlignment="1">
      <alignment horizontal="center"/>
    </xf>
    <xf numFmtId="17" fontId="20" fillId="4" borderId="0" xfId="0" applyNumberFormat="1" applyFont="1" applyFill="1" applyAlignment="1">
      <alignment horizontal="center"/>
    </xf>
    <xf numFmtId="0" fontId="31" fillId="4" borderId="0" xfId="0" applyFont="1" applyFill="1" applyAlignment="1">
      <alignment horizontal="center"/>
    </xf>
    <xf numFmtId="17" fontId="34" fillId="4" borderId="0" xfId="27" applyNumberFormat="1" applyFont="1" applyFill="1" applyBorder="1" applyAlignment="1">
      <alignment horizontal="center"/>
      <protection/>
    </xf>
    <xf numFmtId="164" fontId="26" fillId="4" borderId="0" xfId="27" applyNumberFormat="1" applyFont="1" applyFill="1" applyBorder="1" applyAlignment="1">
      <alignment horizontal="center"/>
      <protection/>
    </xf>
    <xf numFmtId="17" fontId="35" fillId="4" borderId="0" xfId="27" applyNumberFormat="1" applyFont="1" applyFill="1" applyBorder="1" applyAlignment="1">
      <alignment horizontal="center"/>
      <protection/>
    </xf>
    <xf numFmtId="164" fontId="31" fillId="4" borderId="0" xfId="27" applyNumberFormat="1" applyFont="1" applyFill="1" applyBorder="1" applyAlignment="1">
      <alignment horizontal="center"/>
      <protection/>
    </xf>
    <xf numFmtId="17" fontId="35" fillId="4" borderId="0" xfId="27" applyNumberFormat="1" applyFont="1" applyFill="1" applyAlignment="1">
      <alignment horizontal="center"/>
      <protection/>
    </xf>
    <xf numFmtId="164" fontId="31" fillId="4" borderId="0" xfId="27" applyNumberFormat="1" applyFont="1" applyFill="1" applyAlignment="1">
      <alignment horizontal="center"/>
      <protection/>
    </xf>
    <xf numFmtId="179" fontId="0" fillId="3" borderId="0" xfId="0" applyNumberFormat="1" applyFont="1" applyFill="1" applyAlignment="1">
      <alignment horizontal="left" indent="4"/>
    </xf>
    <xf numFmtId="179" fontId="0" fillId="4" borderId="0" xfId="0" applyNumberFormat="1" applyFont="1" applyFill="1" applyBorder="1"/>
    <xf numFmtId="179" fontId="0" fillId="3" borderId="0" xfId="0" applyNumberFormat="1" applyFont="1" applyFill="1" applyBorder="1"/>
    <xf numFmtId="179" fontId="0" fillId="3" borderId="2" xfId="0" applyNumberFormat="1" applyFont="1" applyFill="1" applyBorder="1" applyAlignment="1">
      <alignment horizontal="left" indent="4"/>
    </xf>
    <xf numFmtId="179" fontId="0" fillId="3" borderId="0" xfId="0" applyNumberFormat="1" applyFont="1" applyFill="1" applyAlignment="1">
      <alignment horizontal="left" indent="3"/>
    </xf>
    <xf numFmtId="179" fontId="0" fillId="3" borderId="2" xfId="0" applyNumberFormat="1" applyFont="1" applyFill="1" applyBorder="1" applyAlignment="1">
      <alignment horizontal="left" indent="3"/>
    </xf>
    <xf numFmtId="179" fontId="0" fillId="3" borderId="0" xfId="0" applyNumberFormat="1" applyFont="1" applyFill="1" applyAlignment="1">
      <alignment horizontal="left" indent="2"/>
    </xf>
    <xf numFmtId="167" fontId="19" fillId="3" borderId="0" xfId="0" applyNumberFormat="1" applyFont="1" applyFill="1" applyBorder="1" applyAlignment="1">
      <alignment horizontal="left" indent="1"/>
    </xf>
    <xf numFmtId="164" fontId="25" fillId="3" borderId="2" xfId="27" applyNumberFormat="1" applyFont="1" applyFill="1" applyBorder="1" applyAlignment="1">
      <alignment horizontal="left" indent="2"/>
      <protection/>
    </xf>
    <xf numFmtId="164" fontId="22" fillId="5" borderId="0" xfId="0" applyNumberFormat="1" applyFont="1" applyFill="1" applyAlignment="1">
      <alignment horizontal="left"/>
    </xf>
    <xf numFmtId="166" fontId="26" fillId="3" borderId="0" xfId="0" applyNumberFormat="1" applyFont="1" applyFill="1" applyAlignment="1">
      <alignment horizontal="right"/>
    </xf>
    <xf numFmtId="166" fontId="26" fillId="4" borderId="0" xfId="0" applyNumberFormat="1" applyFont="1" applyFill="1" applyAlignment="1">
      <alignment horizontal="right"/>
    </xf>
    <xf numFmtId="164" fontId="26" fillId="3" borderId="0" xfId="0" applyNumberFormat="1" applyFont="1" applyFill="1" applyAlignment="1">
      <alignment horizontal="left" indent="3"/>
    </xf>
    <xf numFmtId="166" fontId="26" fillId="3" borderId="0" xfId="0" applyNumberFormat="1" applyFont="1" applyFill="1" applyBorder="1" applyAlignment="1">
      <alignment horizontal="right"/>
    </xf>
    <xf numFmtId="179" fontId="0" fillId="4" borderId="0" xfId="0" applyNumberFormat="1" applyFont="1" applyFill="1" applyBorder="1" applyAlignment="1">
      <alignment horizontal="right"/>
    </xf>
    <xf numFmtId="179" fontId="0" fillId="3" borderId="0" xfId="0" applyNumberFormat="1" applyFont="1" applyFill="1" applyBorder="1" applyAlignment="1">
      <alignment horizontal="right"/>
    </xf>
    <xf numFmtId="164" fontId="0" fillId="3" borderId="0" xfId="0" applyNumberFormat="1" applyFont="1" applyFill="1" applyAlignment="1">
      <alignment horizontal="left" indent="1"/>
    </xf>
    <xf numFmtId="0" fontId="26" fillId="3" borderId="6" xfId="0" applyFont="1" applyFill="1" applyBorder="1"/>
    <xf numFmtId="166" fontId="20" fillId="3" borderId="4" xfId="25" applyNumberFormat="1" applyFont="1" applyFill="1" applyBorder="1">
      <alignment/>
      <protection/>
    </xf>
    <xf numFmtId="166" fontId="20" fillId="3" borderId="1" xfId="25" applyNumberFormat="1" applyFont="1" applyFill="1" applyBorder="1">
      <alignment/>
      <protection/>
    </xf>
    <xf numFmtId="167" fontId="22" fillId="5" borderId="22" xfId="0" applyNumberFormat="1" applyFont="1" applyFill="1" applyBorder="1"/>
    <xf numFmtId="164" fontId="25" fillId="3" borderId="23" xfId="0" applyNumberFormat="1" applyFont="1" applyFill="1" applyBorder="1"/>
    <xf numFmtId="164" fontId="25" fillId="3" borderId="24" xfId="0" applyNumberFormat="1" applyFont="1" applyFill="1" applyBorder="1"/>
    <xf numFmtId="185" fontId="25" fillId="3" borderId="22" xfId="0" applyNumberFormat="1" applyFont="1" applyFill="1" applyBorder="1"/>
    <xf numFmtId="164" fontId="32" fillId="5" borderId="22" xfId="27" applyNumberFormat="1" applyFont="1" applyFill="1" applyBorder="1">
      <alignment/>
      <protection/>
    </xf>
    <xf numFmtId="167" fontId="33" fillId="5" borderId="22" xfId="27" applyNumberFormat="1" applyFont="1" applyFill="1" applyBorder="1">
      <alignment/>
      <protection/>
    </xf>
    <xf numFmtId="167" fontId="25" fillId="3" borderId="0" xfId="0" applyNumberFormat="1" applyFont="1" applyFill="1" applyBorder="1"/>
    <xf numFmtId="167" fontId="25" fillId="3" borderId="2" xfId="0" applyNumberFormat="1" applyFont="1" applyFill="1" applyBorder="1"/>
    <xf numFmtId="168" fontId="20" fillId="3" borderId="0" xfId="0" applyNumberFormat="1" applyFont="1" applyFill="1" applyAlignment="1">
      <alignment horizontal="center"/>
    </xf>
    <xf numFmtId="0" fontId="25" fillId="3" borderId="0" xfId="0" applyFont="1" applyFill="1" applyBorder="1"/>
    <xf numFmtId="0" fontId="25" fillId="3" borderId="0" xfId="0" applyFont="1" applyFill="1" applyBorder="1" applyAlignment="1">
      <alignment horizontal="center"/>
    </xf>
    <xf numFmtId="0" fontId="25" fillId="3" borderId="0" xfId="0" applyFont="1" applyFill="1"/>
    <xf numFmtId="0" fontId="31" fillId="3" borderId="0" xfId="16" applyNumberFormat="1" applyFont="1" applyFill="1" applyAlignment="1">
      <alignment horizontal="center"/>
      <protection/>
    </xf>
    <xf numFmtId="167" fontId="25" fillId="3" borderId="0" xfId="0" applyNumberFormat="1" applyFont="1" applyFill="1" applyBorder="1" applyAlignment="1">
      <alignment horizontal="right"/>
    </xf>
    <xf numFmtId="164" fontId="26" fillId="3" borderId="7" xfId="0" applyNumberFormat="1" applyFont="1" applyFill="1" applyBorder="1" applyAlignment="1">
      <alignment horizontal="left" indent="4"/>
    </xf>
    <xf numFmtId="167" fontId="23" fillId="3" borderId="0" xfId="0" applyNumberFormat="1" applyFont="1" applyFill="1" applyBorder="1" applyAlignment="1">
      <alignment horizontal="left" indent="4"/>
    </xf>
    <xf numFmtId="164" fontId="31" fillId="3" borderId="7" xfId="16" applyNumberFormat="1" applyFont="1" applyFill="1" applyBorder="1">
      <alignment/>
      <protection/>
    </xf>
    <xf numFmtId="164" fontId="20" fillId="3" borderId="0" xfId="16" applyNumberFormat="1" applyFont="1" applyFill="1" applyBorder="1">
      <alignment/>
      <protection/>
    </xf>
    <xf numFmtId="164" fontId="31" fillId="3" borderId="0" xfId="16" applyNumberFormat="1" applyFont="1" applyFill="1" applyBorder="1">
      <alignment/>
      <protection/>
    </xf>
    <xf numFmtId="164" fontId="26" fillId="3" borderId="0" xfId="0" applyNumberFormat="1" applyFont="1" applyFill="1" applyAlignment="1">
      <alignment horizontal="left" indent="4"/>
    </xf>
    <xf numFmtId="167" fontId="25" fillId="3" borderId="0" xfId="0" applyNumberFormat="1" applyFont="1" applyFill="1" applyAlignment="1">
      <alignment horizontal="left"/>
    </xf>
    <xf numFmtId="167" fontId="25" fillId="3" borderId="0" xfId="0" applyNumberFormat="1" applyFont="1" applyFill="1" applyAlignment="1">
      <alignment horizontal="left" indent="4"/>
    </xf>
    <xf numFmtId="167" fontId="25" fillId="3" borderId="0" xfId="0" applyNumberFormat="1" applyFont="1" applyFill="1" applyAlignment="1">
      <alignment horizontal="left" indent="3"/>
    </xf>
    <xf numFmtId="167" fontId="25" fillId="3" borderId="2" xfId="0" applyNumberFormat="1" applyFont="1" applyFill="1" applyBorder="1" applyAlignment="1">
      <alignment horizontal="left" indent="3"/>
    </xf>
    <xf numFmtId="167" fontId="26" fillId="3" borderId="7" xfId="0" applyNumberFormat="1" applyFont="1" applyFill="1" applyBorder="1" applyAlignment="1">
      <alignment horizontal="left" indent="3"/>
    </xf>
    <xf numFmtId="167" fontId="25" fillId="3" borderId="0" xfId="0" applyNumberFormat="1" applyFont="1" applyFill="1" applyBorder="1" applyAlignment="1">
      <alignment horizontal="left" indent="3"/>
    </xf>
    <xf numFmtId="167" fontId="26" fillId="3" borderId="0" xfId="0" applyNumberFormat="1" applyFont="1" applyFill="1" applyBorder="1" applyAlignment="1">
      <alignment horizontal="left" indent="3"/>
    </xf>
    <xf numFmtId="179" fontId="25" fillId="3" borderId="0" xfId="0" applyNumberFormat="1" applyFont="1" applyFill="1" applyAlignment="1">
      <alignment horizontal="left" indent="4"/>
    </xf>
    <xf numFmtId="179" fontId="25" fillId="3" borderId="0" xfId="0" applyNumberFormat="1" applyFont="1" applyFill="1" applyBorder="1"/>
    <xf numFmtId="179" fontId="25" fillId="3" borderId="0" xfId="0" applyNumberFormat="1" applyFont="1" applyFill="1"/>
    <xf numFmtId="179" fontId="25" fillId="3" borderId="2" xfId="0" applyNumberFormat="1" applyFont="1" applyFill="1" applyBorder="1" applyAlignment="1">
      <alignment horizontal="left" indent="4"/>
    </xf>
    <xf numFmtId="179" fontId="25" fillId="3" borderId="2" xfId="0" applyNumberFormat="1" applyFont="1" applyFill="1" applyBorder="1"/>
    <xf numFmtId="179" fontId="25" fillId="3" borderId="0" xfId="0" applyNumberFormat="1" applyFont="1" applyFill="1" applyBorder="1" applyAlignment="1">
      <alignment horizontal="left" indent="4"/>
    </xf>
    <xf numFmtId="164" fontId="25" fillId="3" borderId="0" xfId="0" applyNumberFormat="1" applyFont="1" applyFill="1" applyAlignment="1">
      <alignment horizontal="left" indent="5"/>
    </xf>
    <xf numFmtId="164" fontId="25" fillId="3" borderId="2" xfId="0" applyNumberFormat="1" applyFont="1" applyFill="1" applyBorder="1" applyAlignment="1">
      <alignment horizontal="left" indent="5"/>
    </xf>
    <xf numFmtId="164" fontId="26" fillId="3" borderId="7" xfId="0" applyNumberFormat="1" applyFont="1" applyFill="1" applyBorder="1" applyAlignment="1">
      <alignment horizontal="left" indent="3"/>
    </xf>
    <xf numFmtId="167" fontId="23" fillId="3" borderId="0" xfId="15" applyNumberFormat="1" applyFont="1" applyFill="1" applyAlignment="1">
      <alignment horizontal="left" indent="4"/>
      <protection/>
    </xf>
    <xf numFmtId="164" fontId="25" fillId="3" borderId="0" xfId="0" applyNumberFormat="1" applyFont="1" applyFill="1" applyAlignment="1">
      <alignment horizontal="left"/>
    </xf>
    <xf numFmtId="167" fontId="25" fillId="3" borderId="2" xfId="0" applyNumberFormat="1" applyFont="1" applyFill="1" applyBorder="1" applyAlignment="1">
      <alignment horizontal="left" indent="4"/>
    </xf>
    <xf numFmtId="167" fontId="26" fillId="3" borderId="0" xfId="0" applyNumberFormat="1" applyFont="1" applyFill="1" applyAlignment="1">
      <alignment horizontal="left" indent="4"/>
    </xf>
    <xf numFmtId="164" fontId="25" fillId="3" borderId="7" xfId="0" applyNumberFormat="1" applyFont="1" applyFill="1" applyBorder="1" applyAlignment="1">
      <alignment horizontal="left" indent="3"/>
    </xf>
    <xf numFmtId="164" fontId="26" fillId="3" borderId="9" xfId="0" applyNumberFormat="1" applyFont="1" applyFill="1" applyBorder="1" applyAlignment="1">
      <alignment horizontal="left" indent="3"/>
    </xf>
    <xf numFmtId="164" fontId="25" fillId="3" borderId="9" xfId="0" applyNumberFormat="1" applyFont="1" applyFill="1" applyBorder="1" applyAlignment="1">
      <alignment horizontal="left" indent="3"/>
    </xf>
    <xf numFmtId="164" fontId="29" fillId="3" borderId="7" xfId="0" applyNumberFormat="1" applyFont="1" applyFill="1" applyBorder="1" applyAlignment="1">
      <alignment horizontal="left" indent="1"/>
    </xf>
    <xf numFmtId="164" fontId="23" fillId="3" borderId="7" xfId="0" applyNumberFormat="1" applyFont="1" applyFill="1" applyBorder="1" applyAlignment="1">
      <alignment horizontal="left" indent="3"/>
    </xf>
    <xf numFmtId="173" fontId="26" fillId="3" borderId="0" xfId="0" applyNumberFormat="1" applyFont="1" applyFill="1" applyAlignment="1">
      <alignment horizontal="left" indent="3"/>
    </xf>
    <xf numFmtId="169" fontId="31" fillId="3" borderId="0" xfId="0" applyNumberFormat="1" applyFont="1" applyFill="1" applyAlignment="1">
      <alignment horizontal="left"/>
    </xf>
    <xf numFmtId="169" fontId="26" fillId="3" borderId="0" xfId="16" applyNumberFormat="1" applyFont="1" applyFill="1" applyBorder="1">
      <alignment/>
      <protection/>
    </xf>
    <xf numFmtId="169" fontId="26" fillId="3" borderId="0" xfId="16" applyNumberFormat="1" applyFont="1" applyFill="1">
      <alignment/>
      <protection/>
    </xf>
    <xf numFmtId="167" fontId="23" fillId="3" borderId="0" xfId="0" applyNumberFormat="1" applyFont="1" applyFill="1" applyAlignment="1">
      <alignment horizontal="left" indent="3"/>
    </xf>
    <xf numFmtId="167" fontId="29" fillId="3" borderId="0" xfId="16" applyNumberFormat="1" applyFont="1" applyFill="1" applyBorder="1">
      <alignment/>
      <protection/>
    </xf>
    <xf numFmtId="44" fontId="26" fillId="3" borderId="0" xfId="0" applyNumberFormat="1" applyFont="1" applyFill="1" applyAlignment="1">
      <alignment horizontal="left" indent="3"/>
    </xf>
    <xf numFmtId="167" fontId="23" fillId="3" borderId="0" xfId="0" applyNumberFormat="1" applyFont="1" applyFill="1" applyAlignment="1">
      <alignment horizontal="left"/>
    </xf>
    <xf numFmtId="179" fontId="26" fillId="3" borderId="0" xfId="0" applyNumberFormat="1" applyFont="1" applyFill="1" applyAlignment="1">
      <alignment horizontal="left" indent="3"/>
    </xf>
    <xf numFmtId="0" fontId="25" fillId="3" borderId="0" xfId="0" applyFont="1" applyFill="1" applyAlignment="1">
      <alignment horizontal="left" indent="3"/>
    </xf>
    <xf numFmtId="0" fontId="25" fillId="3" borderId="0" xfId="0" applyNumberFormat="1" applyFont="1" applyFill="1" applyBorder="1"/>
    <xf numFmtId="0" fontId="25" fillId="3" borderId="0" xfId="0" applyNumberFormat="1" applyFont="1" applyFill="1"/>
    <xf numFmtId="170" fontId="20" fillId="3" borderId="0" xfId="0" applyNumberFormat="1" applyFont="1" applyFill="1"/>
    <xf numFmtId="170" fontId="25" fillId="3" borderId="0" xfId="0" applyNumberFormat="1" applyFont="1" applyFill="1" applyAlignment="1">
      <alignment horizontal="left" indent="3"/>
    </xf>
    <xf numFmtId="170" fontId="25" fillId="3" borderId="0" xfId="0" applyNumberFormat="1" applyFont="1" applyFill="1" applyBorder="1" applyAlignment="1">
      <alignment horizontal="right"/>
    </xf>
    <xf numFmtId="170" fontId="25" fillId="3" borderId="0" xfId="0" applyNumberFormat="1" applyFont="1" applyFill="1" applyBorder="1"/>
    <xf numFmtId="185" fontId="20" fillId="3" borderId="0" xfId="16" applyNumberFormat="1" applyFont="1" applyFill="1">
      <alignment/>
      <protection/>
    </xf>
    <xf numFmtId="186" fontId="20" fillId="3" borderId="0" xfId="16" applyNumberFormat="1" applyFont="1" applyFill="1">
      <alignment/>
      <protection/>
    </xf>
    <xf numFmtId="166" fontId="26" fillId="3" borderId="0" xfId="0" applyNumberFormat="1" applyFont="1" applyFill="1" applyAlignment="1">
      <alignment horizontal="left" indent="3"/>
    </xf>
    <xf numFmtId="166" fontId="26" fillId="3" borderId="0" xfId="0" applyNumberFormat="1" applyFont="1" applyFill="1" applyBorder="1"/>
    <xf numFmtId="164" fontId="20" fillId="3" borderId="13" xfId="25" applyNumberFormat="1" applyFont="1" applyFill="1" applyBorder="1" applyAlignment="1">
      <alignment horizontal="left" indent="1"/>
      <protection/>
    </xf>
    <xf numFmtId="166" fontId="26" fillId="3" borderId="11" xfId="0" applyNumberFormat="1" applyFont="1" applyFill="1" applyBorder="1"/>
    <xf numFmtId="166" fontId="31" fillId="3" borderId="0" xfId="25" applyNumberFormat="1" applyFont="1" applyFill="1" applyBorder="1">
      <alignment/>
      <protection/>
    </xf>
    <xf numFmtId="166" fontId="26" fillId="3" borderId="22" xfId="0" applyNumberFormat="1" applyFont="1" applyFill="1" applyBorder="1"/>
    <xf numFmtId="166" fontId="25" fillId="3" borderId="11" xfId="0" applyNumberFormat="1" applyFont="1" applyFill="1" applyBorder="1"/>
    <xf numFmtId="166" fontId="20" fillId="3" borderId="0" xfId="25" applyNumberFormat="1" applyFont="1" applyFill="1" applyBorder="1">
      <alignment/>
      <protection/>
    </xf>
    <xf numFmtId="166" fontId="25" fillId="3" borderId="22" xfId="0" applyNumberFormat="1" applyFont="1" applyFill="1" applyBorder="1"/>
    <xf numFmtId="166" fontId="25" fillId="3" borderId="13" xfId="0" applyNumberFormat="1" applyFont="1" applyFill="1" applyBorder="1"/>
    <xf numFmtId="0" fontId="26" fillId="3" borderId="0" xfId="0" applyFont="1" applyFill="1" applyBorder="1"/>
    <xf numFmtId="0" fontId="26" fillId="3" borderId="22" xfId="0" applyFont="1" applyFill="1" applyBorder="1"/>
    <xf numFmtId="0" fontId="26" fillId="3" borderId="0" xfId="0" applyFont="1" applyFill="1"/>
    <xf numFmtId="164" fontId="20" fillId="3" borderId="12" xfId="25" applyNumberFormat="1" applyFont="1" applyFill="1" applyBorder="1" applyAlignment="1">
      <alignment horizontal="left" indent="1"/>
      <protection/>
    </xf>
    <xf numFmtId="166" fontId="25" fillId="3" borderId="12" xfId="0" applyNumberFormat="1" applyFont="1" applyFill="1" applyBorder="1"/>
    <xf numFmtId="164" fontId="20" fillId="3" borderId="1" xfId="25" applyNumberFormat="1" applyFont="1" applyFill="1" applyBorder="1" applyAlignment="1">
      <alignment horizontal="left" indent="1"/>
      <protection/>
    </xf>
    <xf numFmtId="166" fontId="20" fillId="3" borderId="13" xfId="25" applyNumberFormat="1" applyFont="1" applyFill="1" applyBorder="1">
      <alignment/>
      <protection/>
    </xf>
    <xf numFmtId="166" fontId="25" fillId="3" borderId="25" xfId="0" applyNumberFormat="1" applyFont="1" applyFill="1" applyBorder="1"/>
    <xf numFmtId="0" fontId="25" fillId="3" borderId="16" xfId="0" applyFont="1" applyFill="1" applyBorder="1"/>
    <xf numFmtId="0" fontId="25" fillId="3" borderId="12" xfId="0" applyFont="1" applyFill="1" applyBorder="1"/>
    <xf numFmtId="0" fontId="25" fillId="3" borderId="24" xfId="0" applyFont="1" applyFill="1" applyBorder="1"/>
    <xf numFmtId="0" fontId="25" fillId="3" borderId="22" xfId="0" applyFont="1" applyFill="1" applyBorder="1"/>
    <xf numFmtId="167" fontId="25" fillId="4" borderId="0" xfId="0" applyNumberFormat="1" applyFont="1" applyFill="1" applyBorder="1" applyAlignment="1">
      <alignment horizontal="right"/>
    </xf>
    <xf numFmtId="179" fontId="25" fillId="4" borderId="0" xfId="0" applyNumberFormat="1" applyFont="1" applyFill="1" applyBorder="1"/>
    <xf numFmtId="179" fontId="25" fillId="4" borderId="2" xfId="0" applyNumberFormat="1" applyFont="1" applyFill="1" applyBorder="1"/>
    <xf numFmtId="173" fontId="26" fillId="4" borderId="0" xfId="0" applyNumberFormat="1" applyFont="1" applyFill="1" applyBorder="1"/>
    <xf numFmtId="169" fontId="26" fillId="4" borderId="0" xfId="16" applyNumberFormat="1" applyFont="1" applyFill="1" applyBorder="1" applyAlignment="1">
      <alignment horizontal="right" indent="1"/>
      <protection/>
    </xf>
    <xf numFmtId="0" fontId="25" fillId="4" borderId="0" xfId="0" applyNumberFormat="1" applyFont="1" applyFill="1" applyBorder="1"/>
    <xf numFmtId="170" fontId="25" fillId="4" borderId="0" xfId="0" applyNumberFormat="1" applyFont="1" applyFill="1" applyBorder="1" applyAlignment="1">
      <alignment horizontal="right"/>
    </xf>
    <xf numFmtId="166" fontId="26" fillId="4" borderId="0" xfId="0" applyNumberFormat="1" applyFont="1" applyFill="1" applyBorder="1"/>
    <xf numFmtId="169" fontId="26" fillId="4" borderId="0" xfId="16" applyNumberFormat="1" applyFont="1" applyFill="1" applyBorder="1">
      <alignment/>
      <protection/>
    </xf>
    <xf numFmtId="179" fontId="25" fillId="4" borderId="0" xfId="0" applyNumberFormat="1" applyFont="1" applyFill="1"/>
    <xf numFmtId="169" fontId="26" fillId="4" borderId="0" xfId="16" applyNumberFormat="1" applyFont="1" applyFill="1">
      <alignment/>
      <protection/>
    </xf>
    <xf numFmtId="0" fontId="25" fillId="4" borderId="0" xfId="0" applyNumberFormat="1" applyFont="1" applyFill="1"/>
    <xf numFmtId="189" fontId="25" fillId="3" borderId="0" xfId="0" applyNumberFormat="1" applyFont="1" applyFill="1"/>
    <xf numFmtId="0" fontId="31" fillId="3" borderId="0" xfId="0" applyFont="1" applyFill="1" applyBorder="1" applyAlignment="1">
      <alignment horizontal="center"/>
    </xf>
    <xf numFmtId="173" fontId="31" fillId="3" borderId="0" xfId="0" applyNumberFormat="1" applyFont="1" applyFill="1" applyAlignment="1">
      <alignment horizontal="left"/>
    </xf>
    <xf numFmtId="164" fontId="26" fillId="3" borderId="7" xfId="0" applyNumberFormat="1" applyFont="1" applyFill="1" applyBorder="1" applyAlignment="1">
      <alignment horizontal="left"/>
    </xf>
    <xf numFmtId="190" fontId="26" fillId="3" borderId="0" xfId="0" applyNumberFormat="1" applyFont="1" applyFill="1" applyAlignment="1">
      <alignment horizontal="left"/>
    </xf>
    <xf numFmtId="190" fontId="26" fillId="3" borderId="0" xfId="0" applyNumberFormat="1" applyFont="1" applyFill="1" applyAlignment="1">
      <alignment horizontal="left" indent="4"/>
    </xf>
    <xf numFmtId="190" fontId="26" fillId="4" borderId="0" xfId="0" applyNumberFormat="1" applyFont="1" applyFill="1" applyBorder="1"/>
    <xf numFmtId="190" fontId="7" fillId="4" borderId="0" xfId="0" applyNumberFormat="1" applyFont="1" applyFill="1" applyBorder="1"/>
    <xf numFmtId="190" fontId="26" fillId="3" borderId="0" xfId="0" applyNumberFormat="1" applyFont="1" applyFill="1" applyBorder="1"/>
    <xf numFmtId="190" fontId="7" fillId="3" borderId="0" xfId="0" applyNumberFormat="1" applyFont="1" applyFill="1" applyBorder="1"/>
    <xf numFmtId="190" fontId="26" fillId="3" borderId="0" xfId="0" applyNumberFormat="1" applyFont="1" applyFill="1"/>
    <xf numFmtId="190" fontId="26" fillId="4" borderId="0" xfId="0" applyNumberFormat="1" applyFont="1" applyFill="1"/>
    <xf numFmtId="167" fontId="25" fillId="3" borderId="2" xfId="0" applyNumberFormat="1" applyFont="1" applyFill="1" applyBorder="1" applyAlignment="1">
      <alignment horizontal="left" indent="1"/>
    </xf>
    <xf numFmtId="167" fontId="20" fillId="3" borderId="0" xfId="16" applyNumberFormat="1" applyFont="1" applyFill="1" applyBorder="1">
      <alignment/>
      <protection/>
    </xf>
    <xf numFmtId="164" fontId="23" fillId="3" borderId="0" xfId="0" applyNumberFormat="1" applyFont="1" applyFill="1" applyAlignment="1">
      <alignment horizontal="left" indent="2"/>
    </xf>
    <xf numFmtId="167" fontId="23" fillId="3" borderId="0" xfId="0" applyNumberFormat="1" applyFont="1" applyFill="1" applyAlignment="1">
      <alignment horizontal="left" indent="2"/>
    </xf>
    <xf numFmtId="167" fontId="23" fillId="3" borderId="0" xfId="0" applyNumberFormat="1" applyFont="1" applyFill="1" applyAlignment="1">
      <alignment horizontal="right"/>
    </xf>
    <xf numFmtId="164" fontId="0" fillId="3" borderId="0" xfId="0" applyNumberFormat="1" applyFont="1" applyFill="1" applyBorder="1" applyAlignment="1">
      <alignment horizontal="left" indent="2"/>
    </xf>
    <xf numFmtId="164" fontId="25" fillId="3" borderId="0" xfId="0" applyNumberFormat="1" applyFont="1" applyFill="1" applyBorder="1" applyAlignment="1">
      <alignment horizontal="left" indent="4"/>
    </xf>
    <xf numFmtId="164" fontId="25" fillId="3" borderId="7" xfId="0" applyNumberFormat="1" applyFont="1" applyFill="1" applyBorder="1" applyAlignment="1">
      <alignment horizontal="left" indent="4"/>
    </xf>
    <xf numFmtId="179" fontId="25" fillId="3" borderId="7" xfId="0" applyNumberFormat="1" applyFont="1" applyFill="1" applyBorder="1" applyAlignment="1">
      <alignment horizontal="left" indent="4"/>
    </xf>
    <xf numFmtId="179" fontId="25" fillId="4" borderId="7" xfId="0" applyNumberFormat="1" applyFont="1" applyFill="1" applyBorder="1"/>
    <xf numFmtId="179" fontId="25" fillId="3" borderId="7" xfId="0" applyNumberFormat="1" applyFont="1" applyFill="1" applyBorder="1"/>
    <xf numFmtId="164" fontId="0" fillId="3" borderId="0" xfId="0" applyNumberFormat="1" applyFont="1" applyFill="1" applyBorder="1" applyAlignment="1">
      <alignment horizontal="left" indent="3"/>
    </xf>
    <xf numFmtId="164" fontId="25" fillId="3" borderId="0" xfId="0" applyNumberFormat="1" applyFont="1" applyFill="1" applyBorder="1" applyAlignment="1">
      <alignment horizontal="left" indent="5"/>
    </xf>
    <xf numFmtId="179" fontId="25" fillId="3" borderId="0" xfId="0" applyNumberFormat="1" applyFont="1" applyFill="1" applyAlignment="1">
      <alignment horizontal="left" indent="3"/>
    </xf>
    <xf numFmtId="179" fontId="9" fillId="3" borderId="0" xfId="0" applyNumberFormat="1" applyFont="1" applyFill="1"/>
    <xf numFmtId="179" fontId="9" fillId="4" borderId="0" xfId="0" applyNumberFormat="1" applyFont="1" applyFill="1"/>
    <xf numFmtId="179" fontId="25" fillId="3" borderId="2" xfId="0" applyNumberFormat="1" applyFont="1" applyFill="1" applyBorder="1" applyAlignment="1">
      <alignment horizontal="left" indent="3"/>
    </xf>
    <xf numFmtId="179" fontId="9" fillId="3" borderId="2" xfId="0" applyNumberFormat="1" applyFont="1" applyFill="1" applyBorder="1"/>
    <xf numFmtId="179" fontId="9" fillId="4" borderId="2" xfId="0" applyNumberFormat="1" applyFont="1" applyFill="1" applyBorder="1"/>
    <xf numFmtId="179" fontId="25" fillId="3" borderId="0" xfId="0" applyNumberFormat="1" applyFont="1" applyFill="1" applyBorder="1" applyAlignment="1">
      <alignment horizontal="left" indent="2"/>
    </xf>
    <xf numFmtId="179" fontId="9" fillId="3" borderId="0" xfId="0" applyNumberFormat="1" applyFont="1" applyFill="1" applyBorder="1"/>
    <xf numFmtId="179" fontId="9" fillId="4" borderId="0" xfId="0" applyNumberFormat="1" applyFont="1" applyFill="1" applyBorder="1"/>
    <xf numFmtId="167" fontId="19" fillId="4" borderId="0" xfId="0" applyNumberFormat="1" applyFont="1" applyFill="1" applyBorder="1" applyAlignment="1">
      <alignment horizontal="right"/>
    </xf>
    <xf numFmtId="167" fontId="19" fillId="3" borderId="0" xfId="0" applyNumberFormat="1" applyFont="1" applyFill="1" applyBorder="1" applyAlignment="1">
      <alignment horizontal="right"/>
    </xf>
    <xf numFmtId="166" fontId="25" fillId="3" borderId="0" xfId="0" applyNumberFormat="1" applyFont="1" applyFill="1" applyAlignment="1">
      <alignment horizontal="left" indent="3"/>
    </xf>
    <xf numFmtId="166" fontId="0" fillId="4" borderId="0" xfId="0" applyNumberFormat="1" applyFont="1" applyFill="1" applyBorder="1"/>
    <xf numFmtId="166" fontId="9" fillId="3" borderId="0" xfId="0" applyNumberFormat="1" applyFont="1" applyFill="1" applyBorder="1"/>
    <xf numFmtId="166" fontId="9" fillId="4" borderId="0" xfId="0" applyNumberFormat="1" applyFont="1" applyFill="1" applyBorder="1"/>
    <xf numFmtId="166" fontId="25" fillId="4" borderId="0" xfId="0" applyNumberFormat="1" applyFont="1" applyFill="1" applyBorder="1" applyAlignment="1">
      <alignment horizontal="right"/>
    </xf>
    <xf numFmtId="167" fontId="25" fillId="3" borderId="0" xfId="0" applyNumberFormat="1" applyFont="1" applyFill="1" applyAlignment="1">
      <alignment horizontal="left" indent="2"/>
    </xf>
    <xf numFmtId="167" fontId="25" fillId="3" borderId="2" xfId="0" applyNumberFormat="1" applyFont="1" applyFill="1" applyBorder="1" applyAlignment="1">
      <alignment horizontal="left" indent="2"/>
    </xf>
    <xf numFmtId="190" fontId="7" fillId="3" borderId="0" xfId="0" applyNumberFormat="1" applyFont="1" applyFill="1" applyBorder="1" applyAlignment="1">
      <alignment horizontal="left"/>
    </xf>
    <xf numFmtId="190" fontId="31" fillId="3" borderId="0" xfId="16" applyNumberFormat="1" applyFont="1" applyFill="1" applyBorder="1">
      <alignment/>
      <protection/>
    </xf>
    <xf numFmtId="190" fontId="7" fillId="4" borderId="0" xfId="0" applyNumberFormat="1" applyFont="1" applyFill="1" applyBorder="1" applyAlignment="1">
      <alignment horizontal="right"/>
    </xf>
    <xf numFmtId="190" fontId="7" fillId="3" borderId="0" xfId="0" applyNumberFormat="1" applyFont="1" applyFill="1" applyBorder="1" applyAlignment="1">
      <alignment horizontal="right"/>
    </xf>
    <xf numFmtId="190" fontId="26" fillId="3" borderId="0" xfId="0" applyNumberFormat="1" applyFont="1" applyFill="1" applyBorder="1" applyAlignment="1">
      <alignment horizontal="right"/>
    </xf>
    <xf numFmtId="190" fontId="26" fillId="4" borderId="0" xfId="0" applyNumberFormat="1" applyFont="1" applyFill="1" applyBorder="1" applyAlignment="1">
      <alignment horizontal="right"/>
    </xf>
    <xf numFmtId="167" fontId="25" fillId="3" borderId="7" xfId="0" applyNumberFormat="1" applyFont="1" applyFill="1" applyBorder="1" applyAlignment="1">
      <alignment horizontal="left" indent="4"/>
    </xf>
    <xf numFmtId="167" fontId="25" fillId="4" borderId="7" xfId="0" applyNumberFormat="1" applyFont="1" applyFill="1" applyBorder="1"/>
    <xf numFmtId="167" fontId="25" fillId="3" borderId="7" xfId="0" applyNumberFormat="1" applyFont="1" applyFill="1" applyBorder="1"/>
    <xf numFmtId="164" fontId="25" fillId="3" borderId="0" xfId="0" applyNumberFormat="1" applyFont="1" applyFill="1" applyBorder="1" applyAlignment="1">
      <alignment horizontal="left" indent="2"/>
    </xf>
    <xf numFmtId="169" fontId="19" fillId="3" borderId="0" xfId="0" applyNumberFormat="1" applyFont="1" applyFill="1" applyBorder="1" applyAlignment="1">
      <alignment horizontal="left"/>
    </xf>
    <xf numFmtId="169" fontId="29" fillId="3" borderId="0" xfId="16" applyNumberFormat="1" applyFont="1" applyFill="1" applyBorder="1">
      <alignment/>
      <protection/>
    </xf>
    <xf numFmtId="169" fontId="23" fillId="4" borderId="0" xfId="0" applyNumberFormat="1" applyFont="1" applyFill="1" applyBorder="1" applyAlignment="1">
      <alignment horizontal="right"/>
    </xf>
    <xf numFmtId="169" fontId="23" fillId="3" borderId="0" xfId="0" applyNumberFormat="1" applyFont="1" applyFill="1" applyBorder="1" applyAlignment="1">
      <alignment horizontal="right"/>
    </xf>
    <xf numFmtId="167" fontId="29" fillId="3" borderId="0" xfId="0" applyNumberFormat="1" applyFont="1" applyFill="1" applyBorder="1"/>
    <xf numFmtId="167" fontId="23" fillId="3" borderId="7" xfId="0" applyNumberFormat="1" applyFont="1" applyFill="1" applyBorder="1" applyAlignment="1">
      <alignment horizontal="left" indent="3"/>
    </xf>
    <xf numFmtId="167" fontId="23" fillId="4" borderId="7" xfId="0" applyNumberFormat="1" applyFont="1" applyFill="1" applyBorder="1"/>
    <xf numFmtId="167" fontId="23" fillId="3" borderId="7" xfId="0" applyNumberFormat="1" applyFont="1" applyFill="1" applyBorder="1"/>
    <xf numFmtId="167" fontId="29" fillId="3" borderId="7" xfId="0" applyNumberFormat="1" applyFont="1" applyFill="1" applyBorder="1"/>
    <xf numFmtId="167" fontId="23" fillId="4" borderId="7" xfId="0" applyNumberFormat="1" applyFont="1" applyFill="1" applyBorder="1" applyAlignment="1">
      <alignment horizontal="center"/>
    </xf>
    <xf numFmtId="167" fontId="35" fillId="3" borderId="7" xfId="0" applyNumberFormat="1" applyFont="1" applyFill="1" applyBorder="1" applyAlignment="1">
      <alignment horizontal="left" indent="1"/>
    </xf>
    <xf numFmtId="167" fontId="34" fillId="3" borderId="7" xfId="0" applyNumberFormat="1" applyFont="1" applyFill="1" applyBorder="1" applyAlignment="1">
      <alignment horizontal="left" indent="3"/>
    </xf>
    <xf numFmtId="167" fontId="34" fillId="4" borderId="7" xfId="0" applyNumberFormat="1" applyFont="1" applyFill="1" applyBorder="1"/>
    <xf numFmtId="167" fontId="34" fillId="3" borderId="7" xfId="0" applyNumberFormat="1" applyFont="1" applyFill="1" applyBorder="1"/>
    <xf numFmtId="167" fontId="35" fillId="3" borderId="7" xfId="0" applyNumberFormat="1" applyFont="1" applyFill="1" applyBorder="1"/>
    <xf numFmtId="167" fontId="34" fillId="4" borderId="7" xfId="0" applyNumberFormat="1" applyFont="1" applyFill="1" applyBorder="1" applyAlignment="1">
      <alignment horizontal="center"/>
    </xf>
    <xf numFmtId="167" fontId="19" fillId="3" borderId="0" xfId="0" applyNumberFormat="1" applyFont="1" applyFill="1" applyAlignment="1">
      <alignment horizontal="left" indent="2"/>
    </xf>
    <xf numFmtId="167" fontId="19" fillId="3" borderId="0" xfId="0" applyNumberFormat="1" applyFont="1" applyFill="1" applyBorder="1" applyAlignment="1">
      <alignment horizontal="left" indent="2"/>
    </xf>
    <xf numFmtId="167" fontId="19" fillId="3" borderId="7" xfId="0" applyNumberFormat="1" applyFont="1" applyFill="1" applyBorder="1" applyAlignment="1">
      <alignment horizontal="left" indent="1"/>
    </xf>
    <xf numFmtId="167" fontId="23" fillId="3" borderId="0" xfId="0" applyNumberFormat="1" applyFont="1" applyFill="1" applyBorder="1" applyAlignment="1">
      <alignment horizontal="left" indent="1"/>
    </xf>
    <xf numFmtId="164" fontId="25" fillId="3" borderId="0" xfId="0" applyNumberFormat="1" applyFont="1" applyFill="1" applyBorder="1" applyAlignment="1">
      <alignment horizontal="left" indent="3"/>
    </xf>
    <xf numFmtId="164" fontId="7" fillId="3" borderId="7" xfId="0" applyNumberFormat="1" applyFont="1" applyFill="1" applyBorder="1" applyAlignment="1">
      <alignment horizontal="left" indent="1"/>
    </xf>
    <xf numFmtId="167" fontId="0" fillId="3" borderId="0" xfId="0" applyNumberFormat="1" applyFont="1" applyFill="1" applyBorder="1" applyAlignment="1">
      <alignment horizontal="left" indent="2"/>
    </xf>
    <xf numFmtId="167" fontId="0" fillId="3" borderId="7" xfId="0" applyNumberFormat="1" applyFont="1" applyFill="1" applyBorder="1" applyAlignment="1">
      <alignment horizontal="left" indent="1"/>
    </xf>
    <xf numFmtId="167" fontId="25" fillId="3" borderId="7" xfId="0" applyNumberFormat="1" applyFont="1" applyFill="1" applyBorder="1" applyAlignment="1">
      <alignment horizontal="left" indent="3"/>
    </xf>
    <xf numFmtId="167" fontId="0" fillId="4" borderId="7" xfId="0" applyNumberFormat="1" applyFont="1" applyFill="1" applyBorder="1"/>
    <xf numFmtId="167" fontId="0" fillId="3" borderId="7" xfId="0" applyNumberFormat="1" applyFont="1" applyFill="1" applyBorder="1"/>
    <xf numFmtId="167" fontId="28" fillId="3" borderId="0" xfId="0" applyNumberFormat="1" applyFont="1" applyFill="1" applyAlignment="1">
      <alignment horizontal="left" indent="1"/>
    </xf>
    <xf numFmtId="167" fontId="27" fillId="3" borderId="0" xfId="0" applyNumberFormat="1" applyFont="1" applyFill="1" applyAlignment="1">
      <alignment horizontal="left"/>
    </xf>
    <xf numFmtId="167" fontId="0" fillId="3" borderId="2" xfId="0" applyNumberFormat="1" applyFont="1" applyFill="1" applyBorder="1" applyAlignment="1">
      <alignment horizontal="left" indent="1"/>
    </xf>
    <xf numFmtId="167" fontId="25" fillId="3" borderId="0" xfId="0" applyNumberFormat="1" applyFont="1" applyFill="1" applyBorder="1" applyAlignment="1">
      <alignment horizontal="left" indent="2"/>
    </xf>
    <xf numFmtId="167" fontId="7" fillId="3" borderId="7" xfId="0" applyNumberFormat="1" applyFont="1" applyFill="1" applyBorder="1" applyAlignment="1">
      <alignment horizontal="left" indent="1"/>
    </xf>
    <xf numFmtId="167" fontId="26" fillId="3" borderId="7" xfId="0" applyNumberFormat="1" applyFont="1" applyFill="1" applyBorder="1" applyAlignment="1">
      <alignment horizontal="left" indent="4"/>
    </xf>
    <xf numFmtId="167" fontId="7" fillId="4" borderId="7" xfId="0" applyNumberFormat="1" applyFont="1" applyFill="1" applyBorder="1"/>
    <xf numFmtId="167" fontId="7" fillId="3" borderId="7" xfId="0" applyNumberFormat="1" applyFont="1" applyFill="1" applyBorder="1"/>
    <xf numFmtId="167" fontId="26" fillId="3" borderId="7" xfId="0" applyNumberFormat="1" applyFont="1" applyFill="1" applyBorder="1"/>
    <xf numFmtId="167" fontId="26" fillId="4" borderId="7" xfId="0" applyNumberFormat="1" applyFont="1" applyFill="1" applyBorder="1"/>
    <xf numFmtId="167" fontId="28" fillId="3" borderId="7" xfId="0" applyNumberFormat="1" applyFont="1" applyFill="1" applyBorder="1" applyAlignment="1">
      <alignment horizontal="left" indent="1"/>
    </xf>
    <xf numFmtId="167" fontId="28" fillId="4" borderId="7" xfId="0" applyNumberFormat="1" applyFont="1" applyFill="1" applyBorder="1" applyAlignment="1">
      <alignment horizontal="right"/>
    </xf>
    <xf numFmtId="167" fontId="28" fillId="4" borderId="7" xfId="0" applyNumberFormat="1" applyFont="1" applyFill="1" applyBorder="1"/>
    <xf numFmtId="167" fontId="28" fillId="3" borderId="7" xfId="0" applyNumberFormat="1" applyFont="1" applyFill="1" applyBorder="1"/>
    <xf numFmtId="164" fontId="28" fillId="3" borderId="7" xfId="0" applyNumberFormat="1" applyFont="1" applyFill="1" applyBorder="1" applyAlignment="1">
      <alignment horizontal="left" indent="1"/>
    </xf>
    <xf numFmtId="164" fontId="25" fillId="3" borderId="7" xfId="0" applyNumberFormat="1" applyFont="1" applyFill="1" applyBorder="1" applyAlignment="1">
      <alignment horizontal="left" indent="1"/>
    </xf>
    <xf numFmtId="167" fontId="25" fillId="3" borderId="7" xfId="0" applyNumberFormat="1" applyFont="1" applyFill="1" applyBorder="1" applyAlignment="1">
      <alignment horizontal="left" indent="1"/>
    </xf>
    <xf numFmtId="167" fontId="31" fillId="3" borderId="7" xfId="16" applyNumberFormat="1" applyFont="1" applyFill="1" applyBorder="1">
      <alignment/>
      <protection/>
    </xf>
    <xf numFmtId="167" fontId="26" fillId="3" borderId="7" xfId="0" applyNumberFormat="1" applyFont="1" applyFill="1" applyBorder="1" applyAlignment="1">
      <alignment horizontal="left"/>
    </xf>
    <xf numFmtId="164" fontId="28" fillId="3" borderId="0" xfId="0" applyNumberFormat="1" applyFont="1" applyFill="1" applyAlignment="1">
      <alignment horizontal="left" indent="2"/>
    </xf>
    <xf numFmtId="164" fontId="28" fillId="3" borderId="2" xfId="0" applyNumberFormat="1" applyFont="1" applyFill="1" applyBorder="1" applyAlignment="1">
      <alignment horizontal="left" indent="2"/>
    </xf>
    <xf numFmtId="167" fontId="26" fillId="3" borderId="0" xfId="0" applyNumberFormat="1" applyFont="1" applyFill="1" applyBorder="1" applyAlignment="1">
      <alignment horizontal="left"/>
    </xf>
    <xf numFmtId="167" fontId="7" fillId="4" borderId="7" xfId="0" applyNumberFormat="1" applyFont="1" applyFill="1" applyBorder="1" applyAlignment="1">
      <alignment horizontal="right"/>
    </xf>
    <xf numFmtId="167" fontId="26" fillId="4" borderId="0" xfId="0" applyNumberFormat="1" applyFont="1" applyFill="1" applyBorder="1" applyAlignment="1">
      <alignment horizontal="right"/>
    </xf>
    <xf numFmtId="167" fontId="28" fillId="3" borderId="0" xfId="0" applyNumberFormat="1" applyFont="1" applyFill="1" applyBorder="1" applyAlignment="1">
      <alignment horizontal="left" indent="1"/>
    </xf>
    <xf numFmtId="166" fontId="0" fillId="3" borderId="0" xfId="0" applyNumberFormat="1" applyFont="1" applyFill="1" applyAlignment="1">
      <alignment horizontal="left" indent="2"/>
    </xf>
    <xf numFmtId="164" fontId="7" fillId="3" borderId="0" xfId="0" applyNumberFormat="1" applyFont="1" applyFill="1" applyBorder="1" applyAlignment="1">
      <alignment horizontal="left" indent="1"/>
    </xf>
    <xf numFmtId="167" fontId="27" fillId="3" borderId="7" xfId="0" applyNumberFormat="1" applyFont="1" applyFill="1" applyBorder="1" applyAlignment="1">
      <alignment horizontal="left"/>
    </xf>
    <xf numFmtId="167" fontId="27" fillId="4" borderId="7" xfId="0" applyNumberFormat="1" applyFont="1" applyFill="1" applyBorder="1" applyAlignment="1">
      <alignment horizontal="right"/>
    </xf>
    <xf numFmtId="167" fontId="27" fillId="4" borderId="7" xfId="0" applyNumberFormat="1" applyFont="1" applyFill="1" applyBorder="1"/>
    <xf numFmtId="167" fontId="27" fillId="3" borderId="7" xfId="0" applyNumberFormat="1" applyFont="1" applyFill="1" applyBorder="1"/>
    <xf numFmtId="164" fontId="20" fillId="3" borderId="7" xfId="16" applyNumberFormat="1" applyFont="1" applyFill="1" applyBorder="1">
      <alignment/>
      <protection/>
    </xf>
    <xf numFmtId="164" fontId="26" fillId="3" borderId="0" xfId="0" applyNumberFormat="1" applyFont="1" applyFill="1" applyBorder="1" applyAlignment="1">
      <alignment horizontal="left" indent="3"/>
    </xf>
    <xf numFmtId="167" fontId="0" fillId="4" borderId="7" xfId="0" applyNumberFormat="1" applyFont="1" applyFill="1" applyBorder="1" applyAlignment="1">
      <alignment horizontal="right"/>
    </xf>
    <xf numFmtId="164" fontId="0" fillId="3" borderId="9" xfId="0" applyNumberFormat="1" applyFont="1" applyFill="1" applyBorder="1" applyAlignment="1">
      <alignment horizontal="left" indent="2"/>
    </xf>
    <xf numFmtId="164" fontId="25" fillId="3" borderId="9" xfId="0" applyNumberFormat="1" applyFont="1" applyFill="1" applyBorder="1" applyAlignment="1">
      <alignment horizontal="left" indent="5"/>
    </xf>
    <xf numFmtId="167" fontId="26" fillId="3" borderId="0" xfId="0" applyNumberFormat="1" applyFont="1" applyFill="1" applyBorder="1" applyAlignment="1">
      <alignment horizontal="left" indent="4"/>
    </xf>
    <xf numFmtId="0" fontId="31" fillId="4" borderId="0" xfId="0" applyFont="1" applyFill="1" applyBorder="1" applyAlignment="1">
      <alignment horizontal="center"/>
    </xf>
    <xf numFmtId="173" fontId="26" fillId="4" borderId="0" xfId="16" applyNumberFormat="1" applyFont="1" applyFill="1" applyBorder="1">
      <alignment/>
      <protection/>
    </xf>
    <xf numFmtId="167" fontId="23" fillId="4" borderId="0" xfId="16" applyNumberFormat="1" applyFont="1" applyFill="1" applyBorder="1">
      <alignment/>
      <protection/>
    </xf>
    <xf numFmtId="185" fontId="26" fillId="4" borderId="0" xfId="0" applyNumberFormat="1" applyFont="1" applyFill="1" applyBorder="1"/>
    <xf numFmtId="185" fontId="25" fillId="4" borderId="0" xfId="0" applyNumberFormat="1" applyFont="1" applyFill="1" applyBorder="1"/>
    <xf numFmtId="166" fontId="26" fillId="4" borderId="0" xfId="0" applyNumberFormat="1" applyFont="1" applyFill="1" applyBorder="1" applyAlignment="1">
      <alignment horizontal="right"/>
    </xf>
    <xf numFmtId="185" fontId="26" fillId="4" borderId="0" xfId="27" applyNumberFormat="1" applyFont="1" applyFill="1" applyBorder="1">
      <alignment/>
      <protection/>
    </xf>
    <xf numFmtId="44" fontId="26" fillId="4" borderId="0" xfId="27" applyNumberFormat="1" applyFont="1" applyFill="1" applyBorder="1">
      <alignment/>
      <protection/>
    </xf>
    <xf numFmtId="167" fontId="7" fillId="3" borderId="7" xfId="0" applyNumberFormat="1" applyFont="1" applyFill="1" applyBorder="1" applyAlignment="1">
      <alignment horizontal="right"/>
    </xf>
    <xf numFmtId="167" fontId="26" fillId="3" borderId="7" xfId="0" applyNumberFormat="1" applyFont="1" applyFill="1" applyBorder="1" applyAlignment="1">
      <alignment horizontal="right"/>
    </xf>
    <xf numFmtId="167" fontId="26" fillId="3" borderId="0" xfId="0" applyNumberFormat="1" applyFont="1" applyFill="1" applyAlignment="1">
      <alignment horizontal="left"/>
    </xf>
    <xf numFmtId="164" fontId="26" fillId="3" borderId="0" xfId="0" applyNumberFormat="1" applyFont="1" applyFill="1" applyBorder="1" applyAlignment="1">
      <alignment horizontal="left"/>
    </xf>
    <xf numFmtId="167" fontId="25" fillId="3" borderId="0" xfId="0" applyNumberFormat="1" applyFont="1" applyFill="1" applyBorder="1" applyAlignment="1">
      <alignment horizontal="left" indent="1"/>
    </xf>
    <xf numFmtId="167" fontId="26" fillId="4" borderId="7" xfId="0" applyNumberFormat="1" applyFont="1" applyFill="1" applyBorder="1" applyAlignment="1">
      <alignment horizontal="right"/>
    </xf>
    <xf numFmtId="17" fontId="20" fillId="3" borderId="0" xfId="25" applyNumberFormat="1" applyFont="1" applyFill="1" applyBorder="1">
      <alignment/>
      <protection/>
    </xf>
    <xf numFmtId="17" fontId="25" fillId="3" borderId="0" xfId="0" applyNumberFormat="1" applyFont="1" applyFill="1" applyBorder="1"/>
    <xf numFmtId="17" fontId="25" fillId="3" borderId="22" xfId="0" applyNumberFormat="1" applyFont="1" applyFill="1" applyBorder="1"/>
    <xf numFmtId="17" fontId="25" fillId="3" borderId="10" xfId="0" applyNumberFormat="1" applyFont="1" applyFill="1" applyBorder="1"/>
    <xf numFmtId="191" fontId="20" fillId="3" borderId="0" xfId="25" applyNumberFormat="1" applyFont="1" applyFill="1" applyBorder="1">
      <alignment/>
      <protection/>
    </xf>
    <xf numFmtId="191" fontId="25" fillId="3" borderId="0" xfId="0" applyNumberFormat="1" applyFont="1" applyFill="1" applyBorder="1"/>
    <xf numFmtId="191" fontId="25" fillId="3" borderId="10" xfId="0" applyNumberFormat="1" applyFont="1" applyFill="1" applyBorder="1"/>
    <xf numFmtId="186" fontId="20" fillId="3" borderId="0" xfId="25" applyNumberFormat="1" applyFont="1" applyFill="1" applyBorder="1">
      <alignment/>
      <protection/>
    </xf>
    <xf numFmtId="186" fontId="25" fillId="3" borderId="0" xfId="0" applyNumberFormat="1" applyFont="1" applyFill="1" applyBorder="1"/>
    <xf numFmtId="186" fontId="25" fillId="3" borderId="22" xfId="0" applyNumberFormat="1" applyFont="1" applyFill="1" applyBorder="1"/>
    <xf numFmtId="186" fontId="25" fillId="3" borderId="10" xfId="0" applyNumberFormat="1" applyFont="1" applyFill="1" applyBorder="1"/>
    <xf numFmtId="164" fontId="20" fillId="3" borderId="26" xfId="25" applyNumberFormat="1" applyFont="1" applyFill="1" applyBorder="1" applyAlignment="1">
      <alignment horizontal="left" indent="1"/>
      <protection/>
    </xf>
    <xf numFmtId="186" fontId="20" fillId="3" borderId="2" xfId="25" applyNumberFormat="1" applyFont="1" applyFill="1" applyBorder="1">
      <alignment/>
      <protection/>
    </xf>
    <xf numFmtId="186" fontId="25" fillId="3" borderId="2" xfId="0" applyNumberFormat="1" applyFont="1" applyFill="1" applyBorder="1"/>
    <xf numFmtId="186" fontId="25" fillId="3" borderId="27" xfId="0" applyNumberFormat="1" applyFont="1" applyFill="1" applyBorder="1"/>
    <xf numFmtId="186" fontId="25" fillId="3" borderId="28" xfId="0" applyNumberFormat="1" applyFont="1" applyFill="1" applyBorder="1"/>
    <xf numFmtId="191" fontId="0" fillId="4" borderId="0" xfId="0" applyNumberFormat="1" applyFont="1" applyFill="1" applyBorder="1" applyAlignment="1">
      <alignment horizontal="right"/>
    </xf>
    <xf numFmtId="191" fontId="0" fillId="3" borderId="0" xfId="0" applyNumberFormat="1" applyFont="1" applyFill="1" applyBorder="1" applyAlignment="1">
      <alignment horizontal="right"/>
    </xf>
    <xf numFmtId="191" fontId="25" fillId="4" borderId="0" xfId="0" applyNumberFormat="1" applyFont="1" applyFill="1" applyBorder="1"/>
    <xf numFmtId="191" fontId="25" fillId="4" borderId="0" xfId="0" applyNumberFormat="1" applyFont="1" applyFill="1"/>
    <xf numFmtId="186" fontId="0" fillId="4" borderId="0" xfId="0" applyNumberFormat="1" applyFont="1" applyFill="1" applyBorder="1" applyAlignment="1">
      <alignment horizontal="right"/>
    </xf>
    <xf numFmtId="186" fontId="0" fillId="3" borderId="0" xfId="0" applyNumberFormat="1" applyFont="1" applyFill="1" applyBorder="1" applyAlignment="1">
      <alignment horizontal="right"/>
    </xf>
    <xf numFmtId="186" fontId="25" fillId="4" borderId="0" xfId="0" applyNumberFormat="1" applyFont="1" applyFill="1" applyBorder="1"/>
    <xf numFmtId="186" fontId="25" fillId="4" borderId="0" xfId="0" applyNumberFormat="1" applyFont="1" applyFill="1"/>
    <xf numFmtId="166" fontId="22" fillId="5" borderId="0" xfId="0" applyNumberFormat="1" applyFont="1" applyFill="1" applyAlignment="1">
      <alignment horizontal="left"/>
    </xf>
    <xf numFmtId="166" fontId="22" fillId="5" borderId="0" xfId="0" applyNumberFormat="1" applyFont="1" applyFill="1" applyAlignment="1">
      <alignment horizontal="left" indent="3"/>
    </xf>
    <xf numFmtId="166" fontId="22" fillId="5" borderId="0" xfId="0" applyNumberFormat="1" applyFont="1" applyFill="1" applyBorder="1"/>
    <xf numFmtId="192" fontId="25" fillId="3" borderId="0" xfId="0" applyNumberFormat="1" applyFont="1" applyFill="1" applyBorder="1"/>
    <xf numFmtId="192" fontId="25" fillId="3" borderId="0" xfId="0" applyNumberFormat="1" applyFont="1" applyFill="1"/>
    <xf numFmtId="192" fontId="25" fillId="4" borderId="0" xfId="0" applyNumberFormat="1" applyFont="1" applyFill="1"/>
    <xf numFmtId="167" fontId="9" fillId="3" borderId="0" xfId="0" applyNumberFormat="1" applyFont="1" applyFill="1" applyBorder="1"/>
    <xf numFmtId="169" fontId="7" fillId="3" borderId="0" xfId="0" applyNumberFormat="1" applyFont="1" applyFill="1" applyBorder="1"/>
    <xf numFmtId="173" fontId="26" fillId="3" borderId="0" xfId="0" applyNumberFormat="1" applyFont="1" applyFill="1" applyBorder="1"/>
    <xf numFmtId="173" fontId="26" fillId="3" borderId="0" xfId="16" applyNumberFormat="1" applyFont="1" applyFill="1" applyBorder="1">
      <alignment/>
      <protection/>
    </xf>
    <xf numFmtId="44" fontId="7" fillId="3" borderId="0" xfId="0" applyNumberFormat="1" applyFont="1" applyFill="1" applyBorder="1"/>
    <xf numFmtId="167" fontId="9" fillId="4" borderId="0" xfId="0" applyNumberFormat="1" applyFont="1" applyFill="1" applyBorder="1"/>
    <xf numFmtId="169" fontId="7" fillId="4" borderId="0" xfId="0" applyNumberFormat="1" applyFont="1" applyFill="1" applyBorder="1"/>
    <xf numFmtId="192" fontId="25" fillId="4" borderId="0" xfId="0" applyNumberFormat="1" applyFont="1" applyFill="1" applyBorder="1"/>
    <xf numFmtId="44" fontId="7" fillId="4" borderId="0" xfId="0" applyNumberFormat="1" applyFont="1" applyFill="1" applyBorder="1"/>
    <xf numFmtId="193" fontId="7" fillId="3" borderId="0" xfId="0" applyNumberFormat="1" applyFont="1" applyFill="1" applyAlignment="1">
      <alignment horizontal="left"/>
    </xf>
    <xf numFmtId="167" fontId="23" fillId="3" borderId="0" xfId="15" applyNumberFormat="1" applyFont="1" applyFill="1" applyAlignment="1">
      <alignment horizontal="left" indent="2"/>
      <protection/>
    </xf>
    <xf numFmtId="167" fontId="23" fillId="4" borderId="0" xfId="15" applyNumberFormat="1" applyFont="1" applyFill="1" applyBorder="1">
      <alignment/>
      <protection/>
    </xf>
    <xf numFmtId="167" fontId="23" fillId="3" borderId="0" xfId="15" applyNumberFormat="1" applyFont="1" applyFill="1" applyBorder="1">
      <alignment/>
      <protection/>
    </xf>
    <xf numFmtId="164" fontId="28" fillId="3" borderId="7" xfId="0" applyNumberFormat="1" applyFont="1" applyFill="1" applyBorder="1" applyAlignment="1">
      <alignment horizontal="left"/>
    </xf>
    <xf numFmtId="164" fontId="0" fillId="3" borderId="0" xfId="0" applyNumberFormat="1" applyFont="1" applyFill="1"/>
    <xf numFmtId="164" fontId="7" fillId="3" borderId="0" xfId="0" applyNumberFormat="1" applyFont="1" applyFill="1"/>
    <xf numFmtId="1" fontId="26" fillId="4" borderId="0" xfId="0" applyNumberFormat="1" applyFont="1" applyFill="1" applyBorder="1" applyAlignment="1">
      <alignment horizontal="center"/>
    </xf>
    <xf numFmtId="17" fontId="20" fillId="4" borderId="0" xfId="0" applyNumberFormat="1" applyFont="1" applyFill="1" applyBorder="1" applyAlignment="1">
      <alignment horizontal="center"/>
    </xf>
    <xf numFmtId="167" fontId="23" fillId="4" borderId="0" xfId="0" applyNumberFormat="1" applyFont="1" applyFill="1" applyBorder="1" applyAlignment="1">
      <alignment horizontal="center"/>
    </xf>
    <xf numFmtId="167" fontId="21" fillId="4" borderId="0" xfId="0" applyNumberFormat="1" applyFont="1" applyFill="1" applyBorder="1" applyAlignment="1">
      <alignment horizontal="right"/>
    </xf>
    <xf numFmtId="167" fontId="21" fillId="4" borderId="0" xfId="15" applyNumberFormat="1" applyFont="1" applyFill="1" applyBorder="1">
      <alignment/>
      <protection/>
    </xf>
    <xf numFmtId="167" fontId="13" fillId="4" borderId="0" xfId="0" applyNumberFormat="1" applyFont="1" applyFill="1" applyBorder="1"/>
    <xf numFmtId="173" fontId="13" fillId="4" borderId="0" xfId="16" applyNumberFormat="1" applyFont="1" applyFill="1" applyBorder="1">
      <alignment/>
      <protection/>
    </xf>
    <xf numFmtId="44" fontId="26" fillId="4" borderId="0" xfId="0" applyNumberFormat="1" applyFont="1" applyFill="1" applyBorder="1"/>
    <xf numFmtId="179" fontId="23" fillId="4" borderId="0" xfId="0" applyNumberFormat="1" applyFont="1" applyFill="1" applyBorder="1" applyAlignment="1">
      <alignment horizontal="right"/>
    </xf>
    <xf numFmtId="169" fontId="13" fillId="4" borderId="0" xfId="0" applyNumberFormat="1" applyFont="1" applyFill="1" applyBorder="1"/>
    <xf numFmtId="185" fontId="26" fillId="3" borderId="0" xfId="0" applyNumberFormat="1" applyFont="1" applyFill="1" applyAlignment="1">
      <alignment horizontal="right"/>
    </xf>
    <xf numFmtId="185" fontId="25" fillId="3" borderId="0" xfId="0" applyNumberFormat="1" applyFont="1" applyFill="1" applyAlignment="1">
      <alignment horizontal="right"/>
    </xf>
    <xf numFmtId="191" fontId="25" fillId="3" borderId="0" xfId="0" applyNumberFormat="1" applyFont="1" applyFill="1" applyAlignment="1">
      <alignment horizontal="right"/>
    </xf>
    <xf numFmtId="186" fontId="25" fillId="3" borderId="0" xfId="0" applyNumberFormat="1" applyFont="1" applyFill="1" applyAlignment="1">
      <alignment horizontal="right"/>
    </xf>
    <xf numFmtId="0" fontId="0" fillId="0" borderId="0" xfId="0" applyFill="1"/>
    <xf numFmtId="0" fontId="0" fillId="0" borderId="0" xfId="0" applyFont="1" applyFill="1"/>
    <xf numFmtId="164" fontId="0" fillId="0" borderId="0" xfId="0" applyNumberFormat="1" applyFont="1" applyFill="1"/>
    <xf numFmtId="0" fontId="7" fillId="0" borderId="0" xfId="0" applyFont="1" applyFill="1"/>
    <xf numFmtId="164" fontId="7" fillId="0" borderId="0" xfId="0" applyNumberFormat="1" applyFont="1" applyFill="1" applyAlignment="1">
      <alignment horizontal="center"/>
    </xf>
    <xf numFmtId="164" fontId="7" fillId="0" borderId="0" xfId="0" applyNumberFormat="1" applyFont="1" applyFill="1"/>
    <xf numFmtId="167" fontId="19" fillId="0" borderId="0" xfId="0" applyNumberFormat="1" applyFont="1" applyFill="1"/>
    <xf numFmtId="164" fontId="19" fillId="0" borderId="0" xfId="0" applyNumberFormat="1" applyFont="1" applyFill="1"/>
    <xf numFmtId="167" fontId="7" fillId="0" borderId="0" xfId="0" applyNumberFormat="1" applyFont="1" applyFill="1"/>
    <xf numFmtId="167" fontId="23" fillId="0" borderId="0" xfId="0" applyNumberFormat="1" applyFont="1" applyFill="1"/>
    <xf numFmtId="166" fontId="0" fillId="0" borderId="0" xfId="0" applyNumberFormat="1" applyFont="1" applyFill="1"/>
    <xf numFmtId="190" fontId="7" fillId="0" borderId="0" xfId="0" applyNumberFormat="1" applyFont="1" applyFill="1"/>
    <xf numFmtId="190" fontId="19" fillId="0" borderId="0" xfId="0" applyNumberFormat="1" applyFont="1" applyFill="1"/>
    <xf numFmtId="167" fontId="0" fillId="0" borderId="0" xfId="0" applyNumberFormat="1" applyFont="1" applyFill="1"/>
    <xf numFmtId="164" fontId="23" fillId="0" borderId="0" xfId="0" applyNumberFormat="1" applyFont="1" applyFill="1"/>
    <xf numFmtId="167" fontId="34" fillId="0" borderId="0" xfId="0" applyNumberFormat="1" applyFont="1" applyFill="1"/>
    <xf numFmtId="167" fontId="28" fillId="0" borderId="0" xfId="0" applyNumberFormat="1" applyFont="1" applyFill="1"/>
    <xf numFmtId="167" fontId="27" fillId="0" borderId="0" xfId="0" applyNumberFormat="1" applyFont="1" applyFill="1"/>
    <xf numFmtId="179" fontId="0" fillId="0" borderId="0" xfId="0" applyNumberFormat="1" applyFont="1" applyFill="1"/>
    <xf numFmtId="179" fontId="7" fillId="0" borderId="0" xfId="0" applyNumberFormat="1" applyFont="1" applyFill="1"/>
    <xf numFmtId="164" fontId="0" fillId="0" borderId="0" xfId="0" applyNumberFormat="1" applyFont="1" applyFill="1" applyAlignment="1">
      <alignment horizontal="left" indent="1"/>
    </xf>
    <xf numFmtId="167" fontId="42" fillId="0" borderId="0" xfId="0" applyNumberFormat="1" applyFont="1" applyFill="1"/>
    <xf numFmtId="167" fontId="19" fillId="0" borderId="0" xfId="15" applyNumberFormat="1" applyFont="1" applyFill="1">
      <alignment/>
      <protection/>
    </xf>
    <xf numFmtId="164" fontId="28" fillId="0" borderId="0" xfId="0" applyNumberFormat="1" applyFont="1" applyFill="1"/>
    <xf numFmtId="169" fontId="7" fillId="0" borderId="0" xfId="0" applyNumberFormat="1" applyFont="1" applyFill="1"/>
    <xf numFmtId="169" fontId="23" fillId="0" borderId="0" xfId="0" applyNumberFormat="1" applyFont="1" applyFill="1"/>
    <xf numFmtId="173" fontId="7" fillId="0" borderId="0" xfId="0" applyNumberFormat="1" applyFont="1" applyFill="1"/>
    <xf numFmtId="44" fontId="7" fillId="0" borderId="0" xfId="0" applyNumberFormat="1" applyFont="1" applyFill="1"/>
    <xf numFmtId="179" fontId="23" fillId="0" borderId="0" xfId="0" applyNumberFormat="1" applyFont="1" applyFill="1"/>
    <xf numFmtId="185" fontId="7" fillId="0" borderId="0" xfId="0" applyNumberFormat="1" applyFont="1" applyFill="1"/>
    <xf numFmtId="170" fontId="0" fillId="0" borderId="0" xfId="0" applyNumberFormat="1" applyFont="1" applyFill="1"/>
    <xf numFmtId="185" fontId="0" fillId="0" borderId="0" xfId="0" applyNumberFormat="1" applyFont="1" applyFill="1"/>
    <xf numFmtId="186" fontId="0" fillId="0" borderId="0" xfId="0" applyNumberFormat="1" applyFont="1" applyFill="1"/>
    <xf numFmtId="164" fontId="27" fillId="0" borderId="0" xfId="0" applyNumberFormat="1" applyFont="1" applyFill="1"/>
    <xf numFmtId="166" fontId="7" fillId="0" borderId="0" xfId="0" applyNumberFormat="1" applyFont="1" applyFill="1"/>
    <xf numFmtId="164" fontId="0" fillId="0" borderId="0" xfId="0" applyNumberFormat="1" applyFill="1"/>
    <xf numFmtId="185" fontId="0" fillId="0" borderId="0" xfId="0" applyNumberFormat="1" applyFill="1"/>
    <xf numFmtId="166" fontId="0" fillId="0" borderId="0" xfId="0" applyNumberFormat="1" applyFill="1"/>
    <xf numFmtId="0" fontId="0" fillId="0" borderId="0" xfId="27" applyFill="1">
      <alignment/>
      <protection/>
    </xf>
    <xf numFmtId="164" fontId="0" fillId="0" borderId="0" xfId="27" applyNumberFormat="1" applyFill="1">
      <alignment/>
      <protection/>
    </xf>
    <xf numFmtId="169" fontId="7" fillId="0" borderId="0" xfId="27" applyNumberFormat="1" applyFont="1" applyFill="1">
      <alignment/>
      <protection/>
    </xf>
    <xf numFmtId="164" fontId="7" fillId="0" borderId="0" xfId="27" applyNumberFormat="1" applyFont="1" applyFill="1">
      <alignment/>
      <protection/>
    </xf>
    <xf numFmtId="166" fontId="7" fillId="0" borderId="0" xfId="27" applyNumberFormat="1" applyFont="1" applyFill="1">
      <alignment/>
      <protection/>
    </xf>
    <xf numFmtId="164" fontId="0" fillId="0" borderId="0" xfId="27" applyNumberFormat="1" applyFont="1" applyFill="1">
      <alignment/>
      <protection/>
    </xf>
    <xf numFmtId="167" fontId="0" fillId="0" borderId="0" xfId="27" applyNumberFormat="1" applyFill="1">
      <alignment/>
      <protection/>
    </xf>
    <xf numFmtId="167" fontId="7" fillId="0" borderId="0" xfId="27" applyNumberFormat="1" applyFont="1" applyFill="1">
      <alignment/>
      <protection/>
    </xf>
    <xf numFmtId="44" fontId="7" fillId="0" borderId="0" xfId="27" applyNumberFormat="1" applyFont="1" applyFill="1">
      <alignment/>
      <protection/>
    </xf>
    <xf numFmtId="179" fontId="0" fillId="0" borderId="0" xfId="27" applyNumberFormat="1" applyFill="1">
      <alignment/>
      <protection/>
    </xf>
    <xf numFmtId="170" fontId="0" fillId="0" borderId="0" xfId="27" applyNumberFormat="1" applyFill="1">
      <alignment/>
      <protection/>
    </xf>
    <xf numFmtId="166" fontId="25" fillId="3" borderId="0" xfId="0" applyNumberFormat="1" applyFont="1" applyFill="1" applyAlignment="1">
      <alignment horizontal="left" indent="4"/>
    </xf>
    <xf numFmtId="164" fontId="20" fillId="3" borderId="0" xfId="25" applyNumberFormat="1" applyFont="1" applyFill="1" applyBorder="1" applyAlignment="1">
      <alignment horizontal="left" indent="1"/>
      <protection/>
    </xf>
    <xf numFmtId="164" fontId="31" fillId="3" borderId="6" xfId="25" applyNumberFormat="1" applyFont="1" applyFill="1" applyBorder="1" applyAlignment="1">
      <alignment horizontal="left"/>
      <protection/>
    </xf>
    <xf numFmtId="164" fontId="20" fillId="3" borderId="4" xfId="25" applyNumberFormat="1" applyFont="1" applyFill="1" applyBorder="1" applyAlignment="1">
      <alignment horizontal="left" indent="1"/>
      <protection/>
    </xf>
    <xf numFmtId="185" fontId="26" fillId="3" borderId="0" xfId="0" applyNumberFormat="1" applyFont="1" applyFill="1" applyBorder="1" applyAlignment="1">
      <alignment horizontal="right"/>
    </xf>
    <xf numFmtId="185" fontId="25" fillId="3" borderId="0" xfId="0" applyNumberFormat="1" applyFont="1" applyFill="1" applyBorder="1" applyAlignment="1">
      <alignment horizontal="right"/>
    </xf>
    <xf numFmtId="191" fontId="25" fillId="3" borderId="0" xfId="0" applyNumberFormat="1" applyFont="1" applyFill="1" applyBorder="1" applyAlignment="1">
      <alignment horizontal="right"/>
    </xf>
    <xf numFmtId="186" fontId="25" fillId="3" borderId="0" xfId="0" applyNumberFormat="1" applyFont="1" applyFill="1" applyBorder="1" applyAlignment="1">
      <alignment horizontal="right"/>
    </xf>
    <xf numFmtId="164" fontId="20" fillId="3" borderId="0" xfId="16" applyNumberFormat="1" applyFont="1" applyFill="1" applyAlignment="1">
      <alignment horizontal="right"/>
      <protection/>
    </xf>
    <xf numFmtId="164" fontId="25" fillId="3" borderId="0" xfId="0" applyNumberFormat="1" applyFont="1" applyFill="1" applyBorder="1" applyAlignment="1">
      <alignment horizontal="right" indent="3"/>
    </xf>
    <xf numFmtId="166" fontId="25" fillId="3" borderId="0" xfId="0" applyNumberFormat="1" applyFont="1" applyFill="1" applyBorder="1" applyAlignment="1">
      <alignment horizontal="left"/>
    </xf>
    <xf numFmtId="164" fontId="23" fillId="3" borderId="0" xfId="0" applyNumberFormat="1" applyFont="1" applyFill="1" applyBorder="1" applyAlignment="1">
      <alignment horizontal="left" indent="3"/>
    </xf>
    <xf numFmtId="167" fontId="19" fillId="4" borderId="0" xfId="0" applyNumberFormat="1" applyFont="1" applyFill="1" applyBorder="1"/>
    <xf numFmtId="167" fontId="19" fillId="3" borderId="0" xfId="0" applyNumberFormat="1" applyFont="1" applyFill="1" applyBorder="1"/>
    <xf numFmtId="167" fontId="23" fillId="3" borderId="0" xfId="0" applyNumberFormat="1" applyFont="1" applyFill="1" applyBorder="1"/>
    <xf numFmtId="167" fontId="23" fillId="4" borderId="0" xfId="0" applyNumberFormat="1" applyFont="1" applyFill="1" applyBorder="1"/>
    <xf numFmtId="167" fontId="21" fillId="3" borderId="0" xfId="0" applyNumberFormat="1" applyFont="1" applyFill="1" applyBorder="1"/>
    <xf numFmtId="167" fontId="21" fillId="4" borderId="0" xfId="0" applyNumberFormat="1" applyFont="1" applyFill="1" applyBorder="1"/>
    <xf numFmtId="164" fontId="19" fillId="3" borderId="2" xfId="0" applyNumberFormat="1" applyFont="1" applyFill="1" applyBorder="1" applyAlignment="1">
      <alignment horizontal="left" indent="1"/>
    </xf>
    <xf numFmtId="164" fontId="23" fillId="3" borderId="2" xfId="0" applyNumberFormat="1" applyFont="1" applyFill="1" applyBorder="1" applyAlignment="1">
      <alignment horizontal="left" indent="3"/>
    </xf>
    <xf numFmtId="167" fontId="23" fillId="3" borderId="2" xfId="0" applyNumberFormat="1" applyFont="1" applyFill="1" applyBorder="1"/>
    <xf numFmtId="167" fontId="23" fillId="4" borderId="2" xfId="0" applyNumberFormat="1" applyFont="1" applyFill="1" applyBorder="1"/>
    <xf numFmtId="164" fontId="19" fillId="3" borderId="0" xfId="0" applyNumberFormat="1" applyFont="1" applyFill="1" applyBorder="1"/>
    <xf numFmtId="166" fontId="23" fillId="3" borderId="0" xfId="0" applyNumberFormat="1" applyFont="1" applyFill="1" applyBorder="1" applyAlignment="1">
      <alignment horizontal="left" indent="1"/>
    </xf>
    <xf numFmtId="194" fontId="23" fillId="4" borderId="0" xfId="0" applyNumberFormat="1" applyFont="1" applyFill="1" applyBorder="1"/>
    <xf numFmtId="194" fontId="23" fillId="3" borderId="0" xfId="0" applyNumberFormat="1" applyFont="1" applyFill="1" applyBorder="1"/>
    <xf numFmtId="194" fontId="21" fillId="3" borderId="0" xfId="0" applyNumberFormat="1" applyFont="1" applyFill="1" applyBorder="1"/>
    <xf numFmtId="194" fontId="21" fillId="4" borderId="0" xfId="0" applyNumberFormat="1" applyFont="1" applyFill="1" applyBorder="1"/>
    <xf numFmtId="164" fontId="25" fillId="3" borderId="0" xfId="27" applyNumberFormat="1" applyFont="1" applyFill="1" applyBorder="1" applyAlignment="1">
      <alignment horizontal="left"/>
      <protection/>
    </xf>
    <xf numFmtId="164" fontId="25" fillId="3" borderId="2" xfId="27" applyNumberFormat="1" applyFont="1" applyFill="1" applyBorder="1" applyAlignment="1">
      <alignment horizontal="left" indent="1"/>
      <protection/>
    </xf>
    <xf numFmtId="185" fontId="25" fillId="3" borderId="2" xfId="27" applyNumberFormat="1" applyFont="1" applyFill="1" applyBorder="1" applyAlignment="1">
      <alignment horizontal="left"/>
      <protection/>
    </xf>
    <xf numFmtId="166" fontId="25" fillId="3" borderId="7" xfId="0" applyNumberFormat="1" applyFont="1" applyFill="1" applyBorder="1"/>
    <xf numFmtId="166" fontId="20" fillId="3" borderId="7" xfId="25" applyNumberFormat="1" applyFont="1" applyFill="1" applyBorder="1">
      <alignment/>
      <protection/>
    </xf>
    <xf numFmtId="166" fontId="25" fillId="3" borderId="29" xfId="0" applyNumberFormat="1" applyFont="1" applyFill="1" applyBorder="1"/>
    <xf numFmtId="166" fontId="25" fillId="3" borderId="6" xfId="0" applyNumberFormat="1" applyFont="1" applyFill="1" applyBorder="1"/>
    <xf numFmtId="166" fontId="20" fillId="3" borderId="2" xfId="25" applyNumberFormat="1" applyFont="1" applyFill="1" applyBorder="1">
      <alignment/>
      <protection/>
    </xf>
    <xf numFmtId="166" fontId="25" fillId="3" borderId="27" xfId="0" applyNumberFormat="1" applyFont="1" applyFill="1" applyBorder="1"/>
    <xf numFmtId="166" fontId="25" fillId="3" borderId="1" xfId="0" applyNumberFormat="1" applyFont="1" applyFill="1" applyBorder="1"/>
    <xf numFmtId="164" fontId="31" fillId="3" borderId="7" xfId="25" applyNumberFormat="1" applyFont="1" applyFill="1" applyBorder="1" applyAlignment="1">
      <alignment horizontal="left"/>
      <protection/>
    </xf>
    <xf numFmtId="164" fontId="31" fillId="3" borderId="0" xfId="25" applyNumberFormat="1" applyFont="1" applyFill="1" applyBorder="1" applyAlignment="1">
      <alignment horizontal="left"/>
      <protection/>
    </xf>
    <xf numFmtId="164" fontId="31" fillId="3" borderId="2" xfId="25" applyNumberFormat="1" applyFont="1" applyFill="1" applyBorder="1" applyAlignment="1">
      <alignment horizontal="left"/>
      <protection/>
    </xf>
    <xf numFmtId="195" fontId="31" fillId="3" borderId="0" xfId="25" applyNumberFormat="1" applyFont="1" applyFill="1" applyBorder="1" applyAlignment="1">
      <alignment horizontal="right"/>
      <protection/>
    </xf>
    <xf numFmtId="195" fontId="26" fillId="3" borderId="0" xfId="0" applyNumberFormat="1" applyFont="1" applyFill="1" applyBorder="1" applyAlignment="1">
      <alignment horizontal="right"/>
    </xf>
    <xf numFmtId="195" fontId="26" fillId="3" borderId="22" xfId="0" applyNumberFormat="1" applyFont="1" applyFill="1" applyBorder="1" applyAlignment="1">
      <alignment horizontal="right"/>
    </xf>
    <xf numFmtId="195" fontId="26" fillId="3" borderId="4" xfId="0" applyNumberFormat="1" applyFont="1" applyFill="1" applyBorder="1" applyAlignment="1">
      <alignment horizontal="right"/>
    </xf>
    <xf numFmtId="0" fontId="31" fillId="3" borderId="0" xfId="25" applyNumberFormat="1" applyFont="1" applyFill="1" applyBorder="1" applyAlignment="1">
      <alignment horizontal="right"/>
      <protection/>
    </xf>
    <xf numFmtId="0" fontId="26" fillId="3" borderId="0" xfId="0" applyNumberFormat="1" applyFont="1" applyFill="1" applyBorder="1" applyAlignment="1">
      <alignment horizontal="right"/>
    </xf>
    <xf numFmtId="0" fontId="26" fillId="3" borderId="22" xfId="0" applyNumberFormat="1" applyFont="1" applyFill="1" applyBorder="1" applyAlignment="1">
      <alignment horizontal="right"/>
    </xf>
    <xf numFmtId="0" fontId="26" fillId="3" borderId="4" xfId="0" applyNumberFormat="1" applyFont="1" applyFill="1" applyBorder="1" applyAlignment="1">
      <alignment horizontal="right"/>
    </xf>
    <xf numFmtId="0" fontId="2" fillId="3" borderId="0" xfId="26" applyFill="1">
      <alignment/>
      <protection/>
    </xf>
    <xf numFmtId="0" fontId="12" fillId="3" borderId="0" xfId="26" applyFont="1" applyFill="1" applyAlignment="1">
      <alignment vertical="center"/>
      <protection/>
    </xf>
    <xf numFmtId="0" fontId="17" fillId="3" borderId="0" xfId="26" applyFont="1" applyFill="1" applyAlignment="1">
      <alignment vertical="center"/>
      <protection/>
    </xf>
    <xf numFmtId="0" fontId="2" fillId="3" borderId="0" xfId="26" applyFill="1" applyAlignment="1">
      <alignment vertical="center"/>
      <protection/>
    </xf>
    <xf numFmtId="0" fontId="17" fillId="3" borderId="0" xfId="26" applyFont="1" applyFill="1" applyAlignment="1">
      <alignment horizontal="center" vertical="center"/>
      <protection/>
    </xf>
    <xf numFmtId="0" fontId="12" fillId="3" borderId="0" xfId="26" applyFont="1" applyFill="1">
      <alignment/>
      <protection/>
    </xf>
    <xf numFmtId="14" fontId="12" fillId="3" borderId="0" xfId="26" applyNumberFormat="1" applyFont="1" applyFill="1" applyAlignment="1">
      <alignment horizontal="center" vertical="center"/>
      <protection/>
    </xf>
    <xf numFmtId="0" fontId="12" fillId="3" borderId="0" xfId="26" applyFont="1" applyFill="1" applyAlignment="1">
      <alignment horizontal="center"/>
      <protection/>
    </xf>
    <xf numFmtId="0" fontId="16" fillId="3" borderId="0" xfId="26" applyFont="1" applyFill="1">
      <alignment/>
      <protection/>
    </xf>
    <xf numFmtId="0" fontId="15" fillId="3" borderId="0" xfId="26" applyFont="1" applyFill="1">
      <alignment/>
      <protection/>
    </xf>
    <xf numFmtId="0" fontId="2" fillId="3" borderId="0" xfId="26" applyFont="1" applyFill="1" applyAlignment="1">
      <alignment vertical="center"/>
      <protection/>
    </xf>
    <xf numFmtId="0" fontId="30" fillId="3" borderId="0" xfId="26" applyFont="1" applyFill="1" applyAlignment="1">
      <alignment horizontal="center"/>
      <protection/>
    </xf>
    <xf numFmtId="1" fontId="15" fillId="3" borderId="0" xfId="26" applyNumberFormat="1" applyFont="1" applyFill="1" applyAlignment="1">
      <alignment horizontal="center"/>
      <protection/>
    </xf>
    <xf numFmtId="0" fontId="16" fillId="3" borderId="0" xfId="26" applyFont="1" applyFill="1" quotePrefix="1">
      <alignment/>
      <protection/>
    </xf>
    <xf numFmtId="0" fontId="17" fillId="3" borderId="0" xfId="26" applyFont="1" applyFill="1">
      <alignment/>
      <protection/>
    </xf>
    <xf numFmtId="189" fontId="15" fillId="3" borderId="0" xfId="26" applyNumberFormat="1" applyFont="1" applyFill="1">
      <alignment/>
      <protection/>
    </xf>
    <xf numFmtId="187" fontId="17" fillId="3" borderId="0" xfId="26" applyNumberFormat="1" applyFont="1" applyFill="1" applyAlignment="1">
      <alignment horizontal="center" vertical="center"/>
      <protection/>
    </xf>
    <xf numFmtId="181" fontId="3" fillId="3" borderId="0" xfId="26" applyNumberFormat="1" applyFont="1" applyFill="1" applyAlignment="1">
      <alignment horizontal="right"/>
      <protection/>
    </xf>
    <xf numFmtId="182" fontId="3" fillId="3" borderId="0" xfId="26" applyNumberFormat="1" applyFont="1" applyFill="1" applyAlignment="1">
      <alignment horizontal="right"/>
      <protection/>
    </xf>
    <xf numFmtId="14" fontId="8" fillId="3" borderId="30" xfId="26" applyNumberFormat="1" applyFont="1" applyFill="1" applyBorder="1" applyAlignment="1">
      <alignment horizontal="center"/>
      <protection/>
    </xf>
    <xf numFmtId="0" fontId="8" fillId="3" borderId="30" xfId="26" applyFont="1" applyFill="1" applyBorder="1" applyAlignment="1">
      <alignment horizontal="center"/>
      <protection/>
    </xf>
    <xf numFmtId="0" fontId="2" fillId="3" borderId="30" xfId="26" applyFont="1" applyFill="1" applyBorder="1" applyAlignment="1">
      <alignment horizontal="center"/>
      <protection/>
    </xf>
    <xf numFmtId="0" fontId="8" fillId="3" borderId="30" xfId="26" applyFont="1" applyFill="1" applyBorder="1" applyAlignment="1">
      <alignment horizontal="left"/>
      <protection/>
    </xf>
    <xf numFmtId="0" fontId="4" fillId="3" borderId="21" xfId="23" applyFill="1" applyBorder="1">
      <alignment/>
      <protection/>
    </xf>
    <xf numFmtId="0" fontId="4" fillId="3" borderId="30" xfId="23" applyFill="1" applyBorder="1">
      <alignment/>
      <protection/>
    </xf>
    <xf numFmtId="0" fontId="8" fillId="3" borderId="31" xfId="26" applyFont="1" applyFill="1" applyBorder="1" applyAlignment="1">
      <alignment horizontal="left"/>
      <protection/>
    </xf>
    <xf numFmtId="0" fontId="4" fillId="3" borderId="32" xfId="23" applyFill="1" applyBorder="1">
      <alignment/>
      <protection/>
    </xf>
    <xf numFmtId="14" fontId="8" fillId="3" borderId="33" xfId="26" applyNumberFormat="1" applyFont="1" applyFill="1" applyBorder="1" applyAlignment="1">
      <alignment horizontal="center"/>
      <protection/>
    </xf>
    <xf numFmtId="0" fontId="8" fillId="3" borderId="32" xfId="26" applyFont="1" applyFill="1" applyBorder="1" applyAlignment="1">
      <alignment horizontal="center"/>
      <protection/>
    </xf>
    <xf numFmtId="0" fontId="2" fillId="3" borderId="32" xfId="26" applyFont="1" applyFill="1" applyBorder="1" applyAlignment="1">
      <alignment horizontal="center"/>
      <protection/>
    </xf>
    <xf numFmtId="0" fontId="8" fillId="3" borderId="32" xfId="26" applyFont="1" applyFill="1" applyBorder="1" applyAlignment="1">
      <alignment horizontal="left"/>
      <protection/>
    </xf>
    <xf numFmtId="0" fontId="4" fillId="3" borderId="34" xfId="23" applyFill="1" applyBorder="1" applyAlignment="1">
      <alignment horizontal="left"/>
      <protection/>
    </xf>
    <xf numFmtId="0" fontId="4" fillId="3" borderId="35" xfId="23" applyFill="1" applyBorder="1">
      <alignment/>
      <protection/>
    </xf>
    <xf numFmtId="14" fontId="8" fillId="3" borderId="21" xfId="26" applyNumberFormat="1" applyFont="1" applyFill="1" applyBorder="1" applyAlignment="1">
      <alignment horizontal="center"/>
      <protection/>
    </xf>
    <xf numFmtId="0" fontId="8" fillId="3" borderId="21" xfId="26" applyFont="1" applyFill="1" applyBorder="1" applyAlignment="1">
      <alignment horizontal="center"/>
      <protection/>
    </xf>
    <xf numFmtId="0" fontId="2" fillId="3" borderId="21" xfId="26" applyFont="1" applyFill="1" applyBorder="1" applyAlignment="1">
      <alignment horizontal="center"/>
      <protection/>
    </xf>
    <xf numFmtId="0" fontId="8" fillId="3" borderId="21" xfId="26" applyFont="1" applyFill="1" applyBorder="1" applyAlignment="1">
      <alignment horizontal="left"/>
      <protection/>
    </xf>
    <xf numFmtId="0" fontId="4" fillId="3" borderId="21" xfId="23" applyFill="1" applyBorder="1" applyAlignment="1">
      <alignment horizontal="left"/>
      <protection/>
    </xf>
    <xf numFmtId="0" fontId="4" fillId="3" borderId="30" xfId="23" applyFill="1" applyBorder="1" applyAlignment="1">
      <alignment horizontal="left"/>
      <protection/>
    </xf>
    <xf numFmtId="14" fontId="12" fillId="6" borderId="0" xfId="26" applyNumberFormat="1" applyFont="1" applyFill="1" applyAlignment="1">
      <alignment horizontal="center" vertical="center"/>
      <protection/>
    </xf>
    <xf numFmtId="0" fontId="18" fillId="6" borderId="0" xfId="26" applyFont="1" applyFill="1" applyAlignment="1">
      <alignment horizontal="center" vertical="center"/>
      <protection/>
    </xf>
    <xf numFmtId="1" fontId="43" fillId="7" borderId="0" xfId="26" applyNumberFormat="1" applyFont="1" applyFill="1" applyAlignment="1">
      <alignment horizontal="center" vertical="center"/>
      <protection/>
    </xf>
    <xf numFmtId="169" fontId="43" fillId="7" borderId="0" xfId="16" applyNumberFormat="1" applyFont="1" applyFill="1" applyAlignment="1">
      <alignment horizontal="center" vertical="center"/>
      <protection/>
    </xf>
    <xf numFmtId="0" fontId="31" fillId="3" borderId="30" xfId="26" applyFont="1" applyFill="1" applyBorder="1" applyAlignment="1">
      <alignment horizontal="center"/>
      <protection/>
    </xf>
    <xf numFmtId="0" fontId="31" fillId="3" borderId="17" xfId="26" applyFont="1" applyFill="1" applyBorder="1" applyAlignment="1">
      <alignment horizontal="left"/>
      <protection/>
    </xf>
    <xf numFmtId="1" fontId="7" fillId="3" borderId="22" xfId="0" applyNumberFormat="1" applyFont="1" applyFill="1" applyBorder="1" applyAlignment="1">
      <alignment horizontal="center"/>
    </xf>
    <xf numFmtId="0" fontId="31" fillId="3" borderId="22" xfId="0" applyFont="1" applyFill="1" applyBorder="1" applyAlignment="1">
      <alignment horizontal="center"/>
    </xf>
    <xf numFmtId="167" fontId="23" fillId="3" borderId="22" xfId="0" applyNumberFormat="1" applyFont="1" applyFill="1" applyBorder="1"/>
    <xf numFmtId="167" fontId="19" fillId="3" borderId="22" xfId="0" applyNumberFormat="1" applyFont="1" applyFill="1" applyBorder="1"/>
    <xf numFmtId="167" fontId="7" fillId="3" borderId="22" xfId="0" applyNumberFormat="1" applyFont="1" applyFill="1" applyBorder="1"/>
    <xf numFmtId="190" fontId="7" fillId="3" borderId="22" xfId="0" applyNumberFormat="1" applyFont="1" applyFill="1" applyBorder="1" applyAlignment="1">
      <alignment horizontal="right"/>
    </xf>
    <xf numFmtId="169" fontId="23" fillId="3" borderId="22" xfId="0" applyNumberFormat="1" applyFont="1" applyFill="1" applyBorder="1" applyAlignment="1">
      <alignment horizontal="right"/>
    </xf>
    <xf numFmtId="167" fontId="25" fillId="3" borderId="22" xfId="0" applyNumberFormat="1" applyFont="1" applyFill="1" applyBorder="1"/>
    <xf numFmtId="190" fontId="7" fillId="3" borderId="22" xfId="0" applyNumberFormat="1" applyFont="1" applyFill="1" applyBorder="1"/>
    <xf numFmtId="167" fontId="0" fillId="3" borderId="22" xfId="0" applyNumberFormat="1" applyFont="1" applyFill="1" applyBorder="1"/>
    <xf numFmtId="167" fontId="7" fillId="3" borderId="29" xfId="0" applyNumberFormat="1" applyFont="1" applyFill="1" applyBorder="1"/>
    <xf numFmtId="167" fontId="0" fillId="3" borderId="29" xfId="0" applyNumberFormat="1" applyFont="1" applyFill="1" applyBorder="1"/>
    <xf numFmtId="167" fontId="25" fillId="3" borderId="27" xfId="0" applyNumberFormat="1" applyFont="1" applyFill="1" applyBorder="1"/>
    <xf numFmtId="167" fontId="26" fillId="3" borderId="22" xfId="0" applyNumberFormat="1" applyFont="1" applyFill="1" applyBorder="1"/>
    <xf numFmtId="167" fontId="28" fillId="3" borderId="22" xfId="0" applyNumberFormat="1" applyFont="1" applyFill="1" applyBorder="1"/>
    <xf numFmtId="167" fontId="28" fillId="3" borderId="29" xfId="0" applyNumberFormat="1" applyFont="1" applyFill="1" applyBorder="1"/>
    <xf numFmtId="167" fontId="0" fillId="3" borderId="27" xfId="0" applyNumberFormat="1" applyFont="1" applyFill="1" applyBorder="1"/>
    <xf numFmtId="167" fontId="27" fillId="3" borderId="22" xfId="0" applyNumberFormat="1" applyFont="1" applyFill="1" applyBorder="1"/>
    <xf numFmtId="167" fontId="23" fillId="3" borderId="22" xfId="0" applyNumberFormat="1" applyFont="1" applyFill="1" applyBorder="1" applyAlignment="1">
      <alignment horizontal="right"/>
    </xf>
    <xf numFmtId="179" fontId="25" fillId="3" borderId="22" xfId="0" applyNumberFormat="1" applyFont="1" applyFill="1" applyBorder="1"/>
    <xf numFmtId="179" fontId="25" fillId="3" borderId="27" xfId="0" applyNumberFormat="1" applyFont="1" applyFill="1" applyBorder="1"/>
    <xf numFmtId="179" fontId="26" fillId="3" borderId="22" xfId="0" applyNumberFormat="1" applyFont="1" applyFill="1" applyBorder="1"/>
    <xf numFmtId="167" fontId="23" fillId="3" borderId="22" xfId="15" applyNumberFormat="1" applyFont="1" applyFill="1" applyBorder="1">
      <alignment/>
      <protection/>
    </xf>
    <xf numFmtId="167" fontId="26" fillId="3" borderId="29" xfId="0" applyNumberFormat="1" applyFont="1" applyFill="1" applyBorder="1"/>
    <xf numFmtId="167" fontId="19" fillId="3" borderId="22" xfId="0" applyNumberFormat="1" applyFont="1" applyFill="1" applyBorder="1" applyAlignment="1">
      <alignment horizontal="right"/>
    </xf>
    <xf numFmtId="166" fontId="0" fillId="3" borderId="22" xfId="0" applyNumberFormat="1" applyFont="1" applyFill="1" applyBorder="1"/>
    <xf numFmtId="167" fontId="0" fillId="3" borderId="22" xfId="0" applyNumberFormat="1" applyFont="1" applyFill="1" applyBorder="1" applyAlignment="1">
      <alignment horizontal="right"/>
    </xf>
    <xf numFmtId="167" fontId="25" fillId="3" borderId="22" xfId="0" applyNumberFormat="1" applyFont="1" applyFill="1" applyBorder="1" applyAlignment="1">
      <alignment horizontal="right"/>
    </xf>
    <xf numFmtId="167" fontId="23" fillId="3" borderId="27" xfId="0" applyNumberFormat="1" applyFont="1" applyFill="1" applyBorder="1"/>
    <xf numFmtId="192" fontId="25" fillId="3" borderId="22" xfId="0" applyNumberFormat="1" applyFont="1" applyFill="1" applyBorder="1"/>
    <xf numFmtId="169" fontId="26" fillId="3" borderId="22" xfId="16" applyNumberFormat="1" applyFont="1" applyFill="1" applyBorder="1">
      <alignment/>
      <protection/>
    </xf>
    <xf numFmtId="167" fontId="23" fillId="3" borderId="22" xfId="16" applyNumberFormat="1" applyFont="1" applyFill="1" applyBorder="1">
      <alignment/>
      <protection/>
    </xf>
    <xf numFmtId="179" fontId="7" fillId="3" borderId="22" xfId="0" applyNumberFormat="1" applyFont="1" applyFill="1" applyBorder="1"/>
    <xf numFmtId="179" fontId="23" fillId="3" borderId="22" xfId="0" applyNumberFormat="1" applyFont="1" applyFill="1" applyBorder="1"/>
    <xf numFmtId="0" fontId="25" fillId="3" borderId="22" xfId="0" applyNumberFormat="1" applyFont="1" applyFill="1" applyBorder="1"/>
    <xf numFmtId="185" fontId="26" fillId="3" borderId="22" xfId="0" applyNumberFormat="1" applyFont="1" applyFill="1" applyBorder="1" applyAlignment="1">
      <alignment horizontal="right"/>
    </xf>
    <xf numFmtId="170" fontId="25" fillId="3" borderId="22" xfId="0" applyNumberFormat="1" applyFont="1" applyFill="1" applyBorder="1"/>
    <xf numFmtId="185" fontId="25" fillId="3" borderId="22" xfId="0" applyNumberFormat="1" applyFont="1" applyFill="1" applyBorder="1" applyAlignment="1">
      <alignment horizontal="right"/>
    </xf>
    <xf numFmtId="191" fontId="25" fillId="3" borderId="22" xfId="0" applyNumberFormat="1" applyFont="1" applyFill="1" applyBorder="1" applyAlignment="1">
      <alignment horizontal="right"/>
    </xf>
    <xf numFmtId="186" fontId="25" fillId="3" borderId="22" xfId="0" applyNumberFormat="1" applyFont="1" applyFill="1" applyBorder="1" applyAlignment="1">
      <alignment horizontal="right"/>
    </xf>
    <xf numFmtId="17" fontId="35" fillId="3" borderId="22" xfId="27" applyNumberFormat="1" applyFont="1" applyFill="1" applyBorder="1" applyAlignment="1">
      <alignment horizontal="center"/>
      <protection/>
    </xf>
    <xf numFmtId="164" fontId="31" fillId="3" borderId="22" xfId="27" applyNumberFormat="1" applyFont="1" applyFill="1" applyBorder="1" applyAlignment="1">
      <alignment horizontal="center"/>
      <protection/>
    </xf>
    <xf numFmtId="185" fontId="26" fillId="3" borderId="22" xfId="27" applyNumberFormat="1" applyFont="1" applyFill="1" applyBorder="1" applyAlignment="1">
      <alignment horizontal="right"/>
      <protection/>
    </xf>
    <xf numFmtId="167" fontId="25" fillId="3" borderId="22" xfId="27" applyNumberFormat="1" applyFont="1" applyFill="1" applyBorder="1">
      <alignment/>
      <protection/>
    </xf>
    <xf numFmtId="167" fontId="25" fillId="3" borderId="27" xfId="27" applyNumberFormat="1" applyFont="1" applyFill="1" applyBorder="1">
      <alignment/>
      <protection/>
    </xf>
    <xf numFmtId="167" fontId="26" fillId="3" borderId="29" xfId="27" applyNumberFormat="1" applyFont="1" applyFill="1" applyBorder="1">
      <alignment/>
      <protection/>
    </xf>
    <xf numFmtId="169" fontId="26" fillId="3" borderId="22" xfId="27" applyNumberFormat="1" applyFont="1" applyFill="1" applyBorder="1">
      <alignment/>
      <protection/>
    </xf>
    <xf numFmtId="167" fontId="26" fillId="3" borderId="22" xfId="27" applyNumberFormat="1" applyFont="1" applyFill="1" applyBorder="1" applyAlignment="1">
      <alignment horizontal="center"/>
      <protection/>
    </xf>
    <xf numFmtId="44" fontId="26" fillId="3" borderId="22" xfId="27" applyNumberFormat="1" applyFont="1" applyFill="1" applyBorder="1" applyAlignment="1">
      <alignment horizontal="center"/>
      <protection/>
    </xf>
    <xf numFmtId="167" fontId="25" fillId="3" borderId="22" xfId="27" applyNumberFormat="1" applyFont="1" applyFill="1" applyBorder="1" applyAlignment="1">
      <alignment horizontal="center"/>
      <protection/>
    </xf>
    <xf numFmtId="179" fontId="25" fillId="3" borderId="22" xfId="27" applyNumberFormat="1" applyFont="1" applyFill="1" applyBorder="1" applyAlignment="1">
      <alignment horizontal="right"/>
      <protection/>
    </xf>
    <xf numFmtId="167" fontId="25" fillId="3" borderId="22" xfId="27" applyNumberFormat="1" applyFont="1" applyFill="1" applyBorder="1" applyAlignment="1">
      <alignment horizontal="right"/>
      <protection/>
    </xf>
    <xf numFmtId="44" fontId="26" fillId="3" borderId="22" xfId="27" applyNumberFormat="1" applyFont="1" applyFill="1" applyBorder="1" applyAlignment="1">
      <alignment horizontal="right"/>
      <protection/>
    </xf>
    <xf numFmtId="167" fontId="27" fillId="3" borderId="29" xfId="0" applyNumberFormat="1" applyFont="1" applyFill="1" applyBorder="1"/>
    <xf numFmtId="169" fontId="23" fillId="3" borderId="0" xfId="0" applyNumberFormat="1" applyFont="1" applyFill="1" applyAlignment="1">
      <alignment horizontal="right"/>
    </xf>
    <xf numFmtId="179" fontId="23" fillId="3" borderId="0" xfId="0" applyNumberFormat="1" applyFont="1" applyFill="1" applyAlignment="1">
      <alignment horizontal="right"/>
    </xf>
    <xf numFmtId="0" fontId="12" fillId="0" borderId="0" xfId="26" applyFont="1">
      <alignment/>
      <protection/>
    </xf>
    <xf numFmtId="0" fontId="44" fillId="3" borderId="0" xfId="23" applyFont="1" applyFill="1">
      <alignment/>
      <protection/>
    </xf>
    <xf numFmtId="196" fontId="20" fillId="3" borderId="18" xfId="25" applyNumberFormat="1" applyFont="1" applyFill="1" applyBorder="1" applyAlignment="1">
      <alignment horizontal="left" indent="1"/>
      <protection/>
    </xf>
    <xf numFmtId="167" fontId="29" fillId="3" borderId="22" xfId="16" applyNumberFormat="1" applyFont="1" applyFill="1" applyBorder="1">
      <alignment/>
      <protection/>
    </xf>
    <xf numFmtId="166" fontId="26" fillId="3" borderId="22" xfId="0" applyNumberFormat="1" applyFont="1" applyFill="1" applyBorder="1" applyAlignment="1">
      <alignment horizontal="right"/>
    </xf>
    <xf numFmtId="0" fontId="4" fillId="0" borderId="30" xfId="23" applyBorder="1">
      <alignment/>
      <protection/>
    </xf>
    <xf numFmtId="0" fontId="4" fillId="3" borderId="36" xfId="23" applyFill="1" applyBorder="1">
      <alignment/>
      <protection/>
    </xf>
    <xf numFmtId="167" fontId="7" fillId="3" borderId="29" xfId="0" applyNumberFormat="1" applyFont="1" applyFill="1" applyBorder="1" applyAlignment="1">
      <alignment horizontal="right"/>
    </xf>
    <xf numFmtId="166" fontId="22" fillId="5" borderId="22" xfId="0" applyNumberFormat="1" applyFont="1" applyFill="1" applyBorder="1"/>
    <xf numFmtId="0" fontId="45" fillId="3" borderId="0" xfId="23" applyFont="1" applyFill="1">
      <alignment/>
      <protection/>
    </xf>
    <xf numFmtId="166" fontId="0" fillId="3" borderId="0" xfId="27" applyNumberFormat="1" applyFill="1">
      <alignment/>
      <protection/>
    </xf>
    <xf numFmtId="177" fontId="2" fillId="3" borderId="0" xfId="27" applyNumberFormat="1" applyFont="1" applyFill="1" applyAlignment="1">
      <alignment horizontal="left"/>
      <protection/>
    </xf>
    <xf numFmtId="168" fontId="20" fillId="3" borderId="0" xfId="27" applyNumberFormat="1" applyFont="1" applyFill="1" applyAlignment="1">
      <alignment horizontal="center"/>
      <protection/>
    </xf>
    <xf numFmtId="197" fontId="0" fillId="3" borderId="0" xfId="27" applyNumberFormat="1" applyFill="1">
      <alignment/>
      <protection/>
    </xf>
    <xf numFmtId="183" fontId="3" fillId="3" borderId="0" xfId="27" applyNumberFormat="1" applyFont="1" applyFill="1" applyAlignment="1">
      <alignment horizontal="left"/>
      <protection/>
    </xf>
    <xf numFmtId="169" fontId="6" fillId="3" borderId="0" xfId="29" applyNumberFormat="1" applyFont="1" applyFill="1" applyAlignment="1">
      <alignment horizontal="center"/>
      <protection/>
    </xf>
    <xf numFmtId="0" fontId="7" fillId="4" borderId="0" xfId="27" applyFont="1" applyFill="1" applyAlignment="1">
      <alignment horizontal="center"/>
      <protection/>
    </xf>
    <xf numFmtId="184" fontId="3" fillId="3" borderId="0" xfId="27" applyNumberFormat="1" applyFont="1" applyFill="1">
      <alignment/>
      <protection/>
    </xf>
    <xf numFmtId="0" fontId="7" fillId="3" borderId="0" xfId="27" applyFont="1" applyFill="1" applyAlignment="1">
      <alignment horizontal="center"/>
      <protection/>
    </xf>
    <xf numFmtId="17" fontId="0" fillId="4" borderId="0" xfId="27" applyNumberFormat="1" applyFill="1" applyAlignment="1">
      <alignment horizontal="center"/>
      <protection/>
    </xf>
    <xf numFmtId="180" fontId="3" fillId="3" borderId="0" xfId="27" applyNumberFormat="1" applyFont="1" applyFill="1">
      <alignment/>
      <protection/>
    </xf>
    <xf numFmtId="0" fontId="31" fillId="3" borderId="0" xfId="29" applyNumberFormat="1" applyFont="1" applyFill="1" applyAlignment="1">
      <alignment horizontal="center"/>
      <protection/>
    </xf>
    <xf numFmtId="164" fontId="7" fillId="3" borderId="0" xfId="27" applyNumberFormat="1" applyFont="1" applyFill="1">
      <alignment/>
      <protection/>
    </xf>
    <xf numFmtId="166" fontId="7" fillId="3" borderId="0" xfId="27" applyNumberFormat="1" applyFont="1" applyFill="1">
      <alignment/>
      <protection/>
    </xf>
    <xf numFmtId="0" fontId="0" fillId="3" borderId="0" xfId="27" applyFill="1">
      <alignment/>
      <protection/>
    </xf>
    <xf numFmtId="17" fontId="0" fillId="3" borderId="0" xfId="27" applyNumberFormat="1" applyFill="1" applyAlignment="1">
      <alignment horizontal="center"/>
      <protection/>
    </xf>
    <xf numFmtId="166" fontId="26" fillId="3" borderId="0" xfId="27" applyNumberFormat="1" applyFont="1" applyFill="1" applyAlignment="1">
      <alignment horizontal="left" indent="4"/>
      <protection/>
    </xf>
    <xf numFmtId="0" fontId="33" fillId="5" borderId="0" xfId="27" applyFont="1" applyFill="1">
      <alignment/>
      <protection/>
    </xf>
    <xf numFmtId="0" fontId="33" fillId="5" borderId="0" xfId="27" applyNumberFormat="1" applyFont="1" applyFill="1">
      <alignment/>
      <protection/>
    </xf>
    <xf numFmtId="197" fontId="0" fillId="3" borderId="0" xfId="27" applyNumberFormat="1" applyFill="1" applyBorder="1">
      <alignment/>
      <protection/>
    </xf>
    <xf numFmtId="0" fontId="7" fillId="4" borderId="0" xfId="27" applyFont="1" applyFill="1" applyBorder="1" applyAlignment="1">
      <alignment horizontal="center"/>
      <protection/>
    </xf>
    <xf numFmtId="0" fontId="7" fillId="3" borderId="0" xfId="27" applyFont="1" applyFill="1" applyBorder="1" applyAlignment="1">
      <alignment horizontal="center"/>
      <protection/>
    </xf>
    <xf numFmtId="17" fontId="0" fillId="4" borderId="0" xfId="27" applyNumberFormat="1" applyFill="1" applyBorder="1" applyAlignment="1">
      <alignment horizontal="center"/>
      <protection/>
    </xf>
    <xf numFmtId="17" fontId="0" fillId="3" borderId="0" xfId="27" applyNumberFormat="1" applyFill="1" applyBorder="1" applyAlignment="1">
      <alignment horizontal="center"/>
      <protection/>
    </xf>
    <xf numFmtId="164" fontId="22" fillId="5" borderId="0" xfId="27" applyNumberFormat="1" applyFont="1" applyFill="1" applyBorder="1">
      <alignment/>
      <protection/>
    </xf>
    <xf numFmtId="0" fontId="33" fillId="5" borderId="0" xfId="27" applyNumberFormat="1" applyFont="1" applyFill="1" applyBorder="1">
      <alignment/>
      <protection/>
    </xf>
    <xf numFmtId="0" fontId="0" fillId="3" borderId="0" xfId="27" applyFill="1" applyBorder="1">
      <alignment/>
      <protection/>
    </xf>
    <xf numFmtId="197" fontId="0" fillId="3" borderId="22" xfId="27" applyNumberFormat="1" applyFill="1" applyBorder="1">
      <alignment/>
      <protection/>
    </xf>
    <xf numFmtId="0" fontId="7" fillId="3" borderId="22" xfId="27" applyFont="1" applyFill="1" applyBorder="1" applyAlignment="1">
      <alignment horizontal="center"/>
      <protection/>
    </xf>
    <xf numFmtId="17" fontId="0" fillId="3" borderId="22" xfId="27" applyNumberFormat="1" applyFill="1" applyBorder="1" applyAlignment="1">
      <alignment horizontal="center"/>
      <protection/>
    </xf>
    <xf numFmtId="164" fontId="22" fillId="5" borderId="22" xfId="27" applyNumberFormat="1" applyFont="1" applyFill="1" applyBorder="1">
      <alignment/>
      <protection/>
    </xf>
    <xf numFmtId="166" fontId="26" fillId="3" borderId="22" xfId="27" applyNumberFormat="1" applyFont="1" applyFill="1" applyBorder="1">
      <alignment/>
      <protection/>
    </xf>
    <xf numFmtId="164" fontId="26" fillId="3" borderId="0" xfId="0" applyNumberFormat="1" applyFont="1" applyFill="1" applyAlignment="1">
      <alignment horizontal="left"/>
    </xf>
    <xf numFmtId="166" fontId="25" fillId="3" borderId="0" xfId="0" applyNumberFormat="1" applyFont="1" applyFill="1" applyAlignment="1">
      <alignment horizontal="left"/>
    </xf>
    <xf numFmtId="166" fontId="26" fillId="3" borderId="0" xfId="0" applyNumberFormat="1" applyFont="1" applyFill="1" applyAlignment="1">
      <alignment horizontal="left"/>
    </xf>
    <xf numFmtId="170" fontId="25" fillId="3" borderId="0" xfId="0" applyNumberFormat="1" applyFont="1" applyFill="1" applyAlignment="1">
      <alignment horizontal="left"/>
    </xf>
    <xf numFmtId="167" fontId="25" fillId="4" borderId="0" xfId="0" applyNumberFormat="1" applyFont="1" applyFill="1"/>
    <xf numFmtId="167" fontId="25" fillId="3" borderId="0" xfId="0" applyNumberFormat="1" applyFont="1" applyFill="1"/>
    <xf numFmtId="166" fontId="25" fillId="4" borderId="0" xfId="0" applyNumberFormat="1" applyFont="1" applyFill="1"/>
    <xf numFmtId="166" fontId="25" fillId="3" borderId="0" xfId="0" applyNumberFormat="1" applyFont="1" applyFill="1"/>
    <xf numFmtId="166" fontId="26" fillId="3" borderId="0" xfId="0" applyNumberFormat="1" applyFont="1" applyFill="1"/>
    <xf numFmtId="170" fontId="25" fillId="4" borderId="0" xfId="0" applyNumberFormat="1" applyFont="1" applyFill="1" applyAlignment="1">
      <alignment horizontal="right"/>
    </xf>
    <xf numFmtId="166" fontId="26" fillId="3" borderId="7" xfId="27" applyNumberFormat="1" applyFont="1" applyFill="1" applyBorder="1" applyAlignment="1">
      <alignment horizontal="left" indent="4"/>
      <protection/>
    </xf>
    <xf numFmtId="166" fontId="26" fillId="4" borderId="7" xfId="27" applyNumberFormat="1" applyFont="1" applyFill="1" applyBorder="1">
      <alignment/>
      <protection/>
    </xf>
    <xf numFmtId="166" fontId="26" fillId="3" borderId="7" xfId="27" applyNumberFormat="1" applyFont="1" applyFill="1" applyBorder="1">
      <alignment/>
      <protection/>
    </xf>
    <xf numFmtId="166" fontId="26" fillId="3" borderId="29" xfId="27" applyNumberFormat="1" applyFont="1" applyFill="1" applyBorder="1">
      <alignment/>
      <protection/>
    </xf>
    <xf numFmtId="166" fontId="25" fillId="3" borderId="0" xfId="27" applyNumberFormat="1" applyFont="1" applyFill="1" applyAlignment="1">
      <alignment horizontal="left" indent="4"/>
      <protection/>
    </xf>
    <xf numFmtId="166" fontId="25" fillId="4" borderId="0" xfId="27" applyNumberFormat="1" applyFont="1" applyFill="1" applyBorder="1">
      <alignment/>
      <protection/>
    </xf>
    <xf numFmtId="166" fontId="25" fillId="3" borderId="0" xfId="27" applyNumberFormat="1" applyFont="1" applyFill="1" applyBorder="1">
      <alignment/>
      <protection/>
    </xf>
    <xf numFmtId="166" fontId="25" fillId="3" borderId="22" xfId="27" applyNumberFormat="1" applyFont="1" applyFill="1" applyBorder="1">
      <alignment/>
      <protection/>
    </xf>
    <xf numFmtId="166" fontId="25" fillId="3" borderId="0" xfId="27" applyNumberFormat="1" applyFont="1" applyFill="1">
      <alignment/>
      <protection/>
    </xf>
    <xf numFmtId="166" fontId="25" fillId="4" borderId="0" xfId="27" applyNumberFormat="1" applyFont="1" applyFill="1">
      <alignment/>
      <protection/>
    </xf>
    <xf numFmtId="166" fontId="0" fillId="3" borderId="0" xfId="27" applyNumberFormat="1" applyFont="1" applyFill="1">
      <alignment/>
      <protection/>
    </xf>
    <xf numFmtId="167" fontId="25" fillId="3" borderId="0" xfId="0" applyNumberFormat="1" applyFont="1" applyFill="1" applyAlignment="1">
      <alignment horizontal="left" indent="1"/>
    </xf>
    <xf numFmtId="166" fontId="25" fillId="3" borderId="0" xfId="0" applyNumberFormat="1" applyFont="1" applyFill="1" applyAlignment="1">
      <alignment horizontal="left" indent="1"/>
    </xf>
    <xf numFmtId="167" fontId="26" fillId="3" borderId="0" xfId="27" applyNumberFormat="1" applyFont="1" applyFill="1" applyAlignment="1">
      <alignment horizontal="left" indent="4"/>
      <protection/>
    </xf>
    <xf numFmtId="167" fontId="26" fillId="3" borderId="22" xfId="27" applyNumberFormat="1" applyFont="1" applyFill="1" applyBorder="1">
      <alignment/>
      <protection/>
    </xf>
    <xf numFmtId="167" fontId="7" fillId="3" borderId="0" xfId="27" applyNumberFormat="1" applyFont="1" applyFill="1">
      <alignment/>
      <protection/>
    </xf>
    <xf numFmtId="167" fontId="26" fillId="4" borderId="0" xfId="0" applyNumberFormat="1" applyFont="1" applyFill="1"/>
    <xf numFmtId="167" fontId="26" fillId="3" borderId="0" xfId="0" applyNumberFormat="1" applyFont="1" applyFill="1"/>
    <xf numFmtId="166" fontId="26" fillId="3" borderId="2" xfId="27" applyNumberFormat="1" applyFont="1" applyFill="1" applyBorder="1" applyAlignment="1">
      <alignment horizontal="left" indent="4"/>
      <protection/>
    </xf>
    <xf numFmtId="166" fontId="26" fillId="4" borderId="2" xfId="27" applyNumberFormat="1" applyFont="1" applyFill="1" applyBorder="1">
      <alignment/>
      <protection/>
    </xf>
    <xf numFmtId="166" fontId="26" fillId="3" borderId="2" xfId="27" applyNumberFormat="1" applyFont="1" applyFill="1" applyBorder="1">
      <alignment/>
      <protection/>
    </xf>
    <xf numFmtId="166" fontId="26" fillId="3" borderId="27" xfId="27" applyNumberFormat="1" applyFont="1" applyFill="1" applyBorder="1">
      <alignment/>
      <protection/>
    </xf>
    <xf numFmtId="166" fontId="26" fillId="3" borderId="7" xfId="0" applyNumberFormat="1" applyFont="1" applyFill="1" applyBorder="1" applyAlignment="1">
      <alignment horizontal="left"/>
    </xf>
    <xf numFmtId="170" fontId="25" fillId="3" borderId="0" xfId="27" applyNumberFormat="1" applyFont="1" applyFill="1" applyAlignment="1">
      <alignment horizontal="left" indent="4"/>
      <protection/>
    </xf>
    <xf numFmtId="170" fontId="25" fillId="4" borderId="0" xfId="27" applyNumberFormat="1" applyFont="1" applyFill="1" applyBorder="1">
      <alignment/>
      <protection/>
    </xf>
    <xf numFmtId="170" fontId="25" fillId="3" borderId="0" xfId="0" applyNumberFormat="1" applyFont="1" applyFill="1"/>
    <xf numFmtId="170" fontId="25" fillId="3" borderId="22" xfId="27" applyNumberFormat="1" applyFont="1" applyFill="1" applyBorder="1">
      <alignment/>
      <protection/>
    </xf>
    <xf numFmtId="170" fontId="25" fillId="4" borderId="0" xfId="27" applyNumberFormat="1" applyFont="1" applyFill="1">
      <alignment/>
      <protection/>
    </xf>
    <xf numFmtId="170" fontId="0" fillId="3" borderId="0" xfId="27" applyNumberFormat="1" applyFont="1" applyFill="1">
      <alignment/>
      <protection/>
    </xf>
    <xf numFmtId="166" fontId="25" fillId="3" borderId="0" xfId="0" applyNumberFormat="1" applyFont="1" applyFill="1" applyBorder="1" applyAlignment="1">
      <alignment horizontal="left" indent="1"/>
    </xf>
    <xf numFmtId="166" fontId="25" fillId="4" borderId="0" xfId="0" applyNumberFormat="1" applyFont="1" applyFill="1" applyBorder="1"/>
    <xf numFmtId="166" fontId="25" fillId="3" borderId="0" xfId="0" applyNumberFormat="1" applyFont="1" applyFill="1" applyBorder="1"/>
    <xf numFmtId="166" fontId="26" fillId="4" borderId="7" xfId="0" applyNumberFormat="1" applyFont="1" applyFill="1" applyBorder="1"/>
    <xf numFmtId="166" fontId="26" fillId="3" borderId="7" xfId="0" applyNumberFormat="1" applyFont="1" applyFill="1" applyBorder="1"/>
    <xf numFmtId="166" fontId="25" fillId="3" borderId="0" xfId="0" applyNumberFormat="1" applyFont="1" applyFill="1" applyAlignment="1">
      <alignment horizontal="left" indent="2"/>
    </xf>
    <xf numFmtId="166" fontId="25" fillId="3" borderId="2" xfId="0" applyNumberFormat="1" applyFont="1" applyFill="1" applyBorder="1" applyAlignment="1">
      <alignment horizontal="left" indent="2"/>
    </xf>
    <xf numFmtId="166" fontId="25" fillId="4" borderId="2" xfId="0" applyNumberFormat="1" applyFont="1" applyFill="1" applyBorder="1"/>
    <xf numFmtId="166" fontId="25" fillId="3" borderId="2" xfId="0" applyNumberFormat="1" applyFont="1" applyFill="1" applyBorder="1"/>
    <xf numFmtId="166" fontId="25" fillId="3" borderId="0" xfId="27" applyNumberFormat="1" applyFont="1" applyFill="1" applyBorder="1" applyAlignment="1">
      <alignment horizontal="left" indent="4"/>
      <protection/>
    </xf>
    <xf numFmtId="170" fontId="25" fillId="4" borderId="0" xfId="0" applyNumberFormat="1" applyFont="1" applyFill="1" applyBorder="1"/>
    <xf numFmtId="0" fontId="33" fillId="5" borderId="22" xfId="27" applyNumberFormat="1" applyFont="1" applyFill="1" applyBorder="1">
      <alignment/>
      <protection/>
    </xf>
    <xf numFmtId="166" fontId="0" fillId="0" borderId="0" xfId="27" applyNumberFormat="1" applyFill="1">
      <alignment/>
      <protection/>
    </xf>
    <xf numFmtId="166" fontId="0" fillId="0" borderId="0" xfId="27" applyNumberFormat="1" applyFont="1" applyFill="1">
      <alignment/>
      <protection/>
    </xf>
    <xf numFmtId="170" fontId="0" fillId="0" borderId="0" xfId="27" applyNumberFormat="1" applyFont="1" applyFill="1">
      <alignment/>
      <protection/>
    </xf>
    <xf numFmtId="0" fontId="4" fillId="0" borderId="21" xfId="23" applyBorder="1">
      <alignment/>
      <protection/>
    </xf>
    <xf numFmtId="198" fontId="25" fillId="3" borderId="0" xfId="0" applyNumberFormat="1" applyFont="1" applyFill="1" applyAlignment="1">
      <alignment horizontal="left" indent="1"/>
    </xf>
    <xf numFmtId="198" fontId="25" fillId="3" borderId="0" xfId="0" applyNumberFormat="1" applyFont="1" applyFill="1" applyAlignment="1">
      <alignment horizontal="left" indent="4"/>
    </xf>
    <xf numFmtId="198" fontId="25" fillId="4" borderId="0" xfId="0" applyNumberFormat="1" applyFont="1" applyFill="1" applyBorder="1"/>
    <xf numFmtId="198" fontId="25" fillId="3" borderId="0" xfId="0" applyNumberFormat="1" applyFont="1" applyFill="1" applyBorder="1"/>
    <xf numFmtId="198" fontId="25" fillId="3" borderId="0" xfId="0" applyNumberFormat="1" applyFont="1" applyFill="1"/>
    <xf numFmtId="198" fontId="25" fillId="4" borderId="0" xfId="0" applyNumberFormat="1" applyFont="1" applyFill="1"/>
    <xf numFmtId="198" fontId="7" fillId="3" borderId="0" xfId="0" applyNumberFormat="1" applyFont="1" applyFill="1"/>
    <xf numFmtId="198" fontId="0" fillId="0" borderId="0" xfId="0" applyNumberFormat="1" applyFont="1" applyFill="1"/>
    <xf numFmtId="198" fontId="23" fillId="3" borderId="0" xfId="0" applyNumberFormat="1" applyFont="1" applyFill="1" applyAlignment="1">
      <alignment horizontal="left" indent="2"/>
    </xf>
    <xf numFmtId="198" fontId="23" fillId="3" borderId="0" xfId="0" applyNumberFormat="1" applyFont="1" applyFill="1" applyAlignment="1">
      <alignment horizontal="left" indent="4"/>
    </xf>
    <xf numFmtId="198" fontId="23" fillId="4" borderId="0" xfId="0" applyNumberFormat="1" applyFont="1" applyFill="1" applyBorder="1"/>
    <xf numFmtId="198" fontId="23" fillId="3" borderId="0" xfId="0" applyNumberFormat="1" applyFont="1" applyFill="1" applyBorder="1"/>
    <xf numFmtId="198" fontId="23" fillId="3" borderId="22" xfId="0" applyNumberFormat="1" applyFont="1" applyFill="1" applyBorder="1"/>
    <xf numFmtId="198" fontId="23" fillId="3" borderId="0" xfId="0" applyNumberFormat="1" applyFont="1" applyFill="1"/>
    <xf numFmtId="198" fontId="23" fillId="4" borderId="0" xfId="0" applyNumberFormat="1" applyFont="1" applyFill="1"/>
    <xf numFmtId="198" fontId="19" fillId="0" borderId="0" xfId="0" applyNumberFormat="1" applyFont="1" applyFill="1"/>
    <xf numFmtId="198" fontId="23" fillId="3" borderId="0" xfId="0" applyNumberFormat="1" applyFont="1" applyFill="1" applyAlignment="1">
      <alignment horizontal="left" indent="1"/>
    </xf>
    <xf numFmtId="198" fontId="25" fillId="3" borderId="0" xfId="0" applyNumberFormat="1" applyFont="1" applyFill="1" applyAlignment="1">
      <alignment horizontal="left"/>
    </xf>
    <xf numFmtId="198" fontId="25" fillId="3" borderId="22" xfId="0" applyNumberFormat="1" applyFont="1" applyFill="1" applyBorder="1"/>
    <xf numFmtId="17" fontId="2" fillId="3" borderId="22" xfId="0" applyNumberFormat="1" applyFont="1" applyFill="1" applyBorder="1" applyAlignment="1">
      <alignment horizontal="center"/>
    </xf>
    <xf numFmtId="167" fontId="23" fillId="3" borderId="29" xfId="0" applyNumberFormat="1" applyFont="1" applyFill="1" applyBorder="1"/>
    <xf numFmtId="167" fontId="34" fillId="3" borderId="29" xfId="0" applyNumberFormat="1" applyFont="1" applyFill="1" applyBorder="1"/>
    <xf numFmtId="169" fontId="23" fillId="3" borderId="22" xfId="0" applyNumberFormat="1" applyFont="1" applyFill="1" applyBorder="1"/>
    <xf numFmtId="194" fontId="19" fillId="3" borderId="22" xfId="0" applyNumberFormat="1" applyFont="1" applyFill="1" applyBorder="1"/>
    <xf numFmtId="179" fontId="25" fillId="3" borderId="29" xfId="0" applyNumberFormat="1" applyFont="1" applyFill="1" applyBorder="1"/>
    <xf numFmtId="167" fontId="9" fillId="3" borderId="22" xfId="0" applyNumberFormat="1" applyFont="1" applyFill="1" applyBorder="1"/>
    <xf numFmtId="191" fontId="25" fillId="3" borderId="22" xfId="0" applyNumberFormat="1" applyFont="1" applyFill="1" applyBorder="1"/>
    <xf numFmtId="169" fontId="26" fillId="3" borderId="22" xfId="0" applyNumberFormat="1" applyFont="1" applyFill="1" applyBorder="1"/>
    <xf numFmtId="164" fontId="26" fillId="3" borderId="0" xfId="0" applyNumberFormat="1" applyFont="1" applyFill="1"/>
    <xf numFmtId="164" fontId="25" fillId="3" borderId="2" xfId="0" applyNumberFormat="1" applyFont="1" applyFill="1" applyBorder="1"/>
    <xf numFmtId="164" fontId="22" fillId="5" borderId="0" xfId="0" applyNumberFormat="1" applyFont="1" applyFill="1" applyBorder="1"/>
    <xf numFmtId="164" fontId="22" fillId="5" borderId="22" xfId="0" applyNumberFormat="1" applyFont="1" applyFill="1" applyBorder="1"/>
    <xf numFmtId="164" fontId="22" fillId="5" borderId="0" xfId="0" applyNumberFormat="1" applyFont="1" applyFill="1"/>
    <xf numFmtId="164" fontId="25" fillId="3" borderId="0" xfId="0" applyNumberFormat="1" applyFont="1" applyFill="1"/>
    <xf numFmtId="164" fontId="25" fillId="3" borderId="0" xfId="0" applyNumberFormat="1" applyFont="1" applyFill="1" applyBorder="1"/>
    <xf numFmtId="164" fontId="25" fillId="3" borderId="22" xfId="0" applyNumberFormat="1" applyFont="1" applyFill="1" applyBorder="1"/>
    <xf numFmtId="164" fontId="25" fillId="3" borderId="27" xfId="0" applyNumberFormat="1" applyFont="1" applyFill="1" applyBorder="1"/>
    <xf numFmtId="164" fontId="25" fillId="3" borderId="0" xfId="0" applyNumberFormat="1" applyFont="1" applyFill="1" applyAlignment="1">
      <alignment horizontal="right"/>
    </xf>
    <xf numFmtId="164" fontId="0" fillId="3" borderId="0" xfId="0" applyNumberFormat="1" applyFont="1" applyFill="1" applyBorder="1" applyAlignment="1">
      <alignment horizontal="left" indent="1"/>
    </xf>
    <xf numFmtId="164" fontId="25" fillId="3" borderId="0" xfId="0" applyNumberFormat="1" applyFont="1" applyFill="1" applyBorder="1" applyAlignment="1">
      <alignment horizontal="left" indent="1"/>
    </xf>
    <xf numFmtId="164" fontId="25" fillId="3" borderId="0" xfId="0" applyNumberFormat="1" applyFont="1" applyFill="1" applyAlignment="1">
      <alignment horizontal="left" indent="1"/>
    </xf>
    <xf numFmtId="164" fontId="0" fillId="3" borderId="2" xfId="0" applyNumberFormat="1" applyFont="1" applyFill="1" applyBorder="1" applyAlignment="1">
      <alignment horizontal="left" indent="1"/>
    </xf>
    <xf numFmtId="164" fontId="25" fillId="3" borderId="2" xfId="0" applyNumberFormat="1" applyFont="1" applyFill="1" applyBorder="1" applyAlignment="1">
      <alignment horizontal="left" indent="1"/>
    </xf>
    <xf numFmtId="164" fontId="0" fillId="3" borderId="9" xfId="0" applyNumberFormat="1" applyFont="1" applyFill="1" applyBorder="1" applyAlignment="1">
      <alignment horizontal="left" indent="1"/>
    </xf>
    <xf numFmtId="164" fontId="20" fillId="3" borderId="0" xfId="16" applyNumberFormat="1" applyFont="1" applyFill="1">
      <alignment/>
      <protection/>
    </xf>
    <xf numFmtId="164" fontId="20" fillId="3" borderId="2" xfId="16" applyNumberFormat="1" applyFont="1" applyFill="1" applyBorder="1">
      <alignment/>
      <protection/>
    </xf>
    <xf numFmtId="164" fontId="31" fillId="3" borderId="0" xfId="16" applyNumberFormat="1" applyFont="1" applyFill="1">
      <alignment/>
      <protection/>
    </xf>
    <xf numFmtId="164" fontId="32" fillId="5" borderId="0" xfId="0" applyNumberFormat="1" applyFont="1" applyFill="1" applyBorder="1"/>
    <xf numFmtId="164" fontId="32" fillId="5" borderId="22" xfId="0" applyNumberFormat="1" applyFont="1" applyFill="1" applyBorder="1"/>
    <xf numFmtId="164" fontId="32" fillId="5" borderId="0" xfId="0" applyNumberFormat="1" applyFont="1" applyFill="1"/>
    <xf numFmtId="164" fontId="19" fillId="3" borderId="0" xfId="0" applyNumberFormat="1" applyFont="1" applyFill="1" applyBorder="1" applyAlignment="1">
      <alignment horizontal="left" indent="1"/>
    </xf>
    <xf numFmtId="164" fontId="29" fillId="3" borderId="0" xfId="0" applyNumberFormat="1" applyFont="1" applyFill="1" applyAlignment="1">
      <alignment horizontal="left" indent="1"/>
    </xf>
    <xf numFmtId="164" fontId="23" fillId="3" borderId="0" xfId="0" applyNumberFormat="1" applyFont="1" applyFill="1" applyAlignment="1">
      <alignment horizontal="left" indent="3"/>
    </xf>
    <xf numFmtId="164" fontId="33" fillId="5" borderId="0" xfId="27" applyNumberFormat="1" applyFont="1" applyFill="1">
      <alignment/>
      <protection/>
    </xf>
    <xf numFmtId="164" fontId="25" fillId="3" borderId="0" xfId="27" applyNumberFormat="1" applyFont="1" applyFill="1" applyBorder="1">
      <alignment/>
      <protection/>
    </xf>
    <xf numFmtId="164" fontId="25" fillId="3" borderId="22" xfId="27" applyNumberFormat="1" applyFont="1" applyFill="1" applyBorder="1">
      <alignment/>
      <protection/>
    </xf>
    <xf numFmtId="164" fontId="25" fillId="3" borderId="0" xfId="27" applyNumberFormat="1" applyFont="1" applyFill="1">
      <alignment/>
      <protection/>
    </xf>
    <xf numFmtId="164" fontId="26" fillId="3" borderId="0" xfId="27" applyNumberFormat="1" applyFont="1" applyFill="1">
      <alignment/>
      <protection/>
    </xf>
    <xf numFmtId="169" fontId="7" fillId="3" borderId="22" xfId="0" applyNumberFormat="1" applyFont="1" applyFill="1" applyBorder="1"/>
    <xf numFmtId="173" fontId="26" fillId="3" borderId="22" xfId="16" applyNumberFormat="1" applyFont="1" applyFill="1" applyBorder="1">
      <alignment/>
      <protection/>
    </xf>
    <xf numFmtId="44" fontId="7" fillId="3" borderId="22" xfId="0" applyNumberFormat="1" applyFont="1" applyFill="1" applyBorder="1"/>
    <xf numFmtId="164" fontId="7" fillId="4" borderId="0" xfId="0" applyNumberFormat="1" applyFont="1" applyFill="1" applyBorder="1"/>
    <xf numFmtId="164" fontId="7" fillId="3" borderId="0" xfId="0" applyNumberFormat="1" applyFont="1" applyFill="1" applyBorder="1"/>
    <xf numFmtId="164" fontId="7" fillId="3" borderId="22" xfId="0" applyNumberFormat="1" applyFont="1" applyFill="1" applyBorder="1"/>
    <xf numFmtId="164" fontId="26" fillId="3" borderId="0" xfId="0" applyNumberFormat="1" applyFont="1" applyFill="1"/>
    <xf numFmtId="164" fontId="26" fillId="4" borderId="0" xfId="0" applyNumberFormat="1" applyFont="1" applyFill="1"/>
    <xf numFmtId="164" fontId="26" fillId="4" borderId="0" xfId="0" applyNumberFormat="1" applyFont="1" applyFill="1" applyBorder="1"/>
    <xf numFmtId="164" fontId="0" fillId="4" borderId="2" xfId="0" applyNumberFormat="1" applyFont="1" applyFill="1" applyBorder="1"/>
    <xf numFmtId="164" fontId="0" fillId="3" borderId="2" xfId="0" applyNumberFormat="1" applyFont="1" applyFill="1" applyBorder="1"/>
    <xf numFmtId="164" fontId="0" fillId="3" borderId="27" xfId="0" applyNumberFormat="1" applyFont="1" applyFill="1" applyBorder="1"/>
    <xf numFmtId="164" fontId="25" fillId="3" borderId="2" xfId="0" applyNumberFormat="1" applyFont="1" applyFill="1" applyBorder="1"/>
    <xf numFmtId="164" fontId="25" fillId="4" borderId="2" xfId="0" applyNumberFormat="1" applyFont="1" applyFill="1" applyBorder="1"/>
    <xf numFmtId="164" fontId="26" fillId="3" borderId="0" xfId="0" applyNumberFormat="1" applyFont="1" applyFill="1" applyBorder="1"/>
    <xf numFmtId="164" fontId="23" fillId="4" borderId="0" xfId="0" applyNumberFormat="1" applyFont="1" applyFill="1" applyBorder="1" applyAlignment="1">
      <alignment horizontal="right"/>
    </xf>
    <xf numFmtId="164" fontId="23" fillId="3" borderId="0" xfId="0" applyNumberFormat="1" applyFont="1" applyFill="1" applyBorder="1" applyAlignment="1">
      <alignment horizontal="right"/>
    </xf>
    <xf numFmtId="164" fontId="23" fillId="3" borderId="22" xfId="0" applyNumberFormat="1" applyFont="1" applyFill="1" applyBorder="1" applyAlignment="1">
      <alignment horizontal="right"/>
    </xf>
    <xf numFmtId="164" fontId="22" fillId="5" borderId="0" xfId="0" applyNumberFormat="1" applyFont="1" applyFill="1" applyBorder="1"/>
    <xf numFmtId="164" fontId="22" fillId="5" borderId="22" xfId="0" applyNumberFormat="1" applyFont="1" applyFill="1" applyBorder="1"/>
    <xf numFmtId="164" fontId="22" fillId="5" borderId="0" xfId="0" applyNumberFormat="1" applyFont="1" applyFill="1"/>
    <xf numFmtId="164" fontId="7" fillId="4" borderId="0" xfId="0" applyNumberFormat="1" applyFont="1" applyFill="1" applyBorder="1" applyAlignment="1">
      <alignment horizontal="right"/>
    </xf>
    <xf numFmtId="164" fontId="7" fillId="3" borderId="0" xfId="0" applyNumberFormat="1" applyFont="1" applyFill="1" applyBorder="1" applyAlignment="1">
      <alignment horizontal="right"/>
    </xf>
    <xf numFmtId="164" fontId="7" fillId="3" borderId="22" xfId="0" applyNumberFormat="1" applyFont="1" applyFill="1" applyBorder="1" applyAlignment="1">
      <alignment horizontal="right"/>
    </xf>
    <xf numFmtId="164" fontId="0" fillId="4" borderId="0" xfId="0" applyNumberFormat="1" applyFont="1" applyFill="1" applyBorder="1"/>
    <xf numFmtId="164" fontId="0" fillId="3" borderId="0" xfId="0" applyNumberFormat="1" applyFont="1" applyFill="1" applyBorder="1"/>
    <xf numFmtId="164" fontId="0" fillId="3" borderId="22" xfId="0" applyNumberFormat="1" applyFont="1" applyFill="1" applyBorder="1"/>
    <xf numFmtId="164" fontId="25" fillId="3" borderId="0" xfId="0" applyNumberFormat="1" applyFont="1" applyFill="1"/>
    <xf numFmtId="164" fontId="25" fillId="4" borderId="0" xfId="0" applyNumberFormat="1" applyFont="1" applyFill="1"/>
    <xf numFmtId="164" fontId="25" fillId="4" borderId="0" xfId="0" applyNumberFormat="1" applyFont="1" applyFill="1" applyBorder="1"/>
    <xf numFmtId="164" fontId="25" fillId="3" borderId="0" xfId="0" applyNumberFormat="1" applyFont="1" applyFill="1" applyBorder="1"/>
    <xf numFmtId="164" fontId="25" fillId="3" borderId="22" xfId="0" applyNumberFormat="1" applyFont="1" applyFill="1" applyBorder="1"/>
    <xf numFmtId="164" fontId="26" fillId="3" borderId="22" xfId="0" applyNumberFormat="1" applyFont="1" applyFill="1" applyBorder="1"/>
    <xf numFmtId="164" fontId="25" fillId="3" borderId="27" xfId="0" applyNumberFormat="1" applyFont="1" applyFill="1" applyBorder="1"/>
    <xf numFmtId="164" fontId="7" fillId="4" borderId="7" xfId="0" applyNumberFormat="1" applyFont="1" applyFill="1" applyBorder="1"/>
    <xf numFmtId="164" fontId="7" fillId="3" borderId="7" xfId="0" applyNumberFormat="1" applyFont="1" applyFill="1" applyBorder="1"/>
    <xf numFmtId="164" fontId="7" fillId="3" borderId="29" xfId="0" applyNumberFormat="1" applyFont="1" applyFill="1" applyBorder="1"/>
    <xf numFmtId="164" fontId="26" fillId="3" borderId="7" xfId="0" applyNumberFormat="1" applyFont="1" applyFill="1" applyBorder="1"/>
    <xf numFmtId="164" fontId="26" fillId="4" borderId="7" xfId="0" applyNumberFormat="1" applyFont="1" applyFill="1" applyBorder="1"/>
    <xf numFmtId="164" fontId="25" fillId="4" borderId="7" xfId="0" applyNumberFormat="1" applyFont="1" applyFill="1" applyBorder="1"/>
    <xf numFmtId="164" fontId="25" fillId="3" borderId="7" xfId="0" applyNumberFormat="1" applyFont="1" applyFill="1" applyBorder="1"/>
    <xf numFmtId="164" fontId="0" fillId="3" borderId="7" xfId="0" applyNumberFormat="1" applyFont="1" applyFill="1" applyBorder="1"/>
    <xf numFmtId="164" fontId="0" fillId="4" borderId="7" xfId="0" applyNumberFormat="1" applyFont="1" applyFill="1" applyBorder="1"/>
    <xf numFmtId="164" fontId="0" fillId="3" borderId="29" xfId="0" applyNumberFormat="1" applyFont="1" applyFill="1" applyBorder="1"/>
    <xf numFmtId="164" fontId="26" fillId="4" borderId="0" xfId="0" applyNumberFormat="1" applyFont="1" applyFill="1" applyBorder="1" applyAlignment="1">
      <alignment horizontal="right"/>
    </xf>
    <xf numFmtId="164" fontId="26" fillId="3" borderId="0" xfId="0" applyNumberFormat="1" applyFont="1" applyFill="1" applyBorder="1" applyAlignment="1">
      <alignment horizontal="right"/>
    </xf>
    <xf numFmtId="164" fontId="9" fillId="3" borderId="2" xfId="0" applyNumberFormat="1" applyFont="1" applyFill="1" applyBorder="1"/>
    <xf numFmtId="164" fontId="9" fillId="4" borderId="2" xfId="0" applyNumberFormat="1" applyFont="1" applyFill="1" applyBorder="1"/>
    <xf numFmtId="164" fontId="0" fillId="4" borderId="0" xfId="0" applyNumberFormat="1" applyFont="1" applyFill="1" applyBorder="1" applyAlignment="1">
      <alignment horizontal="right"/>
    </xf>
    <xf numFmtId="164" fontId="0" fillId="3" borderId="0" xfId="0" applyNumberFormat="1" applyFont="1" applyFill="1" applyBorder="1" applyAlignment="1">
      <alignment horizontal="right"/>
    </xf>
    <xf numFmtId="164" fontId="0" fillId="3" borderId="22" xfId="0" applyNumberFormat="1" applyFont="1" applyFill="1" applyBorder="1" applyAlignment="1">
      <alignment horizontal="right"/>
    </xf>
    <xf numFmtId="164" fontId="25" fillId="3" borderId="0" xfId="0" applyNumberFormat="1" applyFont="1" applyFill="1" applyAlignment="1">
      <alignment horizontal="right"/>
    </xf>
    <xf numFmtId="164" fontId="25" fillId="4" borderId="0" xfId="0" applyNumberFormat="1" applyFont="1" applyFill="1" applyAlignment="1">
      <alignment horizontal="right"/>
    </xf>
    <xf numFmtId="164" fontId="25" fillId="4" borderId="0" xfId="0" applyNumberFormat="1" applyFont="1" applyFill="1" applyBorder="1" applyAlignment="1">
      <alignment horizontal="right"/>
    </xf>
    <xf numFmtId="164" fontId="25" fillId="4" borderId="2" xfId="0" applyNumberFormat="1" applyFont="1" applyFill="1" applyBorder="1" applyAlignment="1">
      <alignment horizontal="right"/>
    </xf>
    <xf numFmtId="164" fontId="25" fillId="3" borderId="2" xfId="0" applyNumberFormat="1" applyFont="1" applyFill="1" applyBorder="1" applyAlignment="1">
      <alignment horizontal="right"/>
    </xf>
    <xf numFmtId="164" fontId="0" fillId="3" borderId="2" xfId="0" applyNumberFormat="1" applyFont="1" applyFill="1" applyBorder="1" applyAlignment="1">
      <alignment horizontal="right"/>
    </xf>
    <xf numFmtId="164" fontId="0" fillId="3" borderId="27" xfId="0" applyNumberFormat="1" applyFont="1" applyFill="1" applyBorder="1" applyAlignment="1">
      <alignment horizontal="right"/>
    </xf>
    <xf numFmtId="164" fontId="7" fillId="4" borderId="7" xfId="0" applyNumberFormat="1" applyFont="1" applyFill="1" applyBorder="1" applyAlignment="1">
      <alignment horizontal="right"/>
    </xf>
    <xf numFmtId="164" fontId="7" fillId="3" borderId="7" xfId="0" applyNumberFormat="1" applyFont="1" applyFill="1" applyBorder="1" applyAlignment="1">
      <alignment horizontal="right"/>
    </xf>
    <xf numFmtId="164" fontId="7" fillId="3" borderId="29" xfId="0" applyNumberFormat="1" applyFont="1" applyFill="1" applyBorder="1" applyAlignment="1">
      <alignment horizontal="right"/>
    </xf>
    <xf numFmtId="164" fontId="26" fillId="3" borderId="7" xfId="0" applyNumberFormat="1" applyFont="1" applyFill="1" applyBorder="1" applyAlignment="1">
      <alignment horizontal="right"/>
    </xf>
    <xf numFmtId="164" fontId="26" fillId="4" borderId="7" xfId="0" applyNumberFormat="1" applyFont="1" applyFill="1" applyBorder="1" applyAlignment="1">
      <alignment horizontal="right"/>
    </xf>
    <xf numFmtId="164" fontId="23" fillId="4" borderId="0" xfId="0" applyNumberFormat="1" applyFont="1" applyFill="1" applyBorder="1"/>
    <xf numFmtId="164" fontId="23" fillId="3" borderId="0" xfId="0" applyNumberFormat="1" applyFont="1" applyFill="1" applyBorder="1"/>
    <xf numFmtId="164" fontId="29" fillId="3" borderId="0" xfId="0" applyNumberFormat="1" applyFont="1" applyFill="1" applyBorder="1"/>
    <xf numFmtId="164" fontId="23" fillId="3" borderId="22" xfId="0" applyNumberFormat="1" applyFont="1" applyFill="1" applyBorder="1"/>
    <xf numFmtId="164" fontId="23" fillId="3" borderId="0" xfId="0" applyNumberFormat="1" applyFont="1" applyFill="1" applyAlignment="1">
      <alignment horizontal="right"/>
    </xf>
    <xf numFmtId="164" fontId="23" fillId="4" borderId="0" xfId="0" applyNumberFormat="1" applyFont="1" applyFill="1" applyAlignment="1">
      <alignment horizontal="right"/>
    </xf>
    <xf numFmtId="164" fontId="0" fillId="4" borderId="2" xfId="0" applyNumberFormat="1" applyFont="1" applyFill="1" applyBorder="1" applyAlignment="1">
      <alignment horizontal="right"/>
    </xf>
    <xf numFmtId="164" fontId="28" fillId="3" borderId="0" xfId="0" applyNumberFormat="1" applyFont="1" applyFill="1" applyBorder="1"/>
    <xf numFmtId="164" fontId="25" fillId="3" borderId="0" xfId="0" applyNumberFormat="1" applyFont="1" applyFill="1" applyBorder="1" applyAlignment="1">
      <alignment horizontal="right"/>
    </xf>
    <xf numFmtId="164" fontId="28" fillId="3" borderId="2" xfId="0" applyNumberFormat="1" applyFont="1" applyFill="1" applyBorder="1"/>
    <xf numFmtId="164" fontId="25" fillId="3" borderId="27" xfId="0" applyNumberFormat="1" applyFont="1" applyFill="1" applyBorder="1" applyAlignment="1">
      <alignment horizontal="right"/>
    </xf>
    <xf numFmtId="164" fontId="28" fillId="3" borderId="2" xfId="0" applyNumberFormat="1" applyFont="1" applyFill="1" applyBorder="1" applyAlignment="1">
      <alignment horizontal="right"/>
    </xf>
    <xf numFmtId="164" fontId="26" fillId="3" borderId="0" xfId="0" applyNumberFormat="1" applyFont="1" applyFill="1" applyAlignment="1">
      <alignment horizontal="right"/>
    </xf>
    <xf numFmtId="164" fontId="26" fillId="4" borderId="0" xfId="0" applyNumberFormat="1" applyFont="1" applyFill="1" applyAlignment="1">
      <alignment horizontal="right"/>
    </xf>
    <xf numFmtId="164" fontId="26" fillId="3" borderId="22" xfId="0" applyNumberFormat="1" applyFont="1" applyFill="1" applyBorder="1" applyAlignment="1">
      <alignment horizontal="right"/>
    </xf>
    <xf numFmtId="164" fontId="25" fillId="4" borderId="7" xfId="0" applyNumberFormat="1" applyFont="1" applyFill="1" applyBorder="1" applyAlignment="1">
      <alignment horizontal="right"/>
    </xf>
    <xf numFmtId="164" fontId="25" fillId="3" borderId="7" xfId="0" applyNumberFormat="1" applyFont="1" applyFill="1" applyBorder="1" applyAlignment="1">
      <alignment horizontal="right"/>
    </xf>
    <xf numFmtId="164" fontId="0" fillId="3" borderId="7" xfId="0" applyNumberFormat="1" applyFont="1" applyFill="1" applyBorder="1" applyAlignment="1">
      <alignment horizontal="right"/>
    </xf>
    <xf numFmtId="164" fontId="0" fillId="4" borderId="7" xfId="0" applyNumberFormat="1" applyFont="1" applyFill="1" applyBorder="1" applyAlignment="1">
      <alignment horizontal="right"/>
    </xf>
    <xf numFmtId="164" fontId="0" fillId="3" borderId="29" xfId="0" applyNumberFormat="1" applyFont="1" applyFill="1" applyBorder="1" applyAlignment="1">
      <alignment horizontal="right"/>
    </xf>
    <xf numFmtId="164" fontId="26" fillId="3" borderId="29" xfId="0" applyNumberFormat="1" applyFont="1" applyFill="1" applyBorder="1"/>
    <xf numFmtId="164" fontId="0" fillId="4" borderId="0" xfId="0" applyNumberFormat="1" applyFont="1" applyFill="1" applyBorder="1" applyAlignment="1">
      <alignment horizontal="left" indent="1"/>
    </xf>
    <xf numFmtId="164" fontId="0" fillId="3" borderId="0" xfId="0" applyNumberFormat="1" applyFont="1" applyFill="1" applyBorder="1" applyAlignment="1">
      <alignment horizontal="left" indent="1"/>
    </xf>
    <xf numFmtId="164" fontId="25" fillId="3" borderId="0" xfId="0" applyNumberFormat="1" applyFont="1" applyFill="1" applyBorder="1" applyAlignment="1">
      <alignment horizontal="left" indent="1"/>
    </xf>
    <xf numFmtId="164" fontId="25" fillId="4" borderId="0" xfId="0" applyNumberFormat="1" applyFont="1" applyFill="1" applyBorder="1" applyAlignment="1">
      <alignment horizontal="left" indent="1"/>
    </xf>
    <xf numFmtId="164" fontId="25" fillId="3" borderId="22" xfId="0" applyNumberFormat="1" applyFont="1" applyFill="1" applyBorder="1" applyAlignment="1">
      <alignment horizontal="left" indent="1"/>
    </xf>
    <xf numFmtId="164" fontId="25" fillId="3" borderId="0" xfId="0" applyNumberFormat="1" applyFont="1" applyFill="1" applyAlignment="1">
      <alignment horizontal="left" indent="1"/>
    </xf>
    <xf numFmtId="164" fontId="25" fillId="4" borderId="0" xfId="0" applyNumberFormat="1" applyFont="1" applyFill="1" applyAlignment="1">
      <alignment horizontal="left" indent="1"/>
    </xf>
    <xf numFmtId="164" fontId="0" fillId="4" borderId="2" xfId="0" applyNumberFormat="1" applyFont="1" applyFill="1" applyBorder="1" applyAlignment="1">
      <alignment horizontal="left" indent="1"/>
    </xf>
    <xf numFmtId="164" fontId="0" fillId="3" borderId="2" xfId="0" applyNumberFormat="1" applyFont="1" applyFill="1" applyBorder="1" applyAlignment="1">
      <alignment horizontal="left" indent="1"/>
    </xf>
    <xf numFmtId="164" fontId="25" fillId="3" borderId="2" xfId="0" applyNumberFormat="1" applyFont="1" applyFill="1" applyBorder="1" applyAlignment="1">
      <alignment horizontal="left" indent="1"/>
    </xf>
    <xf numFmtId="164" fontId="25" fillId="4" borderId="2" xfId="0" applyNumberFormat="1" applyFont="1" applyFill="1" applyBorder="1" applyAlignment="1">
      <alignment horizontal="left" indent="1"/>
    </xf>
    <xf numFmtId="164" fontId="25" fillId="3" borderId="27" xfId="0" applyNumberFormat="1" applyFont="1" applyFill="1" applyBorder="1" applyAlignment="1">
      <alignment horizontal="left" indent="1"/>
    </xf>
    <xf numFmtId="164" fontId="0" fillId="3" borderId="22" xfId="0" applyNumberFormat="1" applyFont="1" applyFill="1" applyBorder="1" applyAlignment="1">
      <alignment horizontal="left" indent="1"/>
    </xf>
    <xf numFmtId="164" fontId="0" fillId="4" borderId="9" xfId="0" applyNumberFormat="1" applyFont="1" applyFill="1" applyBorder="1" applyAlignment="1">
      <alignment horizontal="left" indent="1"/>
    </xf>
    <xf numFmtId="164" fontId="0" fillId="3" borderId="9" xfId="0" applyNumberFormat="1" applyFont="1" applyFill="1" applyBorder="1" applyAlignment="1">
      <alignment horizontal="left" indent="1"/>
    </xf>
    <xf numFmtId="164" fontId="25" fillId="3" borderId="9" xfId="0" applyNumberFormat="1" applyFont="1" applyFill="1" applyBorder="1" applyAlignment="1">
      <alignment horizontal="left" indent="1"/>
    </xf>
    <xf numFmtId="164" fontId="25" fillId="4" borderId="9" xfId="0" applyNumberFormat="1" applyFont="1" applyFill="1" applyBorder="1" applyAlignment="1">
      <alignment horizontal="left" indent="1"/>
    </xf>
    <xf numFmtId="164" fontId="0" fillId="3" borderId="37" xfId="0" applyNumberFormat="1" applyFont="1" applyFill="1" applyBorder="1" applyAlignment="1">
      <alignment horizontal="left" indent="1"/>
    </xf>
    <xf numFmtId="164" fontId="25" fillId="3" borderId="29" xfId="0" applyNumberFormat="1" applyFont="1" applyFill="1" applyBorder="1"/>
    <xf numFmtId="164" fontId="9" fillId="3" borderId="2" xfId="0" applyNumberFormat="1" applyFont="1" applyFill="1" applyBorder="1" applyAlignment="1">
      <alignment horizontal="right"/>
    </xf>
    <xf numFmtId="164" fontId="9" fillId="4" borderId="2" xfId="0" applyNumberFormat="1" applyFont="1" applyFill="1" applyBorder="1" applyAlignment="1">
      <alignment horizontal="right"/>
    </xf>
    <xf numFmtId="164" fontId="28" fillId="4" borderId="0" xfId="0" applyNumberFormat="1" applyFont="1" applyFill="1" applyBorder="1"/>
    <xf numFmtId="164" fontId="28" fillId="3" borderId="22" xfId="0" applyNumberFormat="1" applyFont="1" applyFill="1" applyBorder="1"/>
    <xf numFmtId="164" fontId="28" fillId="3" borderId="7" xfId="0" applyNumberFormat="1" applyFont="1" applyFill="1" applyBorder="1"/>
    <xf numFmtId="164" fontId="8" fillId="3" borderId="0" xfId="0" applyNumberFormat="1" applyFont="1" applyFill="1" applyBorder="1"/>
    <xf numFmtId="164" fontId="25" fillId="4" borderId="0" xfId="0" applyNumberFormat="1" applyFont="1" applyFill="1" applyAlignment="1">
      <alignment horizontal="center"/>
    </xf>
    <xf numFmtId="164" fontId="25" fillId="4" borderId="0" xfId="0" applyNumberFormat="1" applyFont="1" applyFill="1" applyBorder="1" applyAlignment="1">
      <alignment horizontal="center"/>
    </xf>
    <xf numFmtId="164" fontId="23" fillId="3" borderId="0" xfId="0" applyNumberFormat="1" applyFont="1" applyFill="1"/>
    <xf numFmtId="164" fontId="23" fillId="4" borderId="0" xfId="0" applyNumberFormat="1" applyFont="1" applyFill="1"/>
    <xf numFmtId="164" fontId="27" fillId="3" borderId="7" xfId="0" applyNumberFormat="1" applyFont="1" applyFill="1" applyBorder="1"/>
    <xf numFmtId="164" fontId="7" fillId="4" borderId="9" xfId="0" applyNumberFormat="1" applyFont="1" applyFill="1" applyBorder="1"/>
    <xf numFmtId="164" fontId="7" fillId="3" borderId="9" xfId="0" applyNumberFormat="1" applyFont="1" applyFill="1" applyBorder="1"/>
    <xf numFmtId="164" fontId="27" fillId="3" borderId="9" xfId="0" applyNumberFormat="1" applyFont="1" applyFill="1" applyBorder="1"/>
    <xf numFmtId="164" fontId="7" fillId="3" borderId="37" xfId="0" applyNumberFormat="1" applyFont="1" applyFill="1" applyBorder="1"/>
    <xf numFmtId="164" fontId="26" fillId="3" borderId="9" xfId="0" applyNumberFormat="1" applyFont="1" applyFill="1" applyBorder="1"/>
    <xf numFmtId="164" fontId="26" fillId="4" borderId="9" xfId="0" applyNumberFormat="1" applyFont="1" applyFill="1" applyBorder="1"/>
    <xf numFmtId="164" fontId="25" fillId="4" borderId="9" xfId="0" applyNumberFormat="1" applyFont="1" applyFill="1" applyBorder="1"/>
    <xf numFmtId="164" fontId="25" fillId="3" borderId="9" xfId="0" applyNumberFormat="1" applyFont="1" applyFill="1" applyBorder="1"/>
    <xf numFmtId="164" fontId="25" fillId="3" borderId="37" xfId="0" applyNumberFormat="1" applyFont="1" applyFill="1" applyBorder="1"/>
    <xf numFmtId="164" fontId="23" fillId="4" borderId="7" xfId="0" applyNumberFormat="1" applyFont="1" applyFill="1" applyBorder="1"/>
    <xf numFmtId="164" fontId="23" fillId="3" borderId="7" xfId="0" applyNumberFormat="1" applyFont="1" applyFill="1" applyBorder="1"/>
    <xf numFmtId="164" fontId="23" fillId="3" borderId="29" xfId="0" applyNumberFormat="1" applyFont="1" applyFill="1" applyBorder="1"/>
    <xf numFmtId="164" fontId="8" fillId="3" borderId="0" xfId="16" applyNumberFormat="1" applyFont="1" applyFill="1" applyBorder="1">
      <alignment/>
      <protection/>
    </xf>
    <xf numFmtId="164" fontId="8" fillId="3" borderId="22" xfId="16" applyNumberFormat="1" applyFont="1" applyFill="1" applyBorder="1">
      <alignment/>
      <protection/>
    </xf>
    <xf numFmtId="164" fontId="20" fillId="3" borderId="0" xfId="16" applyNumberFormat="1" applyFont="1" applyFill="1">
      <alignment/>
      <protection/>
    </xf>
    <xf numFmtId="164" fontId="8" fillId="3" borderId="2" xfId="16" applyNumberFormat="1" applyFont="1" applyFill="1" applyBorder="1">
      <alignment/>
      <protection/>
    </xf>
    <xf numFmtId="164" fontId="8" fillId="3" borderId="27" xfId="16" applyNumberFormat="1" applyFont="1" applyFill="1" applyBorder="1">
      <alignment/>
      <protection/>
    </xf>
    <xf numFmtId="164" fontId="20" fillId="3" borderId="2" xfId="16" applyNumberFormat="1" applyFont="1" applyFill="1" applyBorder="1">
      <alignment/>
      <protection/>
    </xf>
    <xf numFmtId="164" fontId="6" fillId="3" borderId="0" xfId="16" applyNumberFormat="1" applyFont="1" applyFill="1" applyBorder="1">
      <alignment/>
      <protection/>
    </xf>
    <xf numFmtId="164" fontId="6" fillId="3" borderId="22" xfId="16" applyNumberFormat="1" applyFont="1" applyFill="1" applyBorder="1">
      <alignment/>
      <protection/>
    </xf>
    <xf numFmtId="164" fontId="31" fillId="3" borderId="0" xfId="16" applyNumberFormat="1" applyFont="1" applyFill="1">
      <alignment/>
      <protection/>
    </xf>
    <xf numFmtId="164" fontId="27" fillId="3" borderId="0" xfId="0" applyNumberFormat="1" applyFont="1" applyFill="1" applyBorder="1"/>
    <xf numFmtId="164" fontId="9" fillId="3" borderId="0" xfId="0" applyNumberFormat="1" applyFont="1" applyFill="1"/>
    <xf numFmtId="164" fontId="9" fillId="4" borderId="0" xfId="0" applyNumberFormat="1" applyFont="1" applyFill="1" applyBorder="1"/>
    <xf numFmtId="164" fontId="9" fillId="4" borderId="0" xfId="0" applyNumberFormat="1" applyFont="1" applyFill="1"/>
    <xf numFmtId="164" fontId="25" fillId="3" borderId="22" xfId="0" applyNumberFormat="1" applyFont="1" applyFill="1" applyBorder="1" applyAlignment="1">
      <alignment horizontal="right"/>
    </xf>
    <xf numFmtId="164" fontId="26" fillId="3" borderId="12" xfId="0" applyNumberFormat="1" applyFont="1" applyFill="1" applyBorder="1" applyAlignment="1">
      <alignment horizontal="right"/>
    </xf>
    <xf numFmtId="164" fontId="26" fillId="4" borderId="12" xfId="0" applyNumberFormat="1" applyFont="1" applyFill="1" applyBorder="1" applyAlignment="1">
      <alignment horizontal="right"/>
    </xf>
    <xf numFmtId="164" fontId="26" fillId="3" borderId="24" xfId="0" applyNumberFormat="1" applyFont="1" applyFill="1" applyBorder="1" applyAlignment="1">
      <alignment horizontal="right"/>
    </xf>
    <xf numFmtId="164" fontId="13" fillId="3" borderId="0" xfId="0" applyNumberFormat="1" applyFont="1" applyFill="1" applyAlignment="1">
      <alignment horizontal="right"/>
    </xf>
    <xf numFmtId="164" fontId="13" fillId="4" borderId="0" xfId="0" applyNumberFormat="1" applyFont="1" applyFill="1" applyBorder="1" applyAlignment="1">
      <alignment horizontal="right"/>
    </xf>
    <xf numFmtId="164" fontId="13" fillId="4" borderId="0" xfId="0" applyNumberFormat="1" applyFont="1" applyFill="1" applyAlignment="1">
      <alignment horizontal="right"/>
    </xf>
    <xf numFmtId="164" fontId="32" fillId="5" borderId="0" xfId="0" applyNumberFormat="1" applyFont="1" applyFill="1" applyBorder="1"/>
    <xf numFmtId="164" fontId="32" fillId="5" borderId="22" xfId="0" applyNumberFormat="1" applyFont="1" applyFill="1" applyBorder="1"/>
    <xf numFmtId="164" fontId="32" fillId="5" borderId="0" xfId="0" applyNumberFormat="1" applyFont="1" applyFill="1"/>
    <xf numFmtId="164" fontId="20" fillId="2" borderId="0" xfId="22" applyNumberFormat="1" applyFont="1" applyFill="1" applyBorder="1" applyAlignment="1">
      <alignment horizontal="right"/>
      <protection/>
    </xf>
    <xf numFmtId="164" fontId="20" fillId="2" borderId="22" xfId="22" applyNumberFormat="1" applyFont="1" applyFill="1" applyBorder="1" applyAlignment="1">
      <alignment horizontal="right"/>
      <protection/>
    </xf>
    <xf numFmtId="164" fontId="20" fillId="2" borderId="0" xfId="22" applyNumberFormat="1" applyFont="1" applyFill="1" applyAlignment="1">
      <alignment horizontal="right"/>
      <protection/>
    </xf>
    <xf numFmtId="164" fontId="26" fillId="3" borderId="8" xfId="0" applyNumberFormat="1" applyFont="1" applyFill="1" applyBorder="1"/>
    <xf numFmtId="164" fontId="26" fillId="3" borderId="6" xfId="0" applyNumberFormat="1" applyFont="1" applyFill="1" applyBorder="1"/>
    <xf numFmtId="164" fontId="26" fillId="3" borderId="5" xfId="0" applyNumberFormat="1" applyFont="1" applyFill="1" applyBorder="1"/>
    <xf numFmtId="164" fontId="26" fillId="3" borderId="4" xfId="0" applyNumberFormat="1" applyFont="1" applyFill="1" applyBorder="1"/>
    <xf numFmtId="164" fontId="19" fillId="3" borderId="0" xfId="0" applyNumberFormat="1" applyFont="1" applyFill="1" applyBorder="1" applyAlignment="1">
      <alignment horizontal="left" indent="1"/>
    </xf>
    <xf numFmtId="164" fontId="29" fillId="3" borderId="0" xfId="16" applyNumberFormat="1" applyFont="1" applyFill="1" applyBorder="1">
      <alignment/>
      <protection/>
    </xf>
    <xf numFmtId="164" fontId="29" fillId="3" borderId="0" xfId="0" applyNumberFormat="1" applyFont="1" applyFill="1" applyAlignment="1">
      <alignment horizontal="left" indent="1"/>
    </xf>
    <xf numFmtId="164" fontId="23" fillId="3" borderId="0" xfId="0" applyNumberFormat="1" applyFont="1" applyFill="1" applyAlignment="1">
      <alignment horizontal="left" indent="3"/>
    </xf>
    <xf numFmtId="164" fontId="23" fillId="3" borderId="0" xfId="0" applyNumberFormat="1" applyFont="1" applyFill="1" applyAlignment="1">
      <alignment horizontal="left" indent="4"/>
    </xf>
    <xf numFmtId="164" fontId="25" fillId="4" borderId="2" xfId="27" applyNumberFormat="1" applyFont="1" applyFill="1" applyBorder="1" applyAlignment="1">
      <alignment horizontal="right"/>
      <protection/>
    </xf>
    <xf numFmtId="164" fontId="25" fillId="3" borderId="2" xfId="27" applyNumberFormat="1" applyFont="1" applyFill="1" applyBorder="1" applyAlignment="1">
      <alignment horizontal="right"/>
      <protection/>
    </xf>
    <xf numFmtId="164" fontId="25" fillId="4" borderId="2" xfId="27" applyNumberFormat="1" applyFont="1" applyFill="1" applyBorder="1">
      <alignment/>
      <protection/>
    </xf>
    <xf numFmtId="164" fontId="25" fillId="3" borderId="27" xfId="27" applyNumberFormat="1" applyFont="1" applyFill="1" applyBorder="1" applyAlignment="1">
      <alignment horizontal="right"/>
      <protection/>
    </xf>
    <xf numFmtId="164" fontId="26" fillId="4" borderId="7" xfId="27" applyNumberFormat="1" applyFont="1" applyFill="1" applyBorder="1">
      <alignment/>
      <protection/>
    </xf>
    <xf numFmtId="164" fontId="26" fillId="3" borderId="7" xfId="27" applyNumberFormat="1" applyFont="1" applyFill="1" applyBorder="1">
      <alignment/>
      <protection/>
    </xf>
    <xf numFmtId="164" fontId="26" fillId="3" borderId="29" xfId="27" applyNumberFormat="1" applyFont="1" applyFill="1" applyBorder="1">
      <alignment/>
      <protection/>
    </xf>
    <xf numFmtId="164" fontId="33" fillId="5" borderId="0" xfId="27" applyNumberFormat="1" applyFont="1" applyFill="1" applyBorder="1">
      <alignment/>
      <protection/>
    </xf>
    <xf numFmtId="164" fontId="33" fillId="5" borderId="22" xfId="27" applyNumberFormat="1" applyFont="1" applyFill="1" applyBorder="1">
      <alignment/>
      <protection/>
    </xf>
    <xf numFmtId="164" fontId="33" fillId="5" borderId="0" xfId="27" applyNumberFormat="1" applyFont="1" applyFill="1">
      <alignment/>
      <protection/>
    </xf>
    <xf numFmtId="164" fontId="25" fillId="4" borderId="0" xfId="27" applyNumberFormat="1" applyFont="1" applyFill="1" applyBorder="1">
      <alignment/>
      <protection/>
    </xf>
    <xf numFmtId="164" fontId="25" fillId="3" borderId="0" xfId="27" applyNumberFormat="1" applyFont="1" applyFill="1" applyBorder="1">
      <alignment/>
      <protection/>
    </xf>
    <xf numFmtId="164" fontId="25" fillId="3" borderId="22" xfId="27" applyNumberFormat="1" applyFont="1" applyFill="1" applyBorder="1">
      <alignment/>
      <protection/>
    </xf>
    <xf numFmtId="164" fontId="25" fillId="3" borderId="0" xfId="27" applyNumberFormat="1" applyFont="1" applyFill="1">
      <alignment/>
      <protection/>
    </xf>
    <xf numFmtId="164" fontId="25" fillId="4" borderId="0" xfId="27" applyNumberFormat="1" applyFont="1" applyFill="1">
      <alignment/>
      <protection/>
    </xf>
    <xf numFmtId="164" fontId="25" fillId="3" borderId="2" xfId="27" applyNumberFormat="1" applyFont="1" applyFill="1" applyBorder="1">
      <alignment/>
      <protection/>
    </xf>
    <xf numFmtId="164" fontId="25" fillId="3" borderId="27" xfId="27" applyNumberFormat="1" applyFont="1" applyFill="1" applyBorder="1">
      <alignment/>
      <protection/>
    </xf>
    <xf numFmtId="164" fontId="26" fillId="4" borderId="0" xfId="27" applyNumberFormat="1" applyFont="1" applyFill="1" applyBorder="1">
      <alignment/>
      <protection/>
    </xf>
    <xf numFmtId="164" fontId="26" fillId="3" borderId="0" xfId="27" applyNumberFormat="1" applyFont="1" applyFill="1" applyBorder="1">
      <alignment/>
      <protection/>
    </xf>
    <xf numFmtId="164" fontId="26" fillId="3" borderId="22" xfId="27" applyNumberFormat="1" applyFont="1" applyFill="1" applyBorder="1">
      <alignment/>
      <protection/>
    </xf>
    <xf numFmtId="164" fontId="26" fillId="3" borderId="0" xfId="27" applyNumberFormat="1" applyFont="1" applyFill="1">
      <alignment/>
      <protection/>
    </xf>
    <xf numFmtId="164" fontId="26" fillId="4" borderId="0" xfId="27" applyNumberFormat="1" applyFont="1" applyFill="1">
      <alignment/>
      <protection/>
    </xf>
    <xf numFmtId="164" fontId="25" fillId="4" borderId="0" xfId="27" applyNumberFormat="1" applyFont="1" applyFill="1" applyBorder="1" applyAlignment="1">
      <alignment horizontal="right"/>
      <protection/>
    </xf>
    <xf numFmtId="164" fontId="25" fillId="3" borderId="0" xfId="27" applyNumberFormat="1" applyFont="1" applyFill="1" applyBorder="1" applyAlignment="1">
      <alignment horizontal="right"/>
      <protection/>
    </xf>
    <xf numFmtId="164" fontId="25" fillId="3" borderId="22" xfId="27" applyNumberFormat="1" applyFont="1" applyFill="1" applyBorder="1" applyAlignment="1">
      <alignment horizontal="right"/>
      <protection/>
    </xf>
    <xf numFmtId="164" fontId="25" fillId="3" borderId="0" xfId="27" applyNumberFormat="1" applyFont="1" applyFill="1" applyAlignment="1">
      <alignment horizontal="right"/>
      <protection/>
    </xf>
    <xf numFmtId="164" fontId="25" fillId="4" borderId="0" xfId="27" applyNumberFormat="1" applyFont="1" applyFill="1" applyAlignment="1">
      <alignment horizontal="right"/>
      <protection/>
    </xf>
    <xf numFmtId="164" fontId="26" fillId="4" borderId="7" xfId="27" applyNumberFormat="1" applyFont="1" applyFill="1" applyBorder="1" applyAlignment="1">
      <alignment horizontal="right"/>
      <protection/>
    </xf>
    <xf numFmtId="164" fontId="26" fillId="3" borderId="7" xfId="27" applyNumberFormat="1" applyFont="1" applyFill="1" applyBorder="1" applyAlignment="1">
      <alignment horizontal="right"/>
      <protection/>
    </xf>
    <xf numFmtId="164" fontId="26" fillId="3" borderId="29" xfId="27" applyNumberFormat="1" applyFont="1" applyFill="1" applyBorder="1" applyAlignment="1">
      <alignment horizontal="right"/>
      <protection/>
    </xf>
    <xf numFmtId="0" fontId="15" fillId="3" borderId="0" xfId="26" applyFont="1" applyFill="1" applyAlignment="1">
      <alignment horizontal="left" wrapText="1" indent="1"/>
      <protection/>
    </xf>
    <xf numFmtId="0" fontId="37" fillId="3" borderId="0" xfId="23" applyFont="1" applyFill="1">
      <alignment/>
      <protection/>
    </xf>
    <xf numFmtId="185" fontId="26" fillId="3" borderId="0" xfId="27" applyNumberFormat="1" applyFont="1" applyFill="1" applyAlignment="1">
      <alignment horizontal="left"/>
      <protection/>
    </xf>
    <xf numFmtId="17" fontId="46" fillId="4" borderId="0" xfId="0" applyNumberFormat="1" applyFont="1" applyFill="1" applyBorder="1" applyAlignment="1">
      <alignment horizontal="center"/>
    </xf>
    <xf numFmtId="17" fontId="20" fillId="3" borderId="0" xfId="0" applyNumberFormat="1" applyFont="1" applyFill="1" applyBorder="1" applyAlignment="1">
      <alignment horizontal="center"/>
    </xf>
    <xf numFmtId="17" fontId="20" fillId="3" borderId="22" xfId="0" applyNumberFormat="1" applyFont="1" applyFill="1" applyBorder="1" applyAlignment="1">
      <alignment horizontal="center"/>
    </xf>
    <xf numFmtId="0" fontId="47" fillId="4" borderId="0" xfId="0" applyFont="1" applyFill="1" applyBorder="1" applyAlignment="1">
      <alignment horizontal="center"/>
    </xf>
    <xf numFmtId="167" fontId="50" fillId="3" borderId="0" xfId="0" applyNumberFormat="1" applyFont="1" applyFill="1"/>
    <xf numFmtId="167" fontId="50" fillId="4" borderId="0" xfId="0" applyNumberFormat="1" applyFont="1" applyFill="1" applyBorder="1"/>
    <xf numFmtId="167" fontId="50" fillId="4" borderId="0" xfId="0" applyNumberFormat="1" applyFont="1" applyFill="1"/>
    <xf numFmtId="167" fontId="46" fillId="4" borderId="0" xfId="0" applyNumberFormat="1" applyFont="1" applyFill="1" applyBorder="1"/>
    <xf numFmtId="167" fontId="46" fillId="3" borderId="0" xfId="0" applyNumberFormat="1" applyFont="1" applyFill="1" applyBorder="1"/>
    <xf numFmtId="167" fontId="46" fillId="3" borderId="22" xfId="0" applyNumberFormat="1" applyFont="1" applyFill="1" applyBorder="1"/>
    <xf numFmtId="167" fontId="46" fillId="3" borderId="0" xfId="0" applyNumberFormat="1" applyFont="1" applyFill="1"/>
    <xf numFmtId="167" fontId="46" fillId="4" borderId="0" xfId="0" applyNumberFormat="1" applyFont="1" applyFill="1"/>
    <xf numFmtId="164" fontId="47" fillId="4" borderId="0" xfId="0" applyNumberFormat="1" applyFont="1" applyFill="1" applyBorder="1"/>
    <xf numFmtId="164" fontId="46" fillId="4" borderId="0" xfId="0" applyNumberFormat="1" applyFont="1" applyFill="1" applyBorder="1"/>
    <xf numFmtId="164" fontId="46" fillId="3" borderId="0" xfId="0" applyNumberFormat="1" applyFont="1" applyFill="1" applyBorder="1"/>
    <xf numFmtId="164" fontId="46" fillId="3" borderId="22" xfId="0" applyNumberFormat="1" applyFont="1" applyFill="1" applyBorder="1"/>
    <xf numFmtId="164" fontId="46" fillId="4" borderId="2" xfId="0" applyNumberFormat="1" applyFont="1" applyFill="1" applyBorder="1"/>
    <xf numFmtId="164" fontId="46" fillId="3" borderId="2" xfId="0" applyNumberFormat="1" applyFont="1" applyFill="1" applyBorder="1"/>
    <xf numFmtId="164" fontId="46" fillId="3" borderId="27" xfId="0" applyNumberFormat="1" applyFont="1" applyFill="1" applyBorder="1"/>
    <xf numFmtId="167" fontId="46" fillId="3" borderId="2" xfId="0" applyNumberFormat="1" applyFont="1" applyFill="1" applyBorder="1"/>
    <xf numFmtId="167" fontId="46" fillId="4" borderId="2" xfId="0" applyNumberFormat="1" applyFont="1" applyFill="1" applyBorder="1"/>
    <xf numFmtId="164" fontId="46" fillId="4" borderId="0" xfId="0" applyNumberFormat="1" applyFont="1" applyFill="1" applyBorder="1" applyAlignment="1">
      <alignment horizontal="right"/>
    </xf>
    <xf numFmtId="164" fontId="46" fillId="3" borderId="0" xfId="0" applyNumberFormat="1" applyFont="1" applyFill="1" applyBorder="1" applyAlignment="1">
      <alignment horizontal="right"/>
    </xf>
    <xf numFmtId="164" fontId="46" fillId="4" borderId="2" xfId="0" applyNumberFormat="1" applyFont="1" applyFill="1" applyBorder="1" applyAlignment="1">
      <alignment horizontal="right"/>
    </xf>
    <xf numFmtId="164" fontId="46" fillId="3" borderId="2" xfId="0" applyNumberFormat="1" applyFont="1" applyFill="1" applyBorder="1" applyAlignment="1">
      <alignment horizontal="right"/>
    </xf>
    <xf numFmtId="164" fontId="46" fillId="3" borderId="27" xfId="0" applyNumberFormat="1" applyFont="1" applyFill="1" applyBorder="1" applyAlignment="1">
      <alignment horizontal="right"/>
    </xf>
    <xf numFmtId="167" fontId="46" fillId="4" borderId="0" xfId="0" applyNumberFormat="1" applyFont="1" applyFill="1" applyBorder="1" applyAlignment="1">
      <alignment horizontal="right"/>
    </xf>
    <xf numFmtId="167" fontId="25" fillId="4" borderId="7" xfId="0" applyNumberFormat="1" applyFont="1" applyFill="1" applyBorder="1" applyAlignment="1">
      <alignment horizontal="right"/>
    </xf>
    <xf numFmtId="167" fontId="25" fillId="3" borderId="29" xfId="0" applyNumberFormat="1" applyFont="1" applyFill="1" applyBorder="1"/>
    <xf numFmtId="167" fontId="46" fillId="3" borderId="27" xfId="0" applyNumberFormat="1" applyFont="1" applyFill="1" applyBorder="1"/>
    <xf numFmtId="167" fontId="46" fillId="4" borderId="7" xfId="0" applyNumberFormat="1" applyFont="1" applyFill="1" applyBorder="1"/>
    <xf numFmtId="167" fontId="46" fillId="3" borderId="7" xfId="0" applyNumberFormat="1" applyFont="1" applyFill="1" applyBorder="1"/>
    <xf numFmtId="167" fontId="46" fillId="3" borderId="29" xfId="0" applyNumberFormat="1" applyFont="1" applyFill="1" applyBorder="1"/>
    <xf numFmtId="198" fontId="46" fillId="4" borderId="0" xfId="0" applyNumberFormat="1" applyFont="1" applyFill="1" applyBorder="1"/>
    <xf numFmtId="198" fontId="46" fillId="3" borderId="0" xfId="0" applyNumberFormat="1" applyFont="1" applyFill="1" applyBorder="1"/>
    <xf numFmtId="198" fontId="46" fillId="3" borderId="22" xfId="0" applyNumberFormat="1" applyFont="1" applyFill="1" applyBorder="1"/>
    <xf numFmtId="179" fontId="46" fillId="3" borderId="0" xfId="0" applyNumberFormat="1" applyFont="1" applyFill="1"/>
    <xf numFmtId="179" fontId="46" fillId="4" borderId="0" xfId="0" applyNumberFormat="1" applyFont="1" applyFill="1" applyBorder="1"/>
    <xf numFmtId="179" fontId="46" fillId="4" borderId="0" xfId="0" applyNumberFormat="1" applyFont="1" applyFill="1"/>
    <xf numFmtId="179" fontId="46" fillId="3" borderId="2" xfId="0" applyNumberFormat="1" applyFont="1" applyFill="1" applyBorder="1"/>
    <xf numFmtId="179" fontId="46" fillId="4" borderId="2" xfId="0" applyNumberFormat="1" applyFont="1" applyFill="1" applyBorder="1"/>
    <xf numFmtId="179" fontId="46" fillId="3" borderId="0" xfId="0" applyNumberFormat="1" applyFont="1" applyFill="1" applyBorder="1"/>
    <xf numFmtId="164" fontId="46" fillId="4" borderId="0" xfId="0" applyNumberFormat="1" applyFont="1" applyFill="1" applyBorder="1" applyAlignment="1">
      <alignment horizontal="left" indent="1"/>
    </xf>
    <xf numFmtId="164" fontId="46" fillId="3" borderId="0" xfId="0" applyNumberFormat="1" applyFont="1" applyFill="1" applyBorder="1" applyAlignment="1">
      <alignment horizontal="left" indent="1"/>
    </xf>
    <xf numFmtId="164" fontId="46" fillId="3" borderId="22" xfId="0" applyNumberFormat="1" applyFont="1" applyFill="1" applyBorder="1" applyAlignment="1">
      <alignment horizontal="left" indent="1"/>
    </xf>
    <xf numFmtId="164" fontId="46" fillId="4" borderId="2" xfId="0" applyNumberFormat="1" applyFont="1" applyFill="1" applyBorder="1" applyAlignment="1">
      <alignment horizontal="left" indent="1"/>
    </xf>
    <xf numFmtId="164" fontId="46" fillId="3" borderId="2" xfId="0" applyNumberFormat="1" applyFont="1" applyFill="1" applyBorder="1" applyAlignment="1">
      <alignment horizontal="left" indent="1"/>
    </xf>
    <xf numFmtId="164" fontId="46" fillId="3" borderId="27" xfId="0" applyNumberFormat="1" applyFont="1" applyFill="1" applyBorder="1" applyAlignment="1">
      <alignment horizontal="left" indent="1"/>
    </xf>
    <xf numFmtId="167" fontId="50" fillId="4" borderId="0" xfId="0" applyNumberFormat="1" applyFont="1" applyFill="1" applyBorder="1" applyAlignment="1">
      <alignment horizontal="right"/>
    </xf>
    <xf numFmtId="167" fontId="50" fillId="4" borderId="0" xfId="0" applyNumberFormat="1" applyFont="1" applyFill="1" applyAlignment="1">
      <alignment horizontal="right"/>
    </xf>
    <xf numFmtId="167" fontId="50" fillId="3" borderId="0" xfId="15" applyNumberFormat="1" applyFont="1" applyFill="1">
      <alignment/>
      <protection/>
    </xf>
    <xf numFmtId="167" fontId="50" fillId="4" borderId="0" xfId="15" applyNumberFormat="1" applyFont="1" applyFill="1" applyBorder="1">
      <alignment/>
      <protection/>
    </xf>
    <xf numFmtId="167" fontId="50" fillId="4" borderId="0" xfId="15" applyNumberFormat="1" applyFont="1" applyFill="1">
      <alignment/>
      <protection/>
    </xf>
    <xf numFmtId="166" fontId="46" fillId="3" borderId="0" xfId="0" applyNumberFormat="1" applyFont="1" applyFill="1" applyBorder="1"/>
    <xf numFmtId="166" fontId="46" fillId="4" borderId="0" xfId="0" applyNumberFormat="1" applyFont="1" applyFill="1" applyBorder="1"/>
    <xf numFmtId="164" fontId="46" fillId="4" borderId="7" xfId="0" applyNumberFormat="1" applyFont="1" applyFill="1" applyBorder="1"/>
    <xf numFmtId="164" fontId="46" fillId="3" borderId="7" xfId="0" applyNumberFormat="1" applyFont="1" applyFill="1" applyBorder="1"/>
    <xf numFmtId="164" fontId="46" fillId="3" borderId="29" xfId="0" applyNumberFormat="1" applyFont="1" applyFill="1" applyBorder="1"/>
    <xf numFmtId="167" fontId="47" fillId="3" borderId="0" xfId="0" applyNumberFormat="1" applyFont="1" applyFill="1"/>
    <xf numFmtId="167" fontId="47" fillId="4" borderId="0" xfId="0" applyNumberFormat="1" applyFont="1" applyFill="1" applyBorder="1"/>
    <xf numFmtId="167" fontId="47" fillId="4" borderId="0" xfId="0" applyNumberFormat="1" applyFont="1" applyFill="1"/>
    <xf numFmtId="167" fontId="50" fillId="3" borderId="0" xfId="0" applyNumberFormat="1" applyFont="1" applyFill="1" applyBorder="1"/>
    <xf numFmtId="192" fontId="46" fillId="4" borderId="0" xfId="0" applyNumberFormat="1" applyFont="1" applyFill="1" applyBorder="1"/>
    <xf numFmtId="192" fontId="46" fillId="3" borderId="0" xfId="0" applyNumberFormat="1" applyFont="1" applyFill="1" applyBorder="1"/>
    <xf numFmtId="192" fontId="46" fillId="3" borderId="22" xfId="0" applyNumberFormat="1" applyFont="1" applyFill="1" applyBorder="1"/>
    <xf numFmtId="194" fontId="50" fillId="3" borderId="0" xfId="0" applyNumberFormat="1" applyFont="1" applyFill="1" applyBorder="1"/>
    <xf numFmtId="194" fontId="50" fillId="4" borderId="0" xfId="0" applyNumberFormat="1" applyFont="1" applyFill="1" applyBorder="1"/>
    <xf numFmtId="173" fontId="47" fillId="4" borderId="0" xfId="0" applyNumberFormat="1" applyFont="1" applyFill="1" applyBorder="1"/>
    <xf numFmtId="173" fontId="47" fillId="3" borderId="0" xfId="0" applyNumberFormat="1" applyFont="1" applyFill="1" applyBorder="1"/>
    <xf numFmtId="173" fontId="47" fillId="3" borderId="0" xfId="16" applyNumberFormat="1" applyFont="1" applyFill="1" applyBorder="1">
      <alignment/>
      <protection/>
    </xf>
    <xf numFmtId="173" fontId="47" fillId="3" borderId="22" xfId="16" applyNumberFormat="1" applyFont="1" applyFill="1" applyBorder="1">
      <alignment/>
      <protection/>
    </xf>
    <xf numFmtId="173" fontId="47" fillId="3" borderId="0" xfId="16" applyNumberFormat="1" applyFont="1" applyFill="1">
      <alignment/>
      <protection/>
    </xf>
    <xf numFmtId="173" fontId="47" fillId="4" borderId="0" xfId="16" applyNumberFormat="1" applyFont="1" applyFill="1" applyBorder="1">
      <alignment/>
      <protection/>
    </xf>
    <xf numFmtId="173" fontId="47" fillId="4" borderId="0" xfId="16" applyNumberFormat="1" applyFont="1" applyFill="1">
      <alignment/>
      <protection/>
    </xf>
    <xf numFmtId="164" fontId="46" fillId="3" borderId="0" xfId="0" applyNumberFormat="1" applyFont="1" applyFill="1"/>
    <xf numFmtId="164" fontId="46" fillId="4" borderId="0" xfId="0" applyNumberFormat="1" applyFont="1" applyFill="1"/>
    <xf numFmtId="169" fontId="47" fillId="3" borderId="0" xfId="0" applyNumberFormat="1" applyFont="1" applyFill="1"/>
    <xf numFmtId="169" fontId="47" fillId="4" borderId="0" xfId="0" applyNumberFormat="1" applyFont="1" applyFill="1" applyBorder="1"/>
    <xf numFmtId="169" fontId="47" fillId="4" borderId="0" xfId="0" applyNumberFormat="1" applyFont="1" applyFill="1"/>
    <xf numFmtId="185" fontId="47" fillId="3" borderId="0" xfId="0" applyNumberFormat="1" applyFont="1" applyFill="1" applyAlignment="1">
      <alignment horizontal="left"/>
    </xf>
    <xf numFmtId="167" fontId="50" fillId="3" borderId="0" xfId="0" applyNumberFormat="1" applyFont="1" applyFill="1" applyAlignment="1">
      <alignment horizontal="right"/>
    </xf>
    <xf numFmtId="164" fontId="47" fillId="3" borderId="0" xfId="0" applyNumberFormat="1" applyFont="1" applyFill="1" applyAlignment="1">
      <alignment horizontal="right"/>
    </xf>
    <xf numFmtId="164" fontId="47" fillId="4" borderId="0" xfId="0" applyNumberFormat="1" applyFont="1" applyFill="1" applyBorder="1" applyAlignment="1">
      <alignment horizontal="right"/>
    </xf>
    <xf numFmtId="164" fontId="47" fillId="4" borderId="0" xfId="0" applyNumberFormat="1" applyFont="1" applyFill="1" applyAlignment="1">
      <alignment horizontal="right"/>
    </xf>
    <xf numFmtId="164" fontId="47" fillId="4" borderId="7" xfId="0" applyNumberFormat="1" applyFont="1" applyFill="1" applyBorder="1"/>
    <xf numFmtId="164" fontId="47" fillId="3" borderId="7" xfId="0" applyNumberFormat="1" applyFont="1" applyFill="1" applyBorder="1"/>
    <xf numFmtId="166" fontId="51" fillId="3" borderId="4" xfId="25" applyNumberFormat="1" applyFont="1" applyFill="1" applyBorder="1">
      <alignment/>
      <protection/>
    </xf>
    <xf numFmtId="166" fontId="51" fillId="3" borderId="1" xfId="25" applyNumberFormat="1" applyFont="1" applyFill="1" applyBorder="1">
      <alignment/>
      <protection/>
    </xf>
    <xf numFmtId="185" fontId="51" fillId="3" borderId="0" xfId="25" applyNumberFormat="1" applyFont="1" applyFill="1" applyBorder="1">
      <alignment/>
      <protection/>
    </xf>
    <xf numFmtId="185" fontId="46" fillId="3" borderId="0" xfId="0" applyNumberFormat="1" applyFont="1" applyFill="1" applyBorder="1"/>
    <xf numFmtId="185" fontId="46" fillId="3" borderId="22" xfId="0" applyNumberFormat="1" applyFont="1" applyFill="1" applyBorder="1"/>
    <xf numFmtId="186" fontId="51" fillId="3" borderId="0" xfId="25" applyNumberFormat="1" applyFont="1" applyFill="1" applyBorder="1">
      <alignment/>
      <protection/>
    </xf>
    <xf numFmtId="186" fontId="46" fillId="3" borderId="0" xfId="0" applyNumberFormat="1" applyFont="1" applyFill="1" applyBorder="1"/>
    <xf numFmtId="186" fontId="46" fillId="3" borderId="22" xfId="0" applyNumberFormat="1" applyFont="1" applyFill="1" applyBorder="1"/>
    <xf numFmtId="191" fontId="51" fillId="3" borderId="0" xfId="25" applyNumberFormat="1" applyFont="1" applyFill="1" applyBorder="1">
      <alignment/>
      <protection/>
    </xf>
    <xf numFmtId="191" fontId="46" fillId="3" borderId="0" xfId="0" applyNumberFormat="1" applyFont="1" applyFill="1" applyBorder="1"/>
    <xf numFmtId="191" fontId="46" fillId="3" borderId="22" xfId="0" applyNumberFormat="1" applyFont="1" applyFill="1" applyBorder="1"/>
    <xf numFmtId="185" fontId="46" fillId="3" borderId="0" xfId="0" applyNumberFormat="1" applyFont="1" applyFill="1"/>
    <xf numFmtId="186" fontId="46" fillId="3" borderId="0" xfId="0" applyNumberFormat="1" applyFont="1" applyFill="1"/>
    <xf numFmtId="166" fontId="46" fillId="3" borderId="0" xfId="0" applyNumberFormat="1" applyFont="1" applyFill="1"/>
    <xf numFmtId="1" fontId="7" fillId="8" borderId="0" xfId="0" applyNumberFormat="1" applyFont="1" applyFill="1" applyBorder="1" applyAlignment="1">
      <alignment horizontal="center"/>
    </xf>
    <xf numFmtId="1" fontId="26" fillId="8" borderId="0" xfId="0" applyNumberFormat="1" applyFont="1" applyFill="1" applyAlignment="1">
      <alignment horizontal="center"/>
    </xf>
    <xf numFmtId="1" fontId="26" fillId="8" borderId="0" xfId="0" applyNumberFormat="1" applyFont="1" applyFill="1" applyBorder="1" applyAlignment="1">
      <alignment horizontal="center"/>
    </xf>
    <xf numFmtId="17" fontId="46" fillId="8" borderId="0" xfId="0" applyNumberFormat="1" applyFont="1" applyFill="1" applyBorder="1" applyAlignment="1">
      <alignment horizontal="center"/>
    </xf>
    <xf numFmtId="17" fontId="20" fillId="8" borderId="0" xfId="0" applyNumberFormat="1" applyFont="1" applyFill="1" applyBorder="1" applyAlignment="1">
      <alignment horizontal="center"/>
    </xf>
    <xf numFmtId="17" fontId="20" fillId="8" borderId="0" xfId="0" applyNumberFormat="1" applyFont="1" applyFill="1" applyAlignment="1">
      <alignment horizontal="center"/>
    </xf>
    <xf numFmtId="0" fontId="47" fillId="8" borderId="0" xfId="0" applyFont="1" applyFill="1" applyBorder="1" applyAlignment="1">
      <alignment horizontal="center"/>
    </xf>
    <xf numFmtId="0" fontId="31" fillId="8" borderId="0" xfId="0" applyFont="1" applyFill="1" applyBorder="1" applyAlignment="1">
      <alignment horizontal="center"/>
    </xf>
    <xf numFmtId="0" fontId="31" fillId="8" borderId="0" xfId="0" applyFont="1" applyFill="1" applyAlignment="1">
      <alignment horizontal="center"/>
    </xf>
    <xf numFmtId="164" fontId="7" fillId="8" borderId="0" xfId="0" applyNumberFormat="1" applyFont="1" applyFill="1" applyBorder="1"/>
    <xf numFmtId="164" fontId="26" fillId="8" borderId="0" xfId="0" applyNumberFormat="1" applyFont="1" applyFill="1"/>
    <xf numFmtId="164" fontId="26" fillId="8" borderId="0" xfId="0" applyNumberFormat="1" applyFont="1" applyFill="1" applyBorder="1"/>
    <xf numFmtId="164" fontId="0" fillId="8" borderId="2" xfId="0" applyNumberFormat="1" applyFont="1" applyFill="1" applyBorder="1"/>
    <xf numFmtId="164" fontId="25" fillId="8" borderId="2" xfId="0" applyNumberFormat="1" applyFont="1" applyFill="1" applyBorder="1"/>
    <xf numFmtId="167" fontId="23" fillId="8" borderId="0" xfId="0" applyNumberFormat="1" applyFont="1" applyFill="1" applyBorder="1"/>
    <xf numFmtId="167" fontId="23" fillId="8" borderId="0" xfId="0" applyNumberFormat="1" applyFont="1" applyFill="1"/>
    <xf numFmtId="167" fontId="19" fillId="8" borderId="0" xfId="0" applyNumberFormat="1" applyFont="1" applyFill="1" applyBorder="1"/>
    <xf numFmtId="164" fontId="23" fillId="8" borderId="0" xfId="0" applyNumberFormat="1" applyFont="1" applyFill="1" applyBorder="1" applyAlignment="1">
      <alignment horizontal="right"/>
    </xf>
    <xf numFmtId="167" fontId="7" fillId="8" borderId="0" xfId="0" applyNumberFormat="1" applyFont="1" applyFill="1" applyBorder="1" applyAlignment="1">
      <alignment horizontal="right"/>
    </xf>
    <xf numFmtId="167" fontId="7" fillId="8" borderId="0" xfId="0" applyNumberFormat="1" applyFont="1" applyFill="1" applyBorder="1"/>
    <xf numFmtId="167" fontId="26" fillId="8" borderId="0" xfId="0" applyNumberFormat="1" applyFont="1" applyFill="1" applyBorder="1"/>
    <xf numFmtId="167" fontId="23" fillId="8" borderId="0" xfId="0" applyNumberFormat="1" applyFont="1" applyFill="1" applyAlignment="1">
      <alignment horizontal="right"/>
    </xf>
    <xf numFmtId="167" fontId="23" fillId="8" borderId="0" xfId="0" applyNumberFormat="1" applyFont="1" applyFill="1" applyBorder="1" applyAlignment="1">
      <alignment horizontal="right"/>
    </xf>
    <xf numFmtId="166" fontId="25" fillId="8" borderId="0" xfId="0" applyNumberFormat="1" applyFont="1" applyFill="1" applyBorder="1" applyAlignment="1">
      <alignment horizontal="right"/>
    </xf>
    <xf numFmtId="166" fontId="25" fillId="8" borderId="0" xfId="0" applyNumberFormat="1" applyFont="1" applyFill="1" applyBorder="1"/>
    <xf numFmtId="190" fontId="7" fillId="8" borderId="0" xfId="0" applyNumberFormat="1" applyFont="1" applyFill="1" applyBorder="1" applyAlignment="1">
      <alignment horizontal="right"/>
    </xf>
    <xf numFmtId="190" fontId="26" fillId="8" borderId="0" xfId="0" applyNumberFormat="1" applyFont="1" applyFill="1" applyBorder="1" applyAlignment="1">
      <alignment horizontal="right"/>
    </xf>
    <xf numFmtId="169" fontId="23" fillId="8" borderId="0" xfId="0" applyNumberFormat="1" applyFont="1" applyFill="1" applyBorder="1" applyAlignment="1">
      <alignment horizontal="right"/>
    </xf>
    <xf numFmtId="167" fontId="25" fillId="8" borderId="0" xfId="0" applyNumberFormat="1" applyFont="1" applyFill="1" applyBorder="1"/>
    <xf numFmtId="167" fontId="25" fillId="8" borderId="0" xfId="0" applyNumberFormat="1" applyFont="1" applyFill="1"/>
    <xf numFmtId="167" fontId="50" fillId="8" borderId="0" xfId="0" applyNumberFormat="1" applyFont="1" applyFill="1" applyBorder="1"/>
    <xf numFmtId="167" fontId="50" fillId="8" borderId="0" xfId="0" applyNumberFormat="1" applyFont="1" applyFill="1"/>
    <xf numFmtId="167" fontId="46" fillId="8" borderId="0" xfId="0" applyNumberFormat="1" applyFont="1" applyFill="1" applyBorder="1"/>
    <xf numFmtId="167" fontId="46" fillId="8" borderId="0" xfId="0" applyNumberFormat="1" applyFont="1" applyFill="1"/>
    <xf numFmtId="190" fontId="26" fillId="8" borderId="0" xfId="0" applyNumberFormat="1" applyFont="1" applyFill="1" applyBorder="1"/>
    <xf numFmtId="190" fontId="7" fillId="8" borderId="0" xfId="0" applyNumberFormat="1" applyFont="1" applyFill="1" applyBorder="1"/>
    <xf numFmtId="190" fontId="26" fillId="8" borderId="0" xfId="0" applyNumberFormat="1" applyFont="1" applyFill="1"/>
    <xf numFmtId="164" fontId="7" fillId="8" borderId="0" xfId="0" applyNumberFormat="1" applyFont="1" applyFill="1" applyBorder="1" applyAlignment="1">
      <alignment horizontal="right"/>
    </xf>
    <xf numFmtId="164" fontId="0" fillId="8" borderId="0" xfId="0" applyNumberFormat="1" applyFont="1" applyFill="1" applyBorder="1"/>
    <xf numFmtId="164" fontId="25" fillId="8" borderId="0" xfId="0" applyNumberFormat="1" applyFont="1" applyFill="1"/>
    <xf numFmtId="164" fontId="25" fillId="8" borderId="0" xfId="0" applyNumberFormat="1" applyFont="1" applyFill="1" applyBorder="1"/>
    <xf numFmtId="167" fontId="0" fillId="8" borderId="0" xfId="0" applyNumberFormat="1" applyFont="1" applyFill="1" applyBorder="1"/>
    <xf numFmtId="167" fontId="26" fillId="8" borderId="0" xfId="0" applyNumberFormat="1" applyFont="1" applyFill="1"/>
    <xf numFmtId="164" fontId="47" fillId="8" borderId="0" xfId="0" applyNumberFormat="1" applyFont="1" applyFill="1" applyBorder="1"/>
    <xf numFmtId="164" fontId="7" fillId="8" borderId="7" xfId="0" applyNumberFormat="1" applyFont="1" applyFill="1" applyBorder="1"/>
    <xf numFmtId="164" fontId="26" fillId="8" borderId="7" xfId="0" applyNumberFormat="1" applyFont="1" applyFill="1" applyBorder="1"/>
    <xf numFmtId="167" fontId="7" fillId="8" borderId="7" xfId="0" applyNumberFormat="1" applyFont="1" applyFill="1" applyBorder="1"/>
    <xf numFmtId="167" fontId="26" fillId="8" borderId="7" xfId="0" applyNumberFormat="1" applyFont="1" applyFill="1" applyBorder="1"/>
    <xf numFmtId="164" fontId="25" fillId="8" borderId="7" xfId="0" applyNumberFormat="1" applyFont="1" applyFill="1" applyBorder="1"/>
    <xf numFmtId="164" fontId="0" fillId="8" borderId="7" xfId="0" applyNumberFormat="1" applyFont="1" applyFill="1" applyBorder="1"/>
    <xf numFmtId="167" fontId="0" fillId="8" borderId="7" xfId="0" applyNumberFormat="1" applyFont="1" applyFill="1" applyBorder="1"/>
    <xf numFmtId="167" fontId="25" fillId="8" borderId="7" xfId="0" applyNumberFormat="1" applyFont="1" applyFill="1" applyBorder="1"/>
    <xf numFmtId="164" fontId="26" fillId="8" borderId="0" xfId="0" applyNumberFormat="1" applyFont="1" applyFill="1" applyBorder="1" applyAlignment="1">
      <alignment horizontal="right"/>
    </xf>
    <xf numFmtId="164" fontId="46" fillId="8" borderId="0" xfId="0" applyNumberFormat="1" applyFont="1" applyFill="1" applyBorder="1"/>
    <xf numFmtId="164" fontId="46" fillId="8" borderId="2" xfId="0" applyNumberFormat="1" applyFont="1" applyFill="1" applyBorder="1"/>
    <xf numFmtId="167" fontId="25" fillId="8" borderId="2" xfId="0" applyNumberFormat="1" applyFont="1" applyFill="1" applyBorder="1"/>
    <xf numFmtId="167" fontId="46" fillId="8" borderId="2" xfId="0" applyNumberFormat="1" applyFont="1" applyFill="1" applyBorder="1"/>
    <xf numFmtId="167" fontId="7" fillId="8" borderId="7" xfId="0" applyNumberFormat="1" applyFont="1" applyFill="1" applyBorder="1" applyAlignment="1">
      <alignment horizontal="right"/>
    </xf>
    <xf numFmtId="167" fontId="26" fillId="8" borderId="0" xfId="0" applyNumberFormat="1" applyFont="1" applyFill="1" applyBorder="1" applyAlignment="1">
      <alignment horizontal="right"/>
    </xf>
    <xf numFmtId="164" fontId="0" fillId="8" borderId="0" xfId="0" applyNumberFormat="1" applyFont="1" applyFill="1" applyBorder="1" applyAlignment="1">
      <alignment horizontal="right"/>
    </xf>
    <xf numFmtId="164" fontId="25" fillId="8" borderId="0" xfId="0" applyNumberFormat="1" applyFont="1" applyFill="1" applyAlignment="1">
      <alignment horizontal="right"/>
    </xf>
    <xf numFmtId="164" fontId="25" fillId="8" borderId="0" xfId="0" applyNumberFormat="1" applyFont="1" applyFill="1" applyBorder="1" applyAlignment="1">
      <alignment horizontal="right"/>
    </xf>
    <xf numFmtId="164" fontId="46" fillId="8" borderId="0" xfId="0" applyNumberFormat="1" applyFont="1" applyFill="1" applyBorder="1" applyAlignment="1">
      <alignment horizontal="right"/>
    </xf>
    <xf numFmtId="164" fontId="46" fillId="8" borderId="2" xfId="0" applyNumberFormat="1" applyFont="1" applyFill="1" applyBorder="1" applyAlignment="1">
      <alignment horizontal="right"/>
    </xf>
    <xf numFmtId="164" fontId="25" fillId="8" borderId="2" xfId="0" applyNumberFormat="1" applyFont="1" applyFill="1" applyBorder="1" applyAlignment="1">
      <alignment horizontal="right"/>
    </xf>
    <xf numFmtId="164" fontId="7" fillId="8" borderId="7" xfId="0" applyNumberFormat="1" applyFont="1" applyFill="1" applyBorder="1" applyAlignment="1">
      <alignment horizontal="right"/>
    </xf>
    <xf numFmtId="164" fontId="26" fillId="8" borderId="7" xfId="0" applyNumberFormat="1" applyFont="1" applyFill="1" applyBorder="1" applyAlignment="1">
      <alignment horizontal="right"/>
    </xf>
    <xf numFmtId="164" fontId="23" fillId="8" borderId="0" xfId="0" applyNumberFormat="1" applyFont="1" applyFill="1" applyBorder="1"/>
    <xf numFmtId="164" fontId="23" fillId="8" borderId="0" xfId="0" applyNumberFormat="1" applyFont="1" applyFill="1" applyAlignment="1">
      <alignment horizontal="right"/>
    </xf>
    <xf numFmtId="167" fontId="23" fillId="8" borderId="0" xfId="0" applyNumberFormat="1" applyFont="1" applyFill="1" applyAlignment="1">
      <alignment horizontal="center"/>
    </xf>
    <xf numFmtId="167" fontId="23" fillId="8" borderId="0" xfId="0" applyNumberFormat="1" applyFont="1" applyFill="1" applyBorder="1" applyAlignment="1">
      <alignment horizontal="center"/>
    </xf>
    <xf numFmtId="167" fontId="23" fillId="8" borderId="7" xfId="0" applyNumberFormat="1" applyFont="1" applyFill="1" applyBorder="1"/>
    <xf numFmtId="167" fontId="23" fillId="8" borderId="7" xfId="0" applyNumberFormat="1" applyFont="1" applyFill="1" applyBorder="1" applyAlignment="1">
      <alignment horizontal="center"/>
    </xf>
    <xf numFmtId="167" fontId="34" fillId="8" borderId="7" xfId="0" applyNumberFormat="1" applyFont="1" applyFill="1" applyBorder="1"/>
    <xf numFmtId="167" fontId="34" fillId="8" borderId="7" xfId="0" applyNumberFormat="1" applyFont="1" applyFill="1" applyBorder="1" applyAlignment="1">
      <alignment horizontal="center"/>
    </xf>
    <xf numFmtId="167" fontId="25" fillId="8" borderId="0" xfId="0" applyNumberFormat="1" applyFont="1" applyFill="1" applyBorder="1" applyAlignment="1">
      <alignment horizontal="right"/>
    </xf>
    <xf numFmtId="167" fontId="46" fillId="8" borderId="0" xfId="0" applyNumberFormat="1" applyFont="1" applyFill="1" applyBorder="1" applyAlignment="1">
      <alignment horizontal="right"/>
    </xf>
    <xf numFmtId="167" fontId="25" fillId="8" borderId="7" xfId="0" applyNumberFormat="1" applyFont="1" applyFill="1" applyBorder="1" applyAlignment="1">
      <alignment horizontal="right"/>
    </xf>
    <xf numFmtId="167" fontId="0" fillId="8" borderId="2" xfId="0" applyNumberFormat="1" applyFont="1" applyFill="1" applyBorder="1" applyAlignment="1">
      <alignment horizontal="right"/>
    </xf>
    <xf numFmtId="167" fontId="0" fillId="8" borderId="2" xfId="0" applyNumberFormat="1" applyFont="1" applyFill="1" applyBorder="1"/>
    <xf numFmtId="167" fontId="26" fillId="8" borderId="7" xfId="0" applyNumberFormat="1" applyFont="1" applyFill="1" applyBorder="1" applyAlignment="1">
      <alignment horizontal="right"/>
    </xf>
    <xf numFmtId="164" fontId="0" fillId="8" borderId="2" xfId="0" applyNumberFormat="1" applyFont="1" applyFill="1" applyBorder="1" applyAlignment="1">
      <alignment horizontal="right"/>
    </xf>
    <xf numFmtId="164" fontId="26" fillId="8" borderId="0" xfId="0" applyNumberFormat="1" applyFont="1" applyFill="1" applyAlignment="1">
      <alignment horizontal="right"/>
    </xf>
    <xf numFmtId="164" fontId="25" fillId="8" borderId="7" xfId="0" applyNumberFormat="1" applyFont="1" applyFill="1" applyBorder="1" applyAlignment="1">
      <alignment horizontal="right"/>
    </xf>
    <xf numFmtId="164" fontId="0" fillId="8" borderId="7" xfId="0" applyNumberFormat="1" applyFont="1" applyFill="1" applyBorder="1" applyAlignment="1">
      <alignment horizontal="right"/>
    </xf>
    <xf numFmtId="167" fontId="46" fillId="8" borderId="7" xfId="0" applyNumberFormat="1" applyFont="1" applyFill="1" applyBorder="1"/>
    <xf numFmtId="167" fontId="0" fillId="8" borderId="0" xfId="0" applyNumberFormat="1" applyFont="1" applyFill="1" applyBorder="1" applyAlignment="1">
      <alignment horizontal="right"/>
    </xf>
    <xf numFmtId="167" fontId="0" fillId="8" borderId="7" xfId="0" applyNumberFormat="1" applyFont="1" applyFill="1" applyBorder="1" applyAlignment="1">
      <alignment horizontal="right"/>
    </xf>
    <xf numFmtId="198" fontId="46" fillId="8" borderId="0" xfId="0" applyNumberFormat="1" applyFont="1" applyFill="1" applyBorder="1"/>
    <xf numFmtId="198" fontId="25" fillId="8" borderId="0" xfId="0" applyNumberFormat="1" applyFont="1" applyFill="1"/>
    <xf numFmtId="198" fontId="25" fillId="8" borderId="0" xfId="0" applyNumberFormat="1" applyFont="1" applyFill="1" applyBorder="1"/>
    <xf numFmtId="198" fontId="23" fillId="8" borderId="0" xfId="0" applyNumberFormat="1" applyFont="1" applyFill="1" applyBorder="1"/>
    <xf numFmtId="198" fontId="23" fillId="8" borderId="0" xfId="0" applyNumberFormat="1" applyFont="1" applyFill="1"/>
    <xf numFmtId="179" fontId="25" fillId="8" borderId="0" xfId="0" applyNumberFormat="1" applyFont="1" applyFill="1" applyBorder="1"/>
    <xf numFmtId="179" fontId="0" fillId="8" borderId="0" xfId="0" applyNumberFormat="1" applyFont="1" applyFill="1" applyBorder="1"/>
    <xf numFmtId="179" fontId="25" fillId="8" borderId="0" xfId="0" applyNumberFormat="1" applyFont="1" applyFill="1"/>
    <xf numFmtId="179" fontId="0" fillId="8" borderId="0" xfId="0" applyNumberFormat="1" applyFont="1" applyFill="1" applyBorder="1" applyAlignment="1">
      <alignment horizontal="right"/>
    </xf>
    <xf numFmtId="179" fontId="25" fillId="8" borderId="2" xfId="0" applyNumberFormat="1" applyFont="1" applyFill="1" applyBorder="1"/>
    <xf numFmtId="179" fontId="46" fillId="8" borderId="0" xfId="0" applyNumberFormat="1" applyFont="1" applyFill="1" applyBorder="1"/>
    <xf numFmtId="179" fontId="46" fillId="8" borderId="0" xfId="0" applyNumberFormat="1" applyFont="1" applyFill="1"/>
    <xf numFmtId="179" fontId="46" fillId="8" borderId="2" xfId="0" applyNumberFormat="1" applyFont="1" applyFill="1" applyBorder="1"/>
    <xf numFmtId="179" fontId="25" fillId="8" borderId="7" xfId="0" applyNumberFormat="1" applyFont="1" applyFill="1" applyBorder="1"/>
    <xf numFmtId="179" fontId="26" fillId="8" borderId="0" xfId="0" applyNumberFormat="1" applyFont="1" applyFill="1" applyBorder="1"/>
    <xf numFmtId="179" fontId="26" fillId="8" borderId="0" xfId="0" applyNumberFormat="1" applyFont="1" applyFill="1"/>
    <xf numFmtId="164" fontId="46" fillId="8" borderId="0" xfId="0" applyNumberFormat="1" applyFont="1" applyFill="1" applyBorder="1" applyAlignment="1">
      <alignment horizontal="left" indent="1"/>
    </xf>
    <xf numFmtId="164" fontId="25" fillId="8" borderId="0" xfId="0" applyNumberFormat="1" applyFont="1" applyFill="1" applyAlignment="1">
      <alignment horizontal="left" indent="1"/>
    </xf>
    <xf numFmtId="164" fontId="25" fillId="8" borderId="0" xfId="0" applyNumberFormat="1" applyFont="1" applyFill="1" applyBorder="1" applyAlignment="1">
      <alignment horizontal="left" indent="1"/>
    </xf>
    <xf numFmtId="164" fontId="46" fillId="8" borderId="2" xfId="0" applyNumberFormat="1" applyFont="1" applyFill="1" applyBorder="1" applyAlignment="1">
      <alignment horizontal="left" indent="1"/>
    </xf>
    <xf numFmtId="164" fontId="25" fillId="8" borderId="2" xfId="0" applyNumberFormat="1" applyFont="1" applyFill="1" applyBorder="1" applyAlignment="1">
      <alignment horizontal="left" indent="1"/>
    </xf>
    <xf numFmtId="164" fontId="0" fillId="8" borderId="0" xfId="0" applyNumberFormat="1" applyFont="1" applyFill="1" applyBorder="1" applyAlignment="1">
      <alignment horizontal="left" indent="1"/>
    </xf>
    <xf numFmtId="164" fontId="0" fillId="8" borderId="9" xfId="0" applyNumberFormat="1" applyFont="1" applyFill="1" applyBorder="1" applyAlignment="1">
      <alignment horizontal="left" indent="1"/>
    </xf>
    <xf numFmtId="164" fontId="25" fillId="8" borderId="9" xfId="0" applyNumberFormat="1" applyFont="1" applyFill="1" applyBorder="1" applyAlignment="1">
      <alignment horizontal="left" indent="1"/>
    </xf>
    <xf numFmtId="167" fontId="50" fillId="8" borderId="0" xfId="0" applyNumberFormat="1" applyFont="1" applyFill="1" applyBorder="1" applyAlignment="1">
      <alignment horizontal="right"/>
    </xf>
    <xf numFmtId="167" fontId="50" fillId="8" borderId="0" xfId="0" applyNumberFormat="1" applyFont="1" applyFill="1" applyAlignment="1">
      <alignment horizontal="right"/>
    </xf>
    <xf numFmtId="167" fontId="23" fillId="8" borderId="0" xfId="15" applyNumberFormat="1" applyFont="1" applyFill="1" applyBorder="1">
      <alignment/>
      <protection/>
    </xf>
    <xf numFmtId="167" fontId="23" fillId="8" borderId="0" xfId="15" applyNumberFormat="1" applyFont="1" applyFill="1">
      <alignment/>
      <protection/>
    </xf>
    <xf numFmtId="167" fontId="50" fillId="8" borderId="0" xfId="15" applyNumberFormat="1" applyFont="1" applyFill="1" applyBorder="1">
      <alignment/>
      <protection/>
    </xf>
    <xf numFmtId="167" fontId="50" fillId="8" borderId="0" xfId="15" applyNumberFormat="1" applyFont="1" applyFill="1">
      <alignment/>
      <protection/>
    </xf>
    <xf numFmtId="167" fontId="19" fillId="8" borderId="0" xfId="0" applyNumberFormat="1" applyFont="1" applyFill="1" applyBorder="1" applyAlignment="1">
      <alignment horizontal="right"/>
    </xf>
    <xf numFmtId="166" fontId="0" fillId="8" borderId="0" xfId="0" applyNumberFormat="1" applyFont="1" applyFill="1" applyBorder="1"/>
    <xf numFmtId="166" fontId="46" fillId="8" borderId="0" xfId="0" applyNumberFormat="1" applyFont="1" applyFill="1" applyBorder="1"/>
    <xf numFmtId="166" fontId="25" fillId="8" borderId="0" xfId="0" applyNumberFormat="1" applyFont="1" applyFill="1"/>
    <xf numFmtId="164" fontId="46" fillId="8" borderId="7" xfId="0" applyNumberFormat="1" applyFont="1" applyFill="1" applyBorder="1"/>
    <xf numFmtId="164" fontId="25" fillId="8" borderId="0" xfId="0" applyNumberFormat="1" applyFont="1" applyFill="1" applyAlignment="1">
      <alignment horizontal="center"/>
    </xf>
    <xf numFmtId="164" fontId="25" fillId="8" borderId="0" xfId="0" applyNumberFormat="1" applyFont="1" applyFill="1" applyBorder="1" applyAlignment="1">
      <alignment horizontal="center"/>
    </xf>
    <xf numFmtId="164" fontId="23" fillId="8" borderId="0" xfId="0" applyNumberFormat="1" applyFont="1" applyFill="1"/>
    <xf numFmtId="164" fontId="7" fillId="8" borderId="9" xfId="0" applyNumberFormat="1" applyFont="1" applyFill="1" applyBorder="1"/>
    <xf numFmtId="164" fontId="26" fillId="8" borderId="9" xfId="0" applyNumberFormat="1" applyFont="1" applyFill="1" applyBorder="1"/>
    <xf numFmtId="164" fontId="25" fillId="8" borderId="9" xfId="0" applyNumberFormat="1" applyFont="1" applyFill="1" applyBorder="1"/>
    <xf numFmtId="164" fontId="23" fillId="8" borderId="7" xfId="0" applyNumberFormat="1" applyFont="1" applyFill="1" applyBorder="1"/>
    <xf numFmtId="167" fontId="47" fillId="8" borderId="0" xfId="0" applyNumberFormat="1" applyFont="1" applyFill="1" applyBorder="1"/>
    <xf numFmtId="167" fontId="47" fillId="8" borderId="0" xfId="0" applyNumberFormat="1" applyFont="1" applyFill="1"/>
    <xf numFmtId="169" fontId="7" fillId="8" borderId="0" xfId="0" applyNumberFormat="1" applyFont="1" applyFill="1" applyBorder="1"/>
    <xf numFmtId="169" fontId="26" fillId="8" borderId="0" xfId="0" applyNumberFormat="1" applyFont="1" applyFill="1"/>
    <xf numFmtId="169" fontId="26" fillId="8" borderId="0" xfId="0" applyNumberFormat="1" applyFont="1" applyFill="1" applyBorder="1"/>
    <xf numFmtId="169" fontId="23" fillId="8" borderId="0" xfId="0" applyNumberFormat="1" applyFont="1" applyFill="1" applyBorder="1"/>
    <xf numFmtId="169" fontId="23" fillId="8" borderId="0" xfId="0" applyNumberFormat="1" applyFont="1" applyFill="1" applyAlignment="1">
      <alignment horizontal="right"/>
    </xf>
    <xf numFmtId="167" fontId="23" fillId="8" borderId="2" xfId="0" applyNumberFormat="1" applyFont="1" applyFill="1" applyBorder="1"/>
    <xf numFmtId="192" fontId="46" fillId="8" borderId="0" xfId="0" applyNumberFormat="1" applyFont="1" applyFill="1" applyBorder="1"/>
    <xf numFmtId="192" fontId="25" fillId="8" borderId="0" xfId="0" applyNumberFormat="1" applyFont="1" applyFill="1"/>
    <xf numFmtId="192" fontId="25" fillId="8" borderId="0" xfId="0" applyNumberFormat="1" applyFont="1" applyFill="1" applyBorder="1"/>
    <xf numFmtId="194" fontId="23" fillId="8" borderId="0" xfId="0" applyNumberFormat="1" applyFont="1" applyFill="1" applyBorder="1"/>
    <xf numFmtId="194" fontId="50" fillId="8" borderId="0" xfId="0" applyNumberFormat="1" applyFont="1" applyFill="1" applyBorder="1"/>
    <xf numFmtId="173" fontId="26" fillId="8" borderId="0" xfId="0" applyNumberFormat="1" applyFont="1" applyFill="1" applyBorder="1"/>
    <xf numFmtId="173" fontId="47" fillId="8" borderId="0" xfId="0" applyNumberFormat="1" applyFont="1" applyFill="1" applyBorder="1"/>
    <xf numFmtId="173" fontId="26" fillId="8" borderId="0" xfId="16" applyNumberFormat="1" applyFont="1" applyFill="1" applyBorder="1">
      <alignment/>
      <protection/>
    </xf>
    <xf numFmtId="173" fontId="26" fillId="8" borderId="0" xfId="16" applyNumberFormat="1" applyFont="1" applyFill="1">
      <alignment/>
      <protection/>
    </xf>
    <xf numFmtId="173" fontId="47" fillId="8" borderId="0" xfId="16" applyNumberFormat="1" applyFont="1" applyFill="1" applyBorder="1">
      <alignment/>
      <protection/>
    </xf>
    <xf numFmtId="173" fontId="47" fillId="8" borderId="0" xfId="16" applyNumberFormat="1" applyFont="1" applyFill="1">
      <alignment/>
      <protection/>
    </xf>
    <xf numFmtId="169" fontId="26" fillId="8" borderId="0" xfId="16" applyNumberFormat="1" applyFont="1" applyFill="1" applyBorder="1" applyAlignment="1">
      <alignment horizontal="right" indent="1"/>
      <protection/>
    </xf>
    <xf numFmtId="169" fontId="26" fillId="8" borderId="0" xfId="16" applyNumberFormat="1" applyFont="1" applyFill="1" applyBorder="1">
      <alignment/>
      <protection/>
    </xf>
    <xf numFmtId="169" fontId="26" fillId="8" borderId="0" xfId="16" applyNumberFormat="1" applyFont="1" applyFill="1">
      <alignment/>
      <protection/>
    </xf>
    <xf numFmtId="167" fontId="19" fillId="8" borderId="0" xfId="16" applyNumberFormat="1" applyFont="1" applyFill="1" applyBorder="1" applyAlignment="1">
      <alignment horizontal="right" indent="1"/>
      <protection/>
    </xf>
    <xf numFmtId="167" fontId="19" fillId="8" borderId="0" xfId="16" applyNumberFormat="1" applyFont="1" applyFill="1" applyBorder="1">
      <alignment/>
      <protection/>
    </xf>
    <xf numFmtId="167" fontId="23" fillId="8" borderId="0" xfId="16" applyNumberFormat="1" applyFont="1" applyFill="1" applyBorder="1">
      <alignment/>
      <protection/>
    </xf>
    <xf numFmtId="167" fontId="23" fillId="8" borderId="0" xfId="16" applyNumberFormat="1" applyFont="1" applyFill="1">
      <alignment/>
      <protection/>
    </xf>
    <xf numFmtId="44" fontId="7" fillId="8" borderId="0" xfId="0" applyNumberFormat="1" applyFont="1" applyFill="1" applyBorder="1"/>
    <xf numFmtId="44" fontId="26" fillId="8" borderId="0" xfId="0" applyNumberFormat="1" applyFont="1" applyFill="1"/>
    <xf numFmtId="44" fontId="26" fillId="8" borderId="0" xfId="0" applyNumberFormat="1" applyFont="1" applyFill="1" applyBorder="1"/>
    <xf numFmtId="179" fontId="7" fillId="8" borderId="0" xfId="0" applyNumberFormat="1" applyFont="1" applyFill="1" applyBorder="1"/>
    <xf numFmtId="179" fontId="23" fillId="8" borderId="0" xfId="0" applyNumberFormat="1" applyFont="1" applyFill="1" applyBorder="1"/>
    <xf numFmtId="179" fontId="23" fillId="8" borderId="0" xfId="0" applyNumberFormat="1" applyFont="1" applyFill="1" applyAlignment="1">
      <alignment horizontal="right"/>
    </xf>
    <xf numFmtId="179" fontId="23" fillId="8" borderId="0" xfId="0" applyNumberFormat="1" applyFont="1" applyFill="1" applyBorder="1" applyAlignment="1">
      <alignment horizontal="right"/>
    </xf>
    <xf numFmtId="0" fontId="25" fillId="8" borderId="0" xfId="0" applyNumberFormat="1" applyFont="1" applyFill="1" applyBorder="1"/>
    <xf numFmtId="0" fontId="25" fillId="8" borderId="0" xfId="0" applyNumberFormat="1" applyFont="1" applyFill="1"/>
    <xf numFmtId="164" fontId="46" fillId="8" borderId="0" xfId="0" applyNumberFormat="1" applyFont="1" applyFill="1"/>
    <xf numFmtId="169" fontId="47" fillId="8" borderId="0" xfId="0" applyNumberFormat="1" applyFont="1" applyFill="1" applyBorder="1"/>
    <xf numFmtId="169" fontId="47" fillId="8" borderId="0" xfId="0" applyNumberFormat="1" applyFont="1" applyFill="1"/>
    <xf numFmtId="185" fontId="7" fillId="8" borderId="0" xfId="0" applyNumberFormat="1" applyFont="1" applyFill="1" applyBorder="1" applyAlignment="1">
      <alignment horizontal="right"/>
    </xf>
    <xf numFmtId="185" fontId="26" fillId="8" borderId="0" xfId="0" applyNumberFormat="1" applyFont="1" applyFill="1" applyBorder="1"/>
    <xf numFmtId="185" fontId="26" fillId="8" borderId="0" xfId="0" applyNumberFormat="1" applyFont="1" applyFill="1"/>
    <xf numFmtId="170" fontId="25" fillId="8" borderId="0" xfId="0" applyNumberFormat="1" applyFont="1" applyFill="1" applyBorder="1" applyAlignment="1">
      <alignment horizontal="right"/>
    </xf>
    <xf numFmtId="170" fontId="25" fillId="8" borderId="0" xfId="0" applyNumberFormat="1" applyFont="1" applyFill="1" applyAlignment="1">
      <alignment horizontal="right"/>
    </xf>
    <xf numFmtId="170" fontId="0" fillId="8" borderId="0" xfId="0" applyNumberFormat="1" applyFont="1" applyFill="1" applyBorder="1" applyAlignment="1">
      <alignment horizontal="right"/>
    </xf>
    <xf numFmtId="185" fontId="0" fillId="8" borderId="0" xfId="0" applyNumberFormat="1" applyFont="1" applyFill="1" applyBorder="1" applyAlignment="1">
      <alignment horizontal="right"/>
    </xf>
    <xf numFmtId="185" fontId="25" fillId="8" borderId="0" xfId="0" applyNumberFormat="1" applyFont="1" applyFill="1" applyBorder="1"/>
    <xf numFmtId="185" fontId="25" fillId="8" borderId="0" xfId="0" applyNumberFormat="1" applyFont="1" applyFill="1"/>
    <xf numFmtId="191" fontId="0" fillId="8" borderId="0" xfId="0" applyNumberFormat="1" applyFont="1" applyFill="1" applyBorder="1" applyAlignment="1">
      <alignment horizontal="right"/>
    </xf>
    <xf numFmtId="191" fontId="25" fillId="8" borderId="0" xfId="0" applyNumberFormat="1" applyFont="1" applyFill="1" applyBorder="1"/>
    <xf numFmtId="191" fontId="25" fillId="8" borderId="0" xfId="0" applyNumberFormat="1" applyFont="1" applyFill="1"/>
    <xf numFmtId="186" fontId="0" fillId="8" borderId="0" xfId="0" applyNumberFormat="1" applyFont="1" applyFill="1" applyBorder="1" applyAlignment="1">
      <alignment horizontal="right"/>
    </xf>
    <xf numFmtId="186" fontId="25" fillId="8" borderId="0" xfId="0" applyNumberFormat="1" applyFont="1" applyFill="1" applyBorder="1"/>
    <xf numFmtId="186" fontId="25" fillId="8" borderId="0" xfId="0" applyNumberFormat="1" applyFont="1" applyFill="1"/>
    <xf numFmtId="164" fontId="26" fillId="8" borderId="12" xfId="0" applyNumberFormat="1" applyFont="1" applyFill="1" applyBorder="1" applyAlignment="1">
      <alignment horizontal="right"/>
    </xf>
    <xf numFmtId="166" fontId="26" fillId="8" borderId="0" xfId="0" applyNumberFormat="1" applyFont="1" applyFill="1" applyBorder="1"/>
    <xf numFmtId="166" fontId="26" fillId="8" borderId="0" xfId="0" applyNumberFormat="1" applyFont="1" applyFill="1" applyBorder="1" applyAlignment="1">
      <alignment horizontal="right"/>
    </xf>
    <xf numFmtId="166" fontId="26" fillId="8" borderId="0" xfId="0" applyNumberFormat="1" applyFont="1" applyFill="1" applyAlignment="1">
      <alignment horizontal="right"/>
    </xf>
    <xf numFmtId="164" fontId="47" fillId="8" borderId="0" xfId="0" applyNumberFormat="1" applyFont="1" applyFill="1" applyBorder="1" applyAlignment="1">
      <alignment horizontal="right"/>
    </xf>
    <xf numFmtId="164" fontId="47" fillId="8" borderId="0" xfId="0" applyNumberFormat="1" applyFont="1" applyFill="1" applyAlignment="1">
      <alignment horizontal="right"/>
    </xf>
    <xf numFmtId="164" fontId="47" fillId="8" borderId="7" xfId="0" applyNumberFormat="1" applyFont="1" applyFill="1" applyBorder="1"/>
    <xf numFmtId="17" fontId="34" fillId="8" borderId="0" xfId="27" applyNumberFormat="1" applyFont="1" applyFill="1" applyBorder="1" applyAlignment="1">
      <alignment horizontal="center"/>
      <protection/>
    </xf>
    <xf numFmtId="17" fontId="35" fillId="8" borderId="0" xfId="27" applyNumberFormat="1" applyFont="1" applyFill="1" applyBorder="1" applyAlignment="1">
      <alignment horizontal="center"/>
      <protection/>
    </xf>
    <xf numFmtId="17" fontId="35" fillId="8" borderId="0" xfId="27" applyNumberFormat="1" applyFont="1" applyFill="1" applyAlignment="1">
      <alignment horizontal="center"/>
      <protection/>
    </xf>
    <xf numFmtId="164" fontId="26" fillId="8" borderId="0" xfId="27" applyNumberFormat="1" applyFont="1" applyFill="1" applyBorder="1" applyAlignment="1">
      <alignment horizontal="center"/>
      <protection/>
    </xf>
    <xf numFmtId="164" fontId="31" fillId="8" borderId="0" xfId="27" applyNumberFormat="1" applyFont="1" applyFill="1" applyBorder="1" applyAlignment="1">
      <alignment horizontal="center"/>
      <protection/>
    </xf>
    <xf numFmtId="164" fontId="31" fillId="8" borderId="0" xfId="27" applyNumberFormat="1" applyFont="1" applyFill="1" applyAlignment="1">
      <alignment horizontal="center"/>
      <protection/>
    </xf>
    <xf numFmtId="185" fontId="26" fillId="8" borderId="0" xfId="27" applyNumberFormat="1" applyFont="1" applyFill="1" applyBorder="1" applyAlignment="1">
      <alignment horizontal="right"/>
      <protection/>
    </xf>
    <xf numFmtId="185" fontId="26" fillId="8" borderId="0" xfId="27" applyNumberFormat="1" applyFont="1" applyFill="1" applyBorder="1">
      <alignment/>
      <protection/>
    </xf>
    <xf numFmtId="185" fontId="26" fillId="8" borderId="0" xfId="27" applyNumberFormat="1" applyFont="1" applyFill="1">
      <alignment/>
      <protection/>
    </xf>
    <xf numFmtId="164" fontId="25" fillId="8" borderId="2" xfId="27" applyNumberFormat="1" applyFont="1" applyFill="1" applyBorder="1" applyAlignment="1">
      <alignment horizontal="right"/>
      <protection/>
    </xf>
    <xf numFmtId="164" fontId="25" fillId="8" borderId="2" xfId="27" applyNumberFormat="1" applyFont="1" applyFill="1" applyBorder="1">
      <alignment/>
      <protection/>
    </xf>
    <xf numFmtId="164" fontId="26" fillId="8" borderId="7" xfId="27" applyNumberFormat="1" applyFont="1" applyFill="1" applyBorder="1">
      <alignment/>
      <protection/>
    </xf>
    <xf numFmtId="166" fontId="26" fillId="8" borderId="0" xfId="27" applyNumberFormat="1" applyFont="1" applyFill="1" applyBorder="1">
      <alignment/>
      <protection/>
    </xf>
    <xf numFmtId="166" fontId="26" fillId="8" borderId="0" xfId="27" applyNumberFormat="1" applyFont="1" applyFill="1">
      <alignment/>
      <protection/>
    </xf>
    <xf numFmtId="164" fontId="25" fillId="8" borderId="0" xfId="27" applyNumberFormat="1" applyFont="1" applyFill="1" applyBorder="1">
      <alignment/>
      <protection/>
    </xf>
    <xf numFmtId="164" fontId="25" fillId="8" borderId="0" xfId="27" applyNumberFormat="1" applyFont="1" applyFill="1">
      <alignment/>
      <protection/>
    </xf>
    <xf numFmtId="164" fontId="26" fillId="8" borderId="0" xfId="27" applyNumberFormat="1" applyFont="1" applyFill="1" applyBorder="1">
      <alignment/>
      <protection/>
    </xf>
    <xf numFmtId="164" fontId="26" fillId="8" borderId="0" xfId="27" applyNumberFormat="1" applyFont="1" applyFill="1">
      <alignment/>
      <protection/>
    </xf>
    <xf numFmtId="167" fontId="25" fillId="8" borderId="0" xfId="27" applyNumberFormat="1" applyFont="1" applyFill="1" applyBorder="1">
      <alignment/>
      <protection/>
    </xf>
    <xf numFmtId="167" fontId="25" fillId="8" borderId="0" xfId="27" applyNumberFormat="1" applyFont="1" applyFill="1">
      <alignment/>
      <protection/>
    </xf>
    <xf numFmtId="167" fontId="25" fillId="8" borderId="2" xfId="27" applyNumberFormat="1" applyFont="1" applyFill="1" applyBorder="1">
      <alignment/>
      <protection/>
    </xf>
    <xf numFmtId="167" fontId="26" fillId="8" borderId="7" xfId="27" applyNumberFormat="1" applyFont="1" applyFill="1" applyBorder="1">
      <alignment/>
      <protection/>
    </xf>
    <xf numFmtId="167" fontId="26" fillId="8" borderId="0" xfId="27" applyNumberFormat="1" applyFont="1" applyFill="1" applyBorder="1">
      <alignment/>
      <protection/>
    </xf>
    <xf numFmtId="167" fontId="26" fillId="8" borderId="0" xfId="27" applyNumberFormat="1" applyFont="1" applyFill="1">
      <alignment/>
      <protection/>
    </xf>
    <xf numFmtId="169" fontId="26" fillId="8" borderId="0" xfId="27" applyNumberFormat="1" applyFont="1" applyFill="1" applyBorder="1">
      <alignment/>
      <protection/>
    </xf>
    <xf numFmtId="169" fontId="26" fillId="8" borderId="0" xfId="27" applyNumberFormat="1" applyFont="1" applyFill="1">
      <alignment/>
      <protection/>
    </xf>
    <xf numFmtId="167" fontId="26" fillId="8" borderId="0" xfId="27" applyNumberFormat="1" applyFont="1" applyFill="1" applyBorder="1" applyAlignment="1">
      <alignment horizontal="center"/>
      <protection/>
    </xf>
    <xf numFmtId="44" fontId="26" fillId="8" borderId="0" xfId="27" applyNumberFormat="1" applyFont="1" applyFill="1" applyBorder="1" applyAlignment="1">
      <alignment horizontal="center"/>
      <protection/>
    </xf>
    <xf numFmtId="44" fontId="26" fillId="8" borderId="0" xfId="27" applyNumberFormat="1" applyFont="1" applyFill="1" applyBorder="1">
      <alignment/>
      <protection/>
    </xf>
    <xf numFmtId="44" fontId="26" fillId="8" borderId="0" xfId="27" applyNumberFormat="1" applyFont="1" applyFill="1">
      <alignment/>
      <protection/>
    </xf>
    <xf numFmtId="167" fontId="25" fillId="8" borderId="0" xfId="27" applyNumberFormat="1" applyFont="1" applyFill="1" applyBorder="1" applyAlignment="1">
      <alignment horizontal="center"/>
      <protection/>
    </xf>
    <xf numFmtId="179" fontId="25" fillId="8" borderId="0" xfId="27" applyNumberFormat="1" applyFont="1" applyFill="1" applyBorder="1" applyAlignment="1">
      <alignment horizontal="right"/>
      <protection/>
    </xf>
    <xf numFmtId="179" fontId="25" fillId="8" borderId="0" xfId="27" applyNumberFormat="1" applyFont="1" applyFill="1" applyAlignment="1">
      <alignment horizontal="right"/>
      <protection/>
    </xf>
    <xf numFmtId="164" fontId="25" fillId="8" borderId="0" xfId="27" applyNumberFormat="1" applyFont="1" applyFill="1" applyBorder="1" applyAlignment="1">
      <alignment horizontal="right"/>
      <protection/>
    </xf>
    <xf numFmtId="164" fontId="25" fillId="8" borderId="0" xfId="27" applyNumberFormat="1" applyFont="1" applyFill="1" applyAlignment="1">
      <alignment horizontal="right"/>
      <protection/>
    </xf>
    <xf numFmtId="164" fontId="26" fillId="8" borderId="7" xfId="27" applyNumberFormat="1" applyFont="1" applyFill="1" applyBorder="1" applyAlignment="1">
      <alignment horizontal="right"/>
      <protection/>
    </xf>
    <xf numFmtId="167" fontId="25" fillId="8" borderId="0" xfId="27" applyNumberFormat="1" applyFont="1" applyFill="1" applyBorder="1" applyAlignment="1">
      <alignment horizontal="right"/>
      <protection/>
    </xf>
    <xf numFmtId="167" fontId="25" fillId="8" borderId="0" xfId="27" applyNumberFormat="1" applyFont="1" applyFill="1" applyAlignment="1">
      <alignment horizontal="right"/>
      <protection/>
    </xf>
    <xf numFmtId="44" fontId="26" fillId="8" borderId="0" xfId="27" applyNumberFormat="1" applyFont="1" applyFill="1" applyBorder="1" applyAlignment="1">
      <alignment horizontal="right"/>
      <protection/>
    </xf>
    <xf numFmtId="44" fontId="26" fillId="8" borderId="0" xfId="27" applyNumberFormat="1" applyFont="1" applyFill="1" applyAlignment="1">
      <alignment horizontal="right"/>
      <protection/>
    </xf>
    <xf numFmtId="170" fontId="25" fillId="8" borderId="0" xfId="27" applyNumberFormat="1" applyFont="1" applyFill="1" applyBorder="1" applyAlignment="1">
      <alignment horizontal="right"/>
      <protection/>
    </xf>
    <xf numFmtId="170" fontId="25" fillId="8" borderId="0" xfId="27" applyNumberFormat="1" applyFont="1" applyFill="1" applyAlignment="1">
      <alignment horizontal="right"/>
      <protection/>
    </xf>
    <xf numFmtId="0" fontId="49" fillId="4" borderId="0" xfId="27" applyFont="1" applyFill="1" applyBorder="1" applyAlignment="1">
      <alignment horizontal="center"/>
      <protection/>
    </xf>
    <xf numFmtId="0" fontId="49" fillId="3" borderId="0" xfId="27" applyFont="1" applyFill="1" applyBorder="1" applyAlignment="1">
      <alignment horizontal="center"/>
      <protection/>
    </xf>
    <xf numFmtId="0" fontId="49" fillId="3" borderId="22" xfId="27" applyFont="1" applyFill="1" applyBorder="1" applyAlignment="1">
      <alignment horizontal="center"/>
      <protection/>
    </xf>
    <xf numFmtId="0" fontId="49" fillId="3" borderId="0" xfId="27" applyFont="1" applyFill="1" applyAlignment="1">
      <alignment horizontal="center"/>
      <protection/>
    </xf>
    <xf numFmtId="0" fontId="49" fillId="4" borderId="0" xfId="27" applyFont="1" applyFill="1" applyAlignment="1">
      <alignment horizontal="center"/>
      <protection/>
    </xf>
    <xf numFmtId="166" fontId="48" fillId="4" borderId="0" xfId="0" applyNumberFormat="1" applyFont="1" applyFill="1" applyBorder="1"/>
    <xf numFmtId="166" fontId="48" fillId="3" borderId="0" xfId="0" applyNumberFormat="1" applyFont="1" applyFill="1" applyBorder="1"/>
    <xf numFmtId="166" fontId="48" fillId="3" borderId="0" xfId="27" applyNumberFormat="1" applyFont="1" applyFill="1" applyBorder="1">
      <alignment/>
      <protection/>
    </xf>
    <xf numFmtId="166" fontId="48" fillId="3" borderId="22" xfId="27" applyNumberFormat="1" applyFont="1" applyFill="1" applyBorder="1">
      <alignment/>
      <protection/>
    </xf>
    <xf numFmtId="166" fontId="47" fillId="4" borderId="0" xfId="0" applyNumberFormat="1" applyFont="1" applyFill="1" applyBorder="1"/>
    <xf numFmtId="166" fontId="46" fillId="4" borderId="2" xfId="0" applyNumberFormat="1" applyFont="1" applyFill="1" applyBorder="1"/>
    <xf numFmtId="170" fontId="46" fillId="4" borderId="0" xfId="0" applyNumberFormat="1" applyFont="1" applyFill="1" applyBorder="1" applyAlignment="1">
      <alignment horizontal="right"/>
    </xf>
    <xf numFmtId="0" fontId="7" fillId="8" borderId="0" xfId="27" applyFont="1" applyFill="1" applyBorder="1" applyAlignment="1">
      <alignment horizontal="center"/>
      <protection/>
    </xf>
    <xf numFmtId="0" fontId="7" fillId="8" borderId="0" xfId="27" applyFont="1" applyFill="1" applyAlignment="1">
      <alignment horizontal="center"/>
      <protection/>
    </xf>
    <xf numFmtId="17" fontId="0" fillId="8" borderId="0" xfId="27" applyNumberFormat="1" applyFill="1" applyBorder="1" applyAlignment="1">
      <alignment horizontal="center"/>
      <protection/>
    </xf>
    <xf numFmtId="17" fontId="0" fillId="8" borderId="0" xfId="27" applyNumberFormat="1" applyFill="1" applyAlignment="1">
      <alignment horizontal="center"/>
      <protection/>
    </xf>
    <xf numFmtId="0" fontId="49" fillId="8" borderId="0" xfId="27" applyFont="1" applyFill="1" applyBorder="1" applyAlignment="1">
      <alignment horizontal="center"/>
      <protection/>
    </xf>
    <xf numFmtId="0" fontId="49" fillId="8" borderId="0" xfId="27" applyFont="1" applyFill="1" applyAlignment="1">
      <alignment horizontal="center"/>
      <protection/>
    </xf>
    <xf numFmtId="166" fontId="26" fillId="8" borderId="7" xfId="27" applyNumberFormat="1" applyFont="1" applyFill="1" applyBorder="1">
      <alignment/>
      <protection/>
    </xf>
    <xf numFmtId="166" fontId="26" fillId="8" borderId="7" xfId="0" applyNumberFormat="1" applyFont="1" applyFill="1" applyBorder="1"/>
    <xf numFmtId="166" fontId="25" fillId="8" borderId="0" xfId="27" applyNumberFormat="1" applyFont="1" applyFill="1" applyBorder="1">
      <alignment/>
      <protection/>
    </xf>
    <xf numFmtId="166" fontId="48" fillId="8" borderId="0" xfId="0" applyNumberFormat="1" applyFont="1" applyFill="1" applyBorder="1"/>
    <xf numFmtId="166" fontId="25" fillId="8" borderId="0" xfId="27" applyNumberFormat="1" applyFont="1" applyFill="1">
      <alignment/>
      <protection/>
    </xf>
    <xf numFmtId="166" fontId="47" fillId="8" borderId="0" xfId="0" applyNumberFormat="1" applyFont="1" applyFill="1" applyBorder="1"/>
    <xf numFmtId="166" fontId="26" fillId="8" borderId="2" xfId="27" applyNumberFormat="1" applyFont="1" applyFill="1" applyBorder="1">
      <alignment/>
      <protection/>
    </xf>
    <xf numFmtId="166" fontId="25" fillId="8" borderId="2" xfId="0" applyNumberFormat="1" applyFont="1" applyFill="1" applyBorder="1"/>
    <xf numFmtId="166" fontId="46" fillId="8" borderId="2" xfId="0" applyNumberFormat="1" applyFont="1" applyFill="1" applyBorder="1"/>
    <xf numFmtId="170" fontId="25" fillId="8" borderId="0" xfId="27" applyNumberFormat="1" applyFont="1" applyFill="1" applyBorder="1">
      <alignment/>
      <protection/>
    </xf>
    <xf numFmtId="170" fontId="46" fillId="8" borderId="0" xfId="0" applyNumberFormat="1" applyFont="1" applyFill="1" applyBorder="1" applyAlignment="1">
      <alignment horizontal="right"/>
    </xf>
    <xf numFmtId="170" fontId="25" fillId="8" borderId="0" xfId="27" applyNumberFormat="1" applyFont="1" applyFill="1">
      <alignment/>
      <protection/>
    </xf>
    <xf numFmtId="170" fontId="25" fillId="8" borderId="0" xfId="0" applyNumberFormat="1" applyFont="1" applyFill="1" applyBorder="1"/>
  </cellXfs>
  <cellStyles count="16">
    <cellStyle name="Normal" xfId="0" builtinId="0"/>
    <cellStyle name="Percent" xfId="15"/>
    <cellStyle name="Currency" xfId="16"/>
    <cellStyle name="Currency [0]" xfId="17"/>
    <cellStyle name="Comma" xfId="18"/>
    <cellStyle name="Comma [0]" xfId="19"/>
    <cellStyle name="Currency 2" xfId="20"/>
    <cellStyle name="Currency 2 2" xfId="21"/>
    <cellStyle name="Good" xfId="22"/>
    <cellStyle name="Hyperlink" xfId="23"/>
    <cellStyle name="Hyperlink 2" xfId="24"/>
    <cellStyle name="Normal 2" xfId="25"/>
    <cellStyle name="Normal 3" xfId="26"/>
    <cellStyle name="Normal 4" xfId="27"/>
    <cellStyle name="Percent 2" xfId="28"/>
    <cellStyle name="Currency 3" xfId="29"/>
  </cellStyles>
  <dxfs count="11">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7" Type="http://schemas.openxmlformats.org/officeDocument/2006/relationships/worksheet" Target="worksheets/sheet5.xml" /><Relationship Id="rId5" Type="http://schemas.openxmlformats.org/officeDocument/2006/relationships/worksheet" Target="worksheets/sheet3.xml" /><Relationship Id="rId1" Type="http://schemas.openxmlformats.org/officeDocument/2006/relationships/theme" Target="theme/theme1.xml" /><Relationship Id="rId10" Type="http://schemas.openxmlformats.org/officeDocument/2006/relationships/calcChain" Target="calcChain.xml" /><Relationship Id="rId9" Type="http://schemas.openxmlformats.org/officeDocument/2006/relationships/customXml" Target="../customXml/item1.xml" /><Relationship Id="rId6" Type="http://schemas.openxmlformats.org/officeDocument/2006/relationships/worksheet" Target="worksheets/sheet4.xml" /><Relationship Id="rId8" Type="http://schemas.openxmlformats.org/officeDocument/2006/relationships/sharedStrings" Target="sharedStrings.xml" /><Relationship Id="rId2" Type="http://schemas.openxmlformats.org/officeDocument/2006/relationships/styles" Target="styles.xml" /><Relationship Id="rId4" Type="http://schemas.openxmlformats.org/officeDocument/2006/relationships/worksheet" Target="worksheets/sheet2.xml" /><Relationship Id="rId3" Type="http://schemas.openxmlformats.org/officeDocument/2006/relationships/worksheet" Target="worksheets/sheet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2.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885825</xdr:colOff>
      <xdr:row>7</xdr:row>
      <xdr:rowOff>76200</xdr:rowOff>
    </xdr:to>
    <xdr:pic>
      <xdr:nvPicPr>
        <xdr:cNvPr id="8" name="TegusBrandLogo">
          <a:extLst>
            <a:ext uri="{FF2B5EF4-FFF2-40B4-BE49-F238E27FC236}">
              <a16:creationId xmlns:a16="http://schemas.microsoft.com/office/drawing/2014/main" id="{8a58fef5-34e7-4fe0-b174-1453b706199f}"/>
            </a:ext>
          </a:extLst>
        </xdr:cNvPr>
        <xdr:cNvPicPr>
          <a:picLocks noChangeAspect="1"/>
        </xdr:cNvPicPr>
      </xdr:nvPicPr>
      <xdr:blipFill>
        <a:blip r:embed="rId1"/>
        <a:stretch>
          <a:fillRect/>
        </a:stretch>
      </xdr:blipFill>
      <xdr:spPr>
        <a:xfrm>
          <a:off x="904875" y="952500"/>
          <a:ext cx="1571625" cy="552450"/>
        </a:xfrm>
        <a:prstGeom prst="rec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419100</xdr:colOff>
      <xdr:row>7</xdr:row>
      <xdr:rowOff>76200</xdr:rowOff>
    </xdr:to>
    <xdr:pic>
      <xdr:nvPicPr>
        <xdr:cNvPr id="9" name="TegusBrandLogo">
          <a:extLst>
            <a:ext uri="{FF2B5EF4-FFF2-40B4-BE49-F238E27FC236}">
              <a16:creationId xmlns:a16="http://schemas.microsoft.com/office/drawing/2014/main" id="{976717c2-9676-463a-b16d-24475f5e230d}"/>
            </a:ext>
          </a:extLst>
        </xdr:cNvPr>
        <xdr:cNvPicPr>
          <a:picLocks noChangeAspect="1"/>
        </xdr:cNvPicPr>
      </xdr:nvPicPr>
      <xdr:blipFill>
        <a:blip r:embed="rId1"/>
        <a:stretch>
          <a:fillRect/>
        </a:stretch>
      </xdr:blipFill>
      <xdr:spPr>
        <a:xfrm>
          <a:off x="952500" y="952500"/>
          <a:ext cx="1466850" cy="504825"/>
        </a:xfrm>
        <a:prstGeom prst="rec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hyperlink" Target="https://app.tegus.co/app/account/excel-add-in" TargetMode="External" /><Relationship Id="rId4" Type="http://schemas.openxmlformats.org/officeDocument/2006/relationships/drawing" Target="../drawings/drawing1.xml" /><Relationship Id="rId1" Type="http://schemas.openxmlformats.org/officeDocument/2006/relationships/hyperlink" Target="mailto:support@canalyst.com?subject=Canalyst%20Support:%20The%20Progressive%20Corporation%20PGR%20US&amp;body=Model%20Version:%20Q3-2018.21" TargetMode="External" /><Relationship Id="rId2" Type="http://schemas.openxmlformats.org/officeDocument/2006/relationships/hyperlink" Target="mailto:support@canalyst.com?subject=Canalyst%20Support:%20The%20Progressive%20Corporation%20PGR%20US&amp;body=Model%20Version:%20FY2018.20" TargetMode="External" /></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1.vml" /><Relationship Id="rId4" Type="http://schemas.openxmlformats.org/officeDocument/2006/relationships/printerSettings" Target="../printerSettings/printerSettings1.bin" /><Relationship Id="rId1" Type="http://schemas.openxmlformats.org/officeDocument/2006/relationships/hyperlink" Target="https://investors.progressive.com/home/default.aspx" TargetMode="External" /><Relationship Id="rId2" Type="http://schemas.openxmlformats.org/officeDocument/2006/relationships/comments" Target="../comments2.xml"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5.xml.rels><?xml version="1.0" encoding="UTF-8" standalone="yes"?><Relationships xmlns="http://schemas.openxmlformats.org/package/2006/relationships"><Relationship Id="rId8" Type="http://schemas.openxmlformats.org/officeDocument/2006/relationships/hyperlink" Target="https://investors.progressive.com/news-releases/news-release-details/progressive-announces-quarterly-common-share-dividend-share" TargetMode="External" /><Relationship Id="rId39" Type="http://schemas.openxmlformats.org/officeDocument/2006/relationships/hyperlink" Target="https://investors.progressive.com/financials/financial-news-releases/news-details/2024/Progressive-Reports-December-2023-Results/default.aspx" TargetMode="External" /><Relationship Id="rId46" Type="http://schemas.openxmlformats.org/officeDocument/2006/relationships/hyperlink" Target="https://investors.progressive.com/financials/financial-news-releases/news-details/2024/Progressive-Reports-September-2024-Results/default.aspx" TargetMode="External" /><Relationship Id="rId9" Type="http://schemas.openxmlformats.org/officeDocument/2006/relationships/hyperlink" Target="https://investors.progressive.com/news-releases/news-release-details/progressive-reports-june-2019-results" TargetMode="External" /><Relationship Id="rId26" Type="http://schemas.openxmlformats.org/officeDocument/2006/relationships/hyperlink" Target="https://ml.globenewswire.com/Resource/Download/ba6b1e76-b32a-40f6-8e74-aea75ea1efba" TargetMode="External" /><Relationship Id="rId11" Type="http://schemas.openxmlformats.org/officeDocument/2006/relationships/hyperlink" Target="https://investors.progressive.com/financials/financial-news-releases/financial-news-release-details/2020/Progressive-Reports-December-2019-Results/default.aspx" TargetMode="External" /><Relationship Id="rId12" Type="http://schemas.openxmlformats.org/officeDocument/2006/relationships/hyperlink" Target="https://ml.globenewswire.com/Resource/Download/3c5e2c38-60ea-4756-8ceb-f864a18c6084" TargetMode="External" /><Relationship Id="rId41" Type="http://schemas.openxmlformats.org/officeDocument/2006/relationships/hyperlink" Target="https://ml.globenewswire.com/Resource/Download/38d3899e-d80c-4f2e-983c-3245fd7ed90a" TargetMode="External" /><Relationship Id="rId18" Type="http://schemas.openxmlformats.org/officeDocument/2006/relationships/hyperlink" Target="https://investors.progressive.com/financials/financial-news-releases/financial-news-release-details/2021/Progressive-Reports-December-2020-Results/default.aspx" TargetMode="External" /><Relationship Id="rId31" Type="http://schemas.openxmlformats.org/officeDocument/2006/relationships/hyperlink" Target="https://investors.progressive.com/financials/financial-news-releases/financial-news-release-details/2023/Progressive-Reports-December-2022-Results/default.aspx" TargetMode="External" /><Relationship Id="rId15" Type="http://schemas.openxmlformats.org/officeDocument/2006/relationships/hyperlink" Target="https://ml.globenewswire.com/Resource/Download/e75c6289-eae5-4d95-8634-d2ec8574a70b" TargetMode="External" /><Relationship Id="rId27" Type="http://schemas.openxmlformats.org/officeDocument/2006/relationships/hyperlink" Target="https://ml.globenewswire.com/Resource/Download/6441a584-e1ab-4bd5-ad3d-9e7b23029f25" TargetMode="External" /><Relationship Id="rId45" Type="http://schemas.openxmlformats.org/officeDocument/2006/relationships/hyperlink" Target="https://investors.progressive.com/financials/financial-news-releases/news-details/2024/Progressive-Reports-September-2024-Results/default.aspx" TargetMode="External" /><Relationship Id="rId19" Type="http://schemas.openxmlformats.org/officeDocument/2006/relationships/hyperlink" Target="https://investors.progressive.com/financials/financial-news-releases/financial-news-release-details/2021/Progressive-Reports-March-2021-Results/default.aspx" TargetMode="External" /><Relationship Id="rId7" Type="http://schemas.openxmlformats.org/officeDocument/2006/relationships/hyperlink" Target="http://investors.progressive.com/phoenix.zhtml?c=81824&amp;p=irol-newsArticle&amp;ID=2387266" TargetMode="External" /><Relationship Id="rId24" Type="http://schemas.openxmlformats.org/officeDocument/2006/relationships/hyperlink" Target="https://ml.globenewswire.com/Resource/Download/2648853f-1811-42f4-950c-90c123e0c378" TargetMode="External" /><Relationship Id="rId32" Type="http://schemas.openxmlformats.org/officeDocument/2006/relationships/hyperlink" Target="https://investors.progressive.com/financials/financial-news-releases/financial-news-release-details/2023/Progressive-Reports-December-2022-Results/default.aspx" TargetMode="External" /><Relationship Id="rId5" Type="http://schemas.openxmlformats.org/officeDocument/2006/relationships/hyperlink" Target="http://investors.progressive.com/phoenix.zhtml?c=81824&amp;p=irol-newsArticle&amp;ID=2309107" TargetMode="External" /><Relationship Id="rId22" Type="http://schemas.openxmlformats.org/officeDocument/2006/relationships/hyperlink" Target="https://investors.progressive.com/financials/financial-news-releases/financial-news-release-details/2021/Progressive-Reports-June-2021-Results/default.aspx" TargetMode="External" /><Relationship Id="rId47" Type="http://schemas.openxmlformats.org/officeDocument/2006/relationships/drawing" Target="../drawings/drawing2.xml" /><Relationship Id="rId1" Type="http://schemas.openxmlformats.org/officeDocument/2006/relationships/hyperlink" Target="http://investors.progressive.com/phoenix.zhtml?c=81824&amp;p=irol-newsArticle&amp;ID=2371862" TargetMode="External" /><Relationship Id="rId29" Type="http://schemas.openxmlformats.org/officeDocument/2006/relationships/hyperlink" Target="https://investors.progressive.com/financials/financial-news-releases/financial-news-release-details/2022/Progressive-Reports-September-2022-Results/default.aspx" TargetMode="External" /><Relationship Id="rId25" Type="http://schemas.openxmlformats.org/officeDocument/2006/relationships/hyperlink" Target="https://ml.globenewswire.com/Resource/Download/2648853f-1811-42f4-950c-90c123e0c378" TargetMode="External" /><Relationship Id="rId14" Type="http://schemas.openxmlformats.org/officeDocument/2006/relationships/hyperlink" Target="https://ml.globenewswire.com/Resource/Download/e75c6289-eae5-4d95-8634-d2ec8574a70b" TargetMode="External" /><Relationship Id="rId43" Type="http://schemas.openxmlformats.org/officeDocument/2006/relationships/hyperlink" Target="https://www.sec.gov/Archives/edgar/data/0000080661/000008066124000028/pgr20240630ex99earningsrel.htm" TargetMode="External" /><Relationship Id="rId6" Type="http://schemas.openxmlformats.org/officeDocument/2006/relationships/hyperlink" Target="http://media.corporate-ir.net/media_files/IROL/81/81824/qInter/2017/17Q2/assets/pdf/Progressive-2017-Q2.pdf" TargetMode="External" /><Relationship Id="rId2" Type="http://schemas.openxmlformats.org/officeDocument/2006/relationships/hyperlink" Target="http://investors.progressive.com/phoenix.zhtml?c=81824&amp;p=irol-newsArticle&amp;ID=2358617" TargetMode="External" /><Relationship Id="rId35" Type="http://schemas.openxmlformats.org/officeDocument/2006/relationships/hyperlink" Target="http://ml.globenewswire.com/Resource/Download/e523cd46-cdd0-4c27-9446-68e323b5f22e" TargetMode="External" /><Relationship Id="rId4" Type="http://schemas.openxmlformats.org/officeDocument/2006/relationships/hyperlink" Target="http://services.corporate-ir.net/SEC.Enhanced/SecCapsule.aspx?c=81824&amp;fid=15395145" TargetMode="External" /><Relationship Id="rId40" Type="http://schemas.openxmlformats.org/officeDocument/2006/relationships/hyperlink" Target="https://investors.progressive.com/financials/financial-news-releases/news-details/2024/Progressive-Reports-December-2023-Results/default.aspx" TargetMode="External" /><Relationship Id="rId36" Type="http://schemas.openxmlformats.org/officeDocument/2006/relationships/hyperlink" Target="http://ml.globenewswire.com/Resource/Download/e523cd46-cdd0-4c27-9446-68e323b5f22e" TargetMode="External" /><Relationship Id="rId34" Type="http://schemas.openxmlformats.org/officeDocument/2006/relationships/hyperlink" Target="https://investors.progressive.com/financials/financial-news-releases/financial-news-release-details/2023/Progressive-Reports-March-2023-Results/default.aspx" TargetMode="External" /><Relationship Id="rId13" Type="http://schemas.openxmlformats.org/officeDocument/2006/relationships/hyperlink" Target="https://ml.globenewswire.com/Resource/Download/3c5e2c38-60ea-4756-8ceb-f864a18c6084" TargetMode="External" /><Relationship Id="rId21" Type="http://schemas.openxmlformats.org/officeDocument/2006/relationships/hyperlink" Target="https://investors.progressive.com/financials/financial-news-releases/financial-news-release-details/2021/Progressive-Reports-June-2021-Results/default.aspx" TargetMode="External" /><Relationship Id="rId16" Type="http://schemas.openxmlformats.org/officeDocument/2006/relationships/hyperlink" Target="https://investors.progressive.com/financials/financial-news-releases/financial-news-release-details/2020/Progressive-Reports-September-2020-Results/default.aspx" TargetMode="External" /><Relationship Id="rId10" Type="http://schemas.openxmlformats.org/officeDocument/2006/relationships/hyperlink" Target="https://investors.progressive.com/news-releases/news-release-details/progressive-reports-september-2019-results" TargetMode="External" /><Relationship Id="rId38" Type="http://schemas.openxmlformats.org/officeDocument/2006/relationships/hyperlink" Target="https://ml.globenewswire.com/Resource/Download/24f7df40-c274-4837-9ab9-71f49011100c" TargetMode="External" /><Relationship Id="rId30" Type="http://schemas.openxmlformats.org/officeDocument/2006/relationships/hyperlink" Target="https://investors.progressive.com/financials/financial-news-releases/financial-news-release-details/2022/Progressive-Reports-September-2022-Results/default.aspx" TargetMode="External" /><Relationship Id="rId20" Type="http://schemas.openxmlformats.org/officeDocument/2006/relationships/hyperlink" Target="https://investors.progressive.com/financials/financial-news-releases/financial-news-release-details/2021/Progressive-Reports-March-2021-Results/default.aspx" TargetMode="External" /><Relationship Id="rId23" Type="http://schemas.openxmlformats.org/officeDocument/2006/relationships/hyperlink" Target="https://ml.globenewswire.com/Resource/Download/3ef489bd-2477-46aa-8aa0-fa13cfae985f" TargetMode="External" /><Relationship Id="rId3" Type="http://schemas.openxmlformats.org/officeDocument/2006/relationships/hyperlink" Target="http://investors.progressive.com/phoenix.zhtml?c=81824&amp;p=irol-newsArticle&amp;ID=2342948" TargetMode="External" /><Relationship Id="rId44" Type="http://schemas.openxmlformats.org/officeDocument/2006/relationships/hyperlink" Target="https://www.sec.gov/Archives/edgar/data/0000080661/000008066124000028/pgr20240630ex99earningsrel.htm" TargetMode="External" /><Relationship Id="rId28" Type="http://schemas.openxmlformats.org/officeDocument/2006/relationships/hyperlink" Target="https://ml.globenewswire.com/Resource/Download/6441a584-e1ab-4bd5-ad3d-9e7b23029f25" TargetMode="External" /><Relationship Id="rId42" Type="http://schemas.openxmlformats.org/officeDocument/2006/relationships/hyperlink" Target="https://ml.globenewswire.com/Resource/Download/38d3899e-d80c-4f2e-983c-3245fd7ed90a" TargetMode="External" /><Relationship Id="rId33" Type="http://schemas.openxmlformats.org/officeDocument/2006/relationships/hyperlink" Target="https://investors.progressive.com/financials/financial-news-releases/financial-news-release-details/2023/Progressive-Reports-March-2023-Results/default.aspx" TargetMode="External" /><Relationship Id="rId17" Type="http://schemas.openxmlformats.org/officeDocument/2006/relationships/hyperlink" Target="https://investors.progressive.com/financials/financial-news-releases/financial-news-release-details/2020/Progressive-Reports-September-2020-Results/default.aspx" TargetMode="External" /><Relationship Id="rId37" Type="http://schemas.openxmlformats.org/officeDocument/2006/relationships/hyperlink" Target="https://ml.globenewswire.com/Resource/Download/24f7df40-c274-4837-9ab9-71f49011100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1DC6ECD-C555-4367-A27A-71C0FCF23FFE}">
  <sheetPr codeName="Sheet5">
    <pageSetUpPr fitToPage="1"/>
  </sheetPr>
  <dimension ref="A1:W57"/>
  <sheetViews>
    <sheetView showGridLines="0" tabSelected="1" zoomScaleSheetLayoutView="100" zoomScalePageLayoutView="97" workbookViewId="0" topLeftCell="A1"/>
  </sheetViews>
  <sheetFormatPr defaultColWidth="8.85428571428571" defaultRowHeight="15"/>
  <cols>
    <col min="1" max="1" width="5.71428571428571" style="15" customWidth="1"/>
    <col min="2" max="2" width="7.85714285714286" style="15" customWidth="1"/>
    <col min="3" max="3" width="10.2857142857143" style="15" customWidth="1"/>
    <col min="4" max="4" width="13.7142857142857" style="15" customWidth="1"/>
    <col min="5" max="5" width="5.42857142857143" style="15" customWidth="1"/>
    <col min="6" max="6" width="13.7142857142857" style="15" customWidth="1"/>
    <col min="7" max="7" width="6.85714285714286" style="15" customWidth="1"/>
    <col min="8" max="8" width="31.7142857142857" style="15" customWidth="1"/>
    <col min="9" max="15" width="8.85714285714286" style="15" customWidth="1"/>
    <col min="16" max="16" width="45.7142857142857" style="15" customWidth="1"/>
    <col min="17" max="17" width="8.85714285714286" style="15" customWidth="1"/>
    <col min="18" max="16384" width="8.85714285714286" style="15"/>
  </cols>
  <sheetData>
    <row r="1" spans="1:23" ht="15">
      <c r="A1" s="761"/>
      <c r="B1" s="761"/>
      <c r="C1" s="761"/>
      <c r="D1" s="761"/>
      <c r="E1" s="761"/>
      <c r="F1" s="761"/>
      <c r="G1" s="761"/>
      <c r="H1" s="761"/>
      <c r="I1" s="761"/>
      <c r="J1" s="761"/>
      <c r="K1" s="761"/>
      <c r="L1" s="761"/>
      <c r="M1" s="761"/>
      <c r="N1" s="761"/>
      <c r="O1" s="761"/>
      <c r="P1" s="761"/>
      <c r="Q1" s="761"/>
      <c r="R1" s="761"/>
      <c r="S1" s="761"/>
      <c r="T1" s="761"/>
      <c r="U1" s="761"/>
      <c r="V1" s="761"/>
      <c r="W1" s="761"/>
    </row>
    <row r="2" spans="1:23" ht="15">
      <c r="A2" s="761"/>
      <c r="B2" s="761"/>
      <c r="C2" s="761"/>
      <c r="D2" s="761"/>
      <c r="E2" s="761"/>
      <c r="F2" s="761"/>
      <c r="G2" s="761"/>
      <c r="H2" s="761"/>
      <c r="I2" s="761"/>
      <c r="J2" s="761"/>
      <c r="K2" s="761"/>
      <c r="L2" s="761"/>
      <c r="M2" s="761"/>
      <c r="N2" s="761"/>
      <c r="O2" s="761"/>
      <c r="P2" s="761"/>
      <c r="Q2" s="761"/>
      <c r="R2" s="761"/>
      <c r="S2" s="761"/>
      <c r="T2" s="761"/>
      <c r="U2" s="761"/>
      <c r="V2" s="761"/>
      <c r="W2" s="761"/>
    </row>
    <row r="3" spans="1:23" ht="15">
      <c r="A3" s="761"/>
      <c r="B3" s="761"/>
      <c r="C3" s="761"/>
      <c r="D3" s="761"/>
      <c r="E3" s="761"/>
      <c r="F3" s="761"/>
      <c r="G3" s="761"/>
      <c r="H3" s="761"/>
      <c r="I3" s="761"/>
      <c r="J3" s="761"/>
      <c r="K3" s="761"/>
      <c r="L3" s="761"/>
      <c r="M3" s="761"/>
      <c r="N3" s="761"/>
      <c r="O3" s="761"/>
      <c r="P3" s="761"/>
      <c r="Q3" s="761"/>
      <c r="R3" s="761"/>
      <c r="S3" s="761"/>
      <c r="T3" s="761"/>
      <c r="U3" s="761"/>
      <c r="V3" s="761"/>
      <c r="W3" s="761"/>
    </row>
    <row r="4" spans="1:23" ht="15">
      <c r="A4" s="761"/>
      <c r="B4" s="761"/>
      <c r="C4" s="761"/>
      <c r="D4" s="761"/>
      <c r="E4" s="761"/>
      <c r="F4" s="761"/>
      <c r="G4" s="761"/>
      <c r="H4" s="761"/>
      <c r="I4" s="761"/>
      <c r="J4" s="761"/>
      <c r="K4" s="761"/>
      <c r="L4" s="761"/>
      <c r="M4" s="761"/>
      <c r="N4" s="761"/>
      <c r="O4" s="761"/>
      <c r="P4" s="761"/>
      <c r="Q4" s="761"/>
      <c r="R4" s="761"/>
      <c r="S4" s="761"/>
      <c r="T4" s="761"/>
      <c r="U4" s="761"/>
      <c r="V4" s="761"/>
      <c r="W4" s="761"/>
    </row>
    <row r="5" spans="1:23" ht="15">
      <c r="A5" s="761"/>
      <c r="B5" s="761"/>
      <c r="C5" s="761"/>
      <c r="D5" s="761"/>
      <c r="E5" s="761"/>
      <c r="F5" s="761"/>
      <c r="G5" s="761"/>
      <c r="H5" s="761"/>
      <c r="I5" s="761"/>
      <c r="J5" s="761"/>
      <c r="K5" s="761"/>
      <c r="L5" s="761"/>
      <c r="M5" s="761"/>
      <c r="N5" s="761"/>
      <c r="O5" s="761"/>
      <c r="P5" s="761"/>
      <c r="Q5" s="761"/>
      <c r="R5" s="761"/>
      <c r="S5" s="761"/>
      <c r="T5" s="761"/>
      <c r="U5" s="761"/>
      <c r="V5" s="761"/>
      <c r="W5" s="761"/>
    </row>
    <row r="6" spans="1:23" ht="18.75">
      <c r="A6" s="761"/>
      <c r="B6" s="761"/>
      <c r="C6" s="761"/>
      <c r="D6" s="761"/>
      <c r="E6" s="761"/>
      <c r="F6" s="761"/>
      <c r="G6" s="761"/>
      <c r="H6" s="761"/>
      <c r="I6" s="761"/>
      <c r="J6" s="761"/>
      <c r="K6" s="761"/>
      <c r="L6" s="761"/>
      <c r="M6" s="762" t="s">
        <v>0</v>
      </c>
      <c r="N6" s="761"/>
      <c r="O6" s="761"/>
      <c r="P6" s="761"/>
      <c r="Q6" s="761"/>
      <c r="R6" s="761"/>
      <c r="S6" s="761"/>
      <c r="T6" s="761"/>
      <c r="U6" s="761"/>
      <c r="V6" s="761"/>
      <c r="W6" s="761"/>
    </row>
    <row r="7" spans="1:23" ht="18.75">
      <c r="A7" s="761"/>
      <c r="B7" s="761"/>
      <c r="C7" s="761"/>
      <c r="D7" s="761"/>
      <c r="E7" s="761"/>
      <c r="F7" s="761"/>
      <c r="G7" s="761"/>
      <c r="H7" s="761"/>
      <c r="I7" s="761"/>
      <c r="J7" s="761"/>
      <c r="K7" s="761"/>
      <c r="L7" s="761"/>
      <c r="M7" s="1209" t="s">
        <v>1</v>
      </c>
      <c r="N7" s="1209"/>
      <c r="O7" s="1209"/>
      <c r="P7" s="761"/>
      <c r="Q7" s="761"/>
      <c r="R7" s="761"/>
      <c r="S7" s="761"/>
      <c r="T7" s="761"/>
      <c r="U7" s="761"/>
      <c r="V7" s="761"/>
      <c r="W7" s="761"/>
    </row>
    <row r="8" spans="1:23" ht="28.5">
      <c r="A8" s="761"/>
      <c r="B8" s="761"/>
      <c r="C8" s="761"/>
      <c r="D8" s="761"/>
      <c r="E8" s="761"/>
      <c r="F8" s="14"/>
      <c r="G8" s="14"/>
      <c r="H8" s="14"/>
      <c r="I8" s="14"/>
      <c r="J8" s="14"/>
      <c r="K8" s="14"/>
      <c r="L8" s="761"/>
      <c r="M8" s="761"/>
      <c r="N8" s="761"/>
      <c r="O8" s="761"/>
      <c r="P8" s="761"/>
      <c r="Q8" s="761"/>
      <c r="R8" s="761"/>
      <c r="S8" s="761"/>
      <c r="T8" s="761"/>
      <c r="U8" s="761"/>
      <c r="V8" s="761"/>
      <c r="W8" s="761"/>
    </row>
    <row r="9" spans="1:23" ht="18.75">
      <c r="A9" s="761"/>
      <c r="B9" s="761"/>
      <c r="C9" s="763" t="s">
        <v>2</v>
      </c>
      <c r="D9" s="764"/>
      <c r="E9" s="764"/>
      <c r="F9" s="764"/>
      <c r="G9" s="764"/>
      <c r="H9" s="765" t="str">
        <f>Model!A1</f>
        <v>The Progressive Corporation</v>
      </c>
      <c r="I9" s="764"/>
      <c r="J9" s="764"/>
      <c r="K9" s="764"/>
      <c r="L9" s="764"/>
      <c r="M9" s="862" t="s">
        <v>789</v>
      </c>
      <c r="N9" s="764"/>
      <c r="O9" s="764"/>
      <c r="Q9" s="761"/>
      <c r="R9" s="761"/>
      <c r="S9" s="761"/>
      <c r="T9" s="761"/>
      <c r="U9" s="761"/>
      <c r="V9" s="761"/>
      <c r="W9" s="761"/>
    </row>
    <row r="10" spans="1:23" ht="18.75">
      <c r="A10" s="761"/>
      <c r="B10" s="761"/>
      <c r="C10" s="766"/>
      <c r="D10" s="761"/>
      <c r="E10" s="761"/>
      <c r="F10" s="761"/>
      <c r="G10" s="761"/>
      <c r="H10" s="761"/>
      <c r="I10" s="761"/>
      <c r="J10" s="761"/>
      <c r="K10" s="761"/>
      <c r="L10" s="761"/>
      <c r="M10" s="863" t="s">
        <v>790</v>
      </c>
      <c r="N10" s="761"/>
      <c r="O10" s="761"/>
      <c r="Q10" s="761"/>
      <c r="R10" s="761"/>
      <c r="S10" s="761"/>
      <c r="T10" s="761"/>
      <c r="U10" s="761"/>
      <c r="V10" s="761"/>
      <c r="W10" s="761"/>
    </row>
    <row r="11" spans="1:23" ht="18.75">
      <c r="A11" s="761"/>
      <c r="B11" s="761"/>
      <c r="C11" s="763" t="s">
        <v>4</v>
      </c>
      <c r="D11" s="761"/>
      <c r="E11" s="761"/>
      <c r="F11" s="761"/>
      <c r="G11" s="761"/>
      <c r="H11" s="800">
        <f ca="1">OFFSET('Update Log'!$C$10,1,0,1,1)</f>
        <v>45600</v>
      </c>
      <c r="I11" s="761"/>
      <c r="J11" s="761"/>
      <c r="K11" s="761"/>
      <c r="L11" s="761"/>
      <c r="M11" s="761"/>
      <c r="N11" s="761"/>
      <c r="O11" s="761"/>
      <c r="Q11" s="761"/>
      <c r="R11" s="761"/>
      <c r="S11" s="761"/>
      <c r="T11" s="761"/>
      <c r="U11" s="761"/>
      <c r="V11" s="761"/>
      <c r="W11" s="761"/>
    </row>
    <row r="12" spans="1:23" ht="18.75">
      <c r="A12" s="761"/>
      <c r="B12" s="761"/>
      <c r="C12" s="761"/>
      <c r="D12" s="761"/>
      <c r="E12" s="761"/>
      <c r="F12" s="761"/>
      <c r="G12" s="761"/>
      <c r="H12" s="768"/>
      <c r="I12" s="761"/>
      <c r="J12" s="761"/>
      <c r="K12" s="761"/>
      <c r="L12" s="761"/>
      <c r="M12" s="763" t="s">
        <v>3</v>
      </c>
      <c r="N12" s="761"/>
      <c r="O12" s="761"/>
      <c r="Q12" s="761"/>
      <c r="R12" s="761"/>
      <c r="S12" s="761"/>
      <c r="T12" s="761"/>
      <c r="U12" s="761"/>
      <c r="V12" s="761"/>
      <c r="W12" s="761"/>
    </row>
    <row r="13" spans="1:23" ht="18.75">
      <c r="A13" s="761"/>
      <c r="B13" s="761"/>
      <c r="C13" s="763" t="s">
        <v>5</v>
      </c>
      <c r="D13" s="761"/>
      <c r="E13" s="761"/>
      <c r="F13" s="761"/>
      <c r="G13" s="761"/>
      <c r="H13" s="801" t="str">
        <f ca="1">OFFSET('Update Log'!$E$10,1,0,1,1)</f>
        <v>Quarterly (Earnings Report)</v>
      </c>
      <c r="I13" s="761"/>
      <c r="J13" s="761"/>
      <c r="K13" s="761"/>
      <c r="L13" s="761"/>
      <c r="M13" s="4"/>
      <c r="N13" s="3"/>
      <c r="O13" s="3"/>
      <c r="P13" s="2"/>
      <c r="Q13" s="761"/>
      <c r="R13" s="761"/>
      <c r="S13" s="761"/>
      <c r="T13" s="761"/>
      <c r="U13" s="761"/>
      <c r="V13" s="761"/>
      <c r="W13" s="761"/>
    </row>
    <row r="14" spans="1:23" ht="15">
      <c r="A14" s="761"/>
      <c r="B14" s="761"/>
      <c r="C14" s="761"/>
      <c r="D14" s="761"/>
      <c r="E14" s="761"/>
      <c r="F14" s="761"/>
      <c r="G14" s="761"/>
      <c r="H14" s="761"/>
      <c r="I14" s="761"/>
      <c r="J14" s="761"/>
      <c r="K14" s="761"/>
      <c r="L14" s="761"/>
      <c r="M14" s="4"/>
      <c r="N14" s="3"/>
      <c r="O14" s="3"/>
      <c r="P14" s="2"/>
      <c r="Q14" s="761"/>
      <c r="R14" s="761"/>
      <c r="S14" s="761"/>
      <c r="T14" s="761"/>
      <c r="U14" s="761"/>
      <c r="V14" s="761"/>
      <c r="W14" s="761"/>
    </row>
    <row r="15" spans="1:23" ht="18.75" customHeight="1">
      <c r="A15" s="761"/>
      <c r="B15" s="761"/>
      <c r="C15" s="763" t="s">
        <v>6</v>
      </c>
      <c r="D15" s="764"/>
      <c r="E15" s="764"/>
      <c r="F15" s="764"/>
      <c r="G15" s="764"/>
      <c r="H15" s="802" t="s">
        <v>7</v>
      </c>
      <c r="I15" s="761"/>
      <c r="J15" s="769"/>
      <c r="K15" s="761"/>
      <c r="L15" s="761"/>
      <c r="M15" s="4"/>
      <c r="N15" s="3"/>
      <c r="O15" s="3"/>
      <c r="P15" s="2"/>
      <c r="Q15" s="761"/>
      <c r="R15" s="761"/>
      <c r="S15" s="761"/>
      <c r="T15" s="761"/>
      <c r="U15" s="761"/>
      <c r="V15" s="761"/>
      <c r="W15" s="761"/>
    </row>
    <row r="16" spans="1:23" ht="15" customHeight="1">
      <c r="A16" s="761"/>
      <c r="B16" s="761"/>
      <c r="C16" s="771"/>
      <c r="D16" s="770"/>
      <c r="E16" s="770"/>
      <c r="F16" s="770"/>
      <c r="G16" s="770"/>
      <c r="H16" s="772">
        <f>IF(FP.DataSourceName="Bloomberg",1,IF(FP.DataSourceName="Capital IQ",2,IF(FP.DataSourceName="FactSet",3,IF(FP.DataSourceName="Refinitiv",4))))</f>
        <v>1</v>
      </c>
      <c r="I16" s="773"/>
      <c r="J16" s="769"/>
      <c r="K16" s="761"/>
      <c r="L16" s="761"/>
      <c r="M16" s="4"/>
      <c r="N16" s="3"/>
      <c r="O16" s="3"/>
      <c r="P16" s="2"/>
      <c r="Q16" s="761"/>
      <c r="R16" s="761"/>
      <c r="S16" s="761"/>
      <c r="T16" s="761"/>
      <c r="U16" s="761"/>
      <c r="V16" s="761"/>
      <c r="W16" s="761"/>
    </row>
    <row r="17" spans="1:23" s="36" customFormat="1" ht="18.75">
      <c r="A17" s="770"/>
      <c r="B17" s="770"/>
      <c r="C17" s="766"/>
      <c r="D17" s="770"/>
      <c r="E17" s="770"/>
      <c r="F17" s="770"/>
      <c r="G17" s="770"/>
      <c r="H17" s="770"/>
      <c r="I17" s="773"/>
      <c r="J17" s="769"/>
      <c r="K17" s="761"/>
      <c r="L17" s="761"/>
      <c r="M17" s="4"/>
      <c r="N17" s="1"/>
      <c r="O17" s="1"/>
      <c r="P17" s="1208"/>
      <c r="Q17" s="770"/>
      <c r="R17" s="770"/>
      <c r="S17" s="770"/>
      <c r="T17" s="770"/>
      <c r="U17" s="770"/>
      <c r="V17" s="770"/>
      <c r="W17" s="761"/>
    </row>
    <row r="18" spans="1:23" s="36" customFormat="1" ht="18.75" customHeight="1">
      <c r="A18" s="770"/>
      <c r="B18" s="770"/>
      <c r="C18" s="763" t="s">
        <v>8</v>
      </c>
      <c r="D18" s="764"/>
      <c r="E18" s="764"/>
      <c r="F18" s="764"/>
      <c r="G18" s="764"/>
      <c r="H18" s="802" t="s">
        <v>355</v>
      </c>
      <c r="I18" s="774"/>
      <c r="J18" s="774"/>
      <c r="K18" s="761"/>
      <c r="L18" s="761"/>
      <c r="M18" s="4"/>
      <c r="N18" s="1"/>
      <c r="O18" s="1"/>
      <c r="P18" s="1208"/>
      <c r="Q18" s="770"/>
      <c r="R18" s="770"/>
      <c r="S18" s="770"/>
      <c r="T18" s="770"/>
      <c r="U18" s="770"/>
      <c r="V18" s="770"/>
      <c r="W18" s="761"/>
    </row>
    <row r="19" spans="1:23" s="36" customFormat="1" ht="15">
      <c r="A19" s="770"/>
      <c r="B19" s="770"/>
      <c r="C19" s="771"/>
      <c r="D19" s="770"/>
      <c r="E19" s="770"/>
      <c r="F19" s="770"/>
      <c r="G19" s="770"/>
      <c r="H19" s="770"/>
      <c r="I19" s="773"/>
      <c r="J19" s="769"/>
      <c r="K19" s="761"/>
      <c r="L19" s="761"/>
      <c r="M19" s="4"/>
      <c r="N19" s="1"/>
      <c r="O19" s="1"/>
      <c r="P19" s="1208"/>
      <c r="Q19" s="770"/>
      <c r="R19" s="770"/>
      <c r="S19" s="770"/>
      <c r="T19" s="770"/>
      <c r="U19" s="770"/>
      <c r="V19" s="770"/>
      <c r="W19" s="761"/>
    </row>
    <row r="20" spans="1:23" s="36" customFormat="1" ht="18.75" customHeight="1">
      <c r="A20" s="770"/>
      <c r="B20" s="770"/>
      <c r="C20" s="775" t="s">
        <v>9</v>
      </c>
      <c r="D20" s="770"/>
      <c r="E20" s="770"/>
      <c r="F20" s="776">
        <v>45610</v>
      </c>
      <c r="G20" s="770"/>
      <c r="H20" s="803">
        <v>257.50</v>
      </c>
      <c r="I20" s="773"/>
      <c r="J20" s="769"/>
      <c r="K20" s="761"/>
      <c r="L20" s="761"/>
      <c r="M20" s="4"/>
      <c r="N20" s="1"/>
      <c r="O20" s="1"/>
      <c r="P20" s="1208"/>
      <c r="Q20" s="770"/>
      <c r="R20" s="770"/>
      <c r="S20" s="770"/>
      <c r="T20" s="770"/>
      <c r="U20" s="770"/>
      <c r="V20" s="770"/>
      <c r="W20" s="761"/>
    </row>
    <row r="21" spans="1:23" s="36" customFormat="1" ht="15">
      <c r="A21" s="770"/>
      <c r="B21" s="770"/>
      <c r="C21" s="770"/>
      <c r="D21" s="761"/>
      <c r="E21" s="761"/>
      <c r="F21" s="761"/>
      <c r="G21" s="761"/>
      <c r="H21" s="761"/>
      <c r="I21" s="761"/>
      <c r="J21" s="761"/>
      <c r="K21" s="761"/>
      <c r="L21" s="761"/>
      <c r="M21" s="761"/>
      <c r="N21" s="770"/>
      <c r="O21" s="770"/>
      <c r="P21" s="770"/>
      <c r="Q21" s="770"/>
      <c r="R21" s="770"/>
      <c r="S21" s="770"/>
      <c r="T21" s="770"/>
      <c r="U21" s="770"/>
      <c r="V21" s="770"/>
      <c r="W21" s="770"/>
    </row>
    <row r="22" spans="1:23" ht="15.95" customHeight="1">
      <c r="A22" s="761"/>
      <c r="B22" s="761"/>
      <c r="C22" s="13" t="s">
        <v>314</v>
      </c>
      <c r="D22" s="12"/>
      <c r="E22" s="12"/>
      <c r="F22" s="12"/>
      <c r="G22" s="12"/>
      <c r="H22" s="12"/>
      <c r="I22" s="12"/>
      <c r="J22" s="12"/>
      <c r="K22" s="12"/>
      <c r="L22" s="12"/>
      <c r="M22" s="12"/>
      <c r="N22" s="12"/>
      <c r="O22" s="12"/>
      <c r="P22" s="11"/>
      <c r="Q22" s="761"/>
      <c r="R22" s="761"/>
      <c r="S22" s="761"/>
      <c r="T22" s="761"/>
      <c r="U22" s="761"/>
      <c r="V22" s="761"/>
      <c r="W22" s="761"/>
    </row>
    <row r="23" spans="1:23" ht="15.95" customHeight="1">
      <c r="A23" s="761"/>
      <c r="B23" s="761"/>
      <c r="C23" s="10"/>
      <c r="D23" s="9"/>
      <c r="E23" s="9"/>
      <c r="F23" s="9"/>
      <c r="G23" s="9"/>
      <c r="H23" s="9"/>
      <c r="I23" s="9"/>
      <c r="J23" s="9"/>
      <c r="K23" s="9"/>
      <c r="L23" s="9"/>
      <c r="M23" s="9"/>
      <c r="N23" s="9"/>
      <c r="O23" s="9"/>
      <c r="P23" s="8"/>
      <c r="Q23" s="761"/>
      <c r="R23" s="761"/>
      <c r="S23" s="761"/>
      <c r="T23" s="761"/>
      <c r="U23" s="761"/>
      <c r="V23" s="761"/>
      <c r="W23" s="761"/>
    </row>
    <row r="24" spans="1:23" ht="15.95" customHeight="1">
      <c r="A24" s="761"/>
      <c r="B24" s="761"/>
      <c r="C24" s="10"/>
      <c r="D24" s="9"/>
      <c r="E24" s="9"/>
      <c r="F24" s="9"/>
      <c r="G24" s="9"/>
      <c r="H24" s="9"/>
      <c r="I24" s="9"/>
      <c r="J24" s="9"/>
      <c r="K24" s="9"/>
      <c r="L24" s="9"/>
      <c r="M24" s="9"/>
      <c r="N24" s="9"/>
      <c r="O24" s="9"/>
      <c r="P24" s="8"/>
      <c r="Q24" s="761"/>
      <c r="R24" s="761"/>
      <c r="S24" s="761"/>
      <c r="T24" s="761"/>
      <c r="U24" s="761"/>
      <c r="V24" s="761"/>
      <c r="W24" s="761"/>
    </row>
    <row r="25" spans="1:23" ht="15.95" customHeight="1">
      <c r="A25" s="761"/>
      <c r="B25" s="761"/>
      <c r="C25" s="10"/>
      <c r="D25" s="9"/>
      <c r="E25" s="9"/>
      <c r="F25" s="9"/>
      <c r="G25" s="9"/>
      <c r="H25" s="9"/>
      <c r="I25" s="9"/>
      <c r="J25" s="9"/>
      <c r="K25" s="9"/>
      <c r="L25" s="9"/>
      <c r="M25" s="9"/>
      <c r="N25" s="9"/>
      <c r="O25" s="9"/>
      <c r="P25" s="8"/>
      <c r="Q25" s="761"/>
      <c r="R25" s="761"/>
      <c r="S25" s="761"/>
      <c r="T25" s="761"/>
      <c r="U25" s="761"/>
      <c r="V25" s="761"/>
      <c r="W25" s="761"/>
    </row>
    <row r="26" spans="1:23" ht="15.95" customHeight="1">
      <c r="A26" s="761"/>
      <c r="B26" s="761"/>
      <c r="C26" s="10"/>
      <c r="D26" s="9"/>
      <c r="E26" s="9"/>
      <c r="F26" s="9"/>
      <c r="G26" s="9"/>
      <c r="H26" s="9"/>
      <c r="I26" s="9"/>
      <c r="J26" s="9"/>
      <c r="K26" s="9"/>
      <c r="L26" s="9"/>
      <c r="M26" s="9"/>
      <c r="N26" s="9"/>
      <c r="O26" s="9"/>
      <c r="P26" s="8"/>
      <c r="Q26" s="761"/>
      <c r="R26" s="761"/>
      <c r="S26" s="761"/>
      <c r="T26" s="761"/>
      <c r="U26" s="761"/>
      <c r="V26" s="761"/>
      <c r="W26" s="761"/>
    </row>
    <row r="27" spans="1:23" ht="15.95" customHeight="1">
      <c r="A27" s="761"/>
      <c r="B27" s="761"/>
      <c r="C27" s="10"/>
      <c r="D27" s="9"/>
      <c r="E27" s="9"/>
      <c r="F27" s="9"/>
      <c r="G27" s="9"/>
      <c r="H27" s="9"/>
      <c r="I27" s="9"/>
      <c r="J27" s="9"/>
      <c r="K27" s="9"/>
      <c r="L27" s="9"/>
      <c r="M27" s="9"/>
      <c r="N27" s="9"/>
      <c r="O27" s="9"/>
      <c r="P27" s="8"/>
      <c r="Q27" s="761"/>
      <c r="R27" s="761"/>
      <c r="S27" s="761"/>
      <c r="T27" s="761"/>
      <c r="U27" s="761"/>
      <c r="V27" s="761"/>
      <c r="W27" s="761"/>
    </row>
    <row r="28" spans="1:23" ht="15.95" customHeight="1">
      <c r="A28" s="761"/>
      <c r="B28" s="761"/>
      <c r="C28" s="10"/>
      <c r="D28" s="9"/>
      <c r="E28" s="9"/>
      <c r="F28" s="9"/>
      <c r="G28" s="9"/>
      <c r="H28" s="9"/>
      <c r="I28" s="9"/>
      <c r="J28" s="9"/>
      <c r="K28" s="9"/>
      <c r="L28" s="9"/>
      <c r="M28" s="9"/>
      <c r="N28" s="9"/>
      <c r="O28" s="9"/>
      <c r="P28" s="8"/>
      <c r="Q28" s="761"/>
      <c r="R28" s="761"/>
      <c r="S28" s="761"/>
      <c r="T28" s="761"/>
      <c r="U28" s="761"/>
      <c r="V28" s="761"/>
      <c r="W28" s="761"/>
    </row>
    <row r="29" spans="1:23" ht="15.95" customHeight="1">
      <c r="A29" s="761"/>
      <c r="B29" s="761"/>
      <c r="C29" s="10"/>
      <c r="D29" s="9"/>
      <c r="E29" s="9"/>
      <c r="F29" s="9"/>
      <c r="G29" s="9"/>
      <c r="H29" s="9"/>
      <c r="I29" s="9"/>
      <c r="J29" s="9"/>
      <c r="K29" s="9"/>
      <c r="L29" s="9"/>
      <c r="M29" s="9"/>
      <c r="N29" s="9"/>
      <c r="O29" s="9"/>
      <c r="P29" s="8"/>
      <c r="Q29" s="761"/>
      <c r="R29" s="761"/>
      <c r="S29" s="761"/>
      <c r="T29" s="761"/>
      <c r="U29" s="761"/>
      <c r="V29" s="761"/>
      <c r="W29" s="761"/>
    </row>
    <row r="30" spans="1:23" ht="15.95" customHeight="1">
      <c r="A30" s="761"/>
      <c r="B30" s="761"/>
      <c r="C30" s="10"/>
      <c r="D30" s="9"/>
      <c r="E30" s="9"/>
      <c r="F30" s="9"/>
      <c r="G30" s="9"/>
      <c r="H30" s="9"/>
      <c r="I30" s="9"/>
      <c r="J30" s="9"/>
      <c r="K30" s="9"/>
      <c r="L30" s="9"/>
      <c r="M30" s="9"/>
      <c r="N30" s="9"/>
      <c r="O30" s="9"/>
      <c r="P30" s="8"/>
      <c r="Q30" s="761"/>
      <c r="R30" s="761"/>
      <c r="S30" s="761"/>
      <c r="T30" s="761"/>
      <c r="U30" s="761"/>
      <c r="V30" s="761"/>
      <c r="W30" s="761"/>
    </row>
    <row r="31" spans="1:23" ht="15.95" customHeight="1">
      <c r="A31" s="761"/>
      <c r="B31" s="761"/>
      <c r="C31" s="10"/>
      <c r="D31" s="9"/>
      <c r="E31" s="9"/>
      <c r="F31" s="9"/>
      <c r="G31" s="9"/>
      <c r="H31" s="9"/>
      <c r="I31" s="9"/>
      <c r="J31" s="9"/>
      <c r="K31" s="9"/>
      <c r="L31" s="9"/>
      <c r="M31" s="9"/>
      <c r="N31" s="9"/>
      <c r="O31" s="9"/>
      <c r="P31" s="8"/>
      <c r="Q31" s="761"/>
      <c r="R31" s="761"/>
      <c r="S31" s="761"/>
      <c r="T31" s="761"/>
      <c r="U31" s="761"/>
      <c r="V31" s="761"/>
      <c r="W31" s="761"/>
    </row>
    <row r="32" spans="1:23" ht="15.95" customHeight="1">
      <c r="A32" s="761"/>
      <c r="B32" s="761"/>
      <c r="C32" s="10"/>
      <c r="D32" s="9"/>
      <c r="E32" s="9"/>
      <c r="F32" s="9"/>
      <c r="G32" s="9"/>
      <c r="H32" s="9"/>
      <c r="I32" s="9"/>
      <c r="J32" s="9"/>
      <c r="K32" s="9"/>
      <c r="L32" s="9"/>
      <c r="M32" s="9"/>
      <c r="N32" s="9"/>
      <c r="O32" s="9"/>
      <c r="P32" s="8"/>
      <c r="Q32" s="761"/>
      <c r="R32" s="761"/>
      <c r="S32" s="761"/>
      <c r="T32" s="761"/>
      <c r="U32" s="761"/>
      <c r="V32" s="761"/>
      <c r="W32" s="761"/>
    </row>
    <row r="33" spans="1:23" ht="15.95" customHeight="1">
      <c r="A33" s="761"/>
      <c r="B33" s="761"/>
      <c r="C33" s="10"/>
      <c r="D33" s="9"/>
      <c r="E33" s="9"/>
      <c r="F33" s="9"/>
      <c r="G33" s="9"/>
      <c r="H33" s="9"/>
      <c r="I33" s="9"/>
      <c r="J33" s="9"/>
      <c r="K33" s="9"/>
      <c r="L33" s="9"/>
      <c r="M33" s="9"/>
      <c r="N33" s="9"/>
      <c r="O33" s="9"/>
      <c r="P33" s="8"/>
      <c r="Q33" s="761"/>
      <c r="R33" s="761"/>
      <c r="S33" s="761"/>
      <c r="T33" s="761"/>
      <c r="U33" s="761"/>
      <c r="V33" s="761"/>
      <c r="W33" s="761"/>
    </row>
    <row r="34" spans="1:23" ht="15.95" customHeight="1">
      <c r="A34" s="761"/>
      <c r="B34" s="761"/>
      <c r="C34" s="10"/>
      <c r="D34" s="9"/>
      <c r="E34" s="9"/>
      <c r="F34" s="9"/>
      <c r="G34" s="9"/>
      <c r="H34" s="9"/>
      <c r="I34" s="9"/>
      <c r="J34" s="9"/>
      <c r="K34" s="9"/>
      <c r="L34" s="9"/>
      <c r="M34" s="9"/>
      <c r="N34" s="9"/>
      <c r="O34" s="9"/>
      <c r="P34" s="8"/>
      <c r="Q34" s="761"/>
      <c r="R34" s="761"/>
      <c r="S34" s="761"/>
      <c r="T34" s="761"/>
      <c r="U34" s="761"/>
      <c r="V34" s="761"/>
      <c r="W34" s="761"/>
    </row>
    <row r="35" spans="1:23" ht="15.95" customHeight="1">
      <c r="A35" s="761"/>
      <c r="B35" s="761"/>
      <c r="C35" s="10"/>
      <c r="D35" s="9"/>
      <c r="E35" s="9"/>
      <c r="F35" s="9"/>
      <c r="G35" s="9"/>
      <c r="H35" s="9"/>
      <c r="I35" s="9"/>
      <c r="J35" s="9"/>
      <c r="K35" s="9"/>
      <c r="L35" s="9"/>
      <c r="M35" s="9"/>
      <c r="N35" s="9"/>
      <c r="O35" s="9"/>
      <c r="P35" s="8"/>
      <c r="Q35" s="761"/>
      <c r="R35" s="761"/>
      <c r="S35" s="761"/>
      <c r="T35" s="761"/>
      <c r="U35" s="761"/>
      <c r="V35" s="761"/>
      <c r="W35" s="761"/>
    </row>
    <row r="36" spans="1:23" ht="15.95" customHeight="1">
      <c r="A36" s="761"/>
      <c r="B36" s="761"/>
      <c r="C36" s="10"/>
      <c r="D36" s="9"/>
      <c r="E36" s="9"/>
      <c r="F36" s="9"/>
      <c r="G36" s="9"/>
      <c r="H36" s="9"/>
      <c r="I36" s="9"/>
      <c r="J36" s="9"/>
      <c r="K36" s="9"/>
      <c r="L36" s="9"/>
      <c r="M36" s="9"/>
      <c r="N36" s="9"/>
      <c r="O36" s="9"/>
      <c r="P36" s="8"/>
      <c r="Q36" s="761"/>
      <c r="R36" s="761"/>
      <c r="S36" s="761"/>
      <c r="T36" s="761"/>
      <c r="U36" s="761"/>
      <c r="V36" s="761"/>
      <c r="W36" s="761"/>
    </row>
    <row r="37" spans="1:23" ht="15.95" customHeight="1">
      <c r="A37" s="761"/>
      <c r="B37" s="761"/>
      <c r="C37" s="10"/>
      <c r="D37" s="9"/>
      <c r="E37" s="9"/>
      <c r="F37" s="9"/>
      <c r="G37" s="9"/>
      <c r="H37" s="9"/>
      <c r="I37" s="9"/>
      <c r="J37" s="9"/>
      <c r="K37" s="9"/>
      <c r="L37" s="9"/>
      <c r="M37" s="9"/>
      <c r="N37" s="9"/>
      <c r="O37" s="9"/>
      <c r="P37" s="8"/>
      <c r="Q37" s="761"/>
      <c r="R37" s="761"/>
      <c r="S37" s="761"/>
      <c r="T37" s="761"/>
      <c r="U37" s="761"/>
      <c r="V37" s="761"/>
      <c r="W37" s="761"/>
    </row>
    <row r="38" spans="1:23" ht="15.95" customHeight="1">
      <c r="A38" s="761"/>
      <c r="B38" s="761"/>
      <c r="C38" s="10"/>
      <c r="D38" s="9"/>
      <c r="E38" s="9"/>
      <c r="F38" s="9"/>
      <c r="G38" s="9"/>
      <c r="H38" s="9"/>
      <c r="I38" s="9"/>
      <c r="J38" s="9"/>
      <c r="K38" s="9"/>
      <c r="L38" s="9"/>
      <c r="M38" s="9"/>
      <c r="N38" s="9"/>
      <c r="O38" s="9"/>
      <c r="P38" s="8"/>
      <c r="Q38" s="761"/>
      <c r="R38" s="761"/>
      <c r="S38" s="761"/>
      <c r="T38" s="761"/>
      <c r="U38" s="761"/>
      <c r="V38" s="761"/>
      <c r="W38" s="761"/>
    </row>
    <row r="39" spans="1:23" ht="15.95" customHeight="1">
      <c r="A39" s="761"/>
      <c r="B39" s="761"/>
      <c r="C39" s="10"/>
      <c r="D39" s="9"/>
      <c r="E39" s="9"/>
      <c r="F39" s="9"/>
      <c r="G39" s="9"/>
      <c r="H39" s="9"/>
      <c r="I39" s="9"/>
      <c r="J39" s="9"/>
      <c r="K39" s="9"/>
      <c r="L39" s="9"/>
      <c r="M39" s="9"/>
      <c r="N39" s="9"/>
      <c r="O39" s="9"/>
      <c r="P39" s="8"/>
      <c r="Q39" s="761"/>
      <c r="R39" s="761"/>
      <c r="S39" s="761"/>
      <c r="T39" s="761"/>
      <c r="U39" s="761"/>
      <c r="V39" s="761"/>
      <c r="W39" s="761"/>
    </row>
    <row r="40" spans="1:23" ht="15.95" customHeight="1">
      <c r="A40" s="761"/>
      <c r="B40" s="761"/>
      <c r="C40" s="10"/>
      <c r="D40" s="9"/>
      <c r="E40" s="9"/>
      <c r="F40" s="9"/>
      <c r="G40" s="9"/>
      <c r="H40" s="9"/>
      <c r="I40" s="9"/>
      <c r="J40" s="9"/>
      <c r="K40" s="9"/>
      <c r="L40" s="9"/>
      <c r="M40" s="9"/>
      <c r="N40" s="9"/>
      <c r="O40" s="9"/>
      <c r="P40" s="8"/>
      <c r="Q40" s="761"/>
      <c r="R40" s="761"/>
      <c r="S40" s="761"/>
      <c r="T40" s="761"/>
      <c r="U40" s="761"/>
      <c r="V40" s="761"/>
      <c r="W40" s="761"/>
    </row>
    <row r="41" spans="1:23" ht="15.95" customHeight="1">
      <c r="A41" s="761"/>
      <c r="B41" s="761"/>
      <c r="C41" s="7"/>
      <c r="D41" s="6"/>
      <c r="E41" s="6"/>
      <c r="F41" s="6"/>
      <c r="G41" s="6"/>
      <c r="H41" s="6"/>
      <c r="I41" s="6"/>
      <c r="J41" s="6"/>
      <c r="K41" s="6"/>
      <c r="L41" s="6"/>
      <c r="M41" s="6"/>
      <c r="N41" s="6"/>
      <c r="O41" s="6"/>
      <c r="P41" s="5"/>
      <c r="Q41" s="761"/>
      <c r="R41" s="761"/>
      <c r="S41" s="761"/>
      <c r="T41" s="761"/>
      <c r="U41" s="761"/>
      <c r="V41" s="761"/>
      <c r="W41" s="761"/>
    </row>
    <row r="42" spans="1:23" ht="15">
      <c r="A42" s="761"/>
      <c r="B42" s="761"/>
      <c r="C42" s="761"/>
      <c r="D42" s="761"/>
      <c r="E42" s="761"/>
      <c r="F42" s="761"/>
      <c r="G42" s="761"/>
      <c r="H42" s="761"/>
      <c r="I42" s="761"/>
      <c r="J42" s="761"/>
      <c r="K42" s="761"/>
      <c r="L42" s="761"/>
      <c r="M42" s="761"/>
      <c r="N42" s="761"/>
      <c r="O42" s="761"/>
      <c r="P42" s="761"/>
      <c r="Q42" s="761"/>
      <c r="R42" s="761"/>
      <c r="S42" s="761"/>
      <c r="T42" s="761"/>
      <c r="U42" s="761"/>
      <c r="V42" s="761"/>
      <c r="W42" s="761"/>
    </row>
    <row r="43" spans="1:23" ht="15">
      <c r="A43" s="761"/>
      <c r="B43" s="761"/>
      <c r="C43" s="761"/>
      <c r="D43" s="761"/>
      <c r="E43" s="761"/>
      <c r="F43" s="761"/>
      <c r="G43" s="761"/>
      <c r="H43" s="761"/>
      <c r="I43" s="761"/>
      <c r="J43" s="761"/>
      <c r="K43" s="761"/>
      <c r="L43" s="761"/>
      <c r="M43" s="761"/>
      <c r="N43" s="761"/>
      <c r="O43" s="761"/>
      <c r="P43" s="761"/>
      <c r="Q43" s="761"/>
      <c r="R43" s="761"/>
      <c r="S43" s="761"/>
      <c r="T43" s="761"/>
      <c r="U43" s="761"/>
      <c r="V43" s="761"/>
      <c r="W43" s="761"/>
    </row>
    <row r="44" spans="1:23" ht="15">
      <c r="A44" s="761"/>
      <c r="B44" s="761"/>
      <c r="C44" s="761"/>
      <c r="D44" s="761"/>
      <c r="E44" s="761"/>
      <c r="F44" s="761"/>
      <c r="G44" s="761"/>
      <c r="H44" s="761"/>
      <c r="I44" s="761"/>
      <c r="J44" s="761"/>
      <c r="K44" s="761"/>
      <c r="L44" s="761"/>
      <c r="M44" s="761"/>
      <c r="N44" s="761"/>
      <c r="O44" s="761"/>
      <c r="P44" s="761"/>
      <c r="Q44" s="761"/>
      <c r="R44" s="761"/>
      <c r="S44" s="761"/>
      <c r="T44" s="761"/>
      <c r="U44" s="761"/>
      <c r="V44" s="761"/>
      <c r="W44" s="761"/>
    </row>
    <row r="45" spans="1:23" ht="15">
      <c r="A45" s="761"/>
      <c r="B45" s="761"/>
      <c r="C45" s="761"/>
      <c r="D45" s="761"/>
      <c r="E45" s="761"/>
      <c r="F45" s="761"/>
      <c r="G45" s="761"/>
      <c r="H45" s="761"/>
      <c r="I45" s="761"/>
      <c r="J45" s="761"/>
      <c r="K45" s="761"/>
      <c r="L45" s="761"/>
      <c r="M45" s="761"/>
      <c r="N45" s="761"/>
      <c r="O45" s="761"/>
      <c r="P45" s="761"/>
      <c r="Q45" s="761"/>
      <c r="R45" s="761"/>
      <c r="S45" s="761"/>
      <c r="T45" s="761"/>
      <c r="U45" s="761"/>
      <c r="V45" s="761"/>
      <c r="W45" s="761"/>
    </row>
    <row r="46" spans="1:23" ht="15">
      <c r="A46" s="761"/>
      <c r="B46" s="761"/>
      <c r="C46" s="761"/>
      <c r="D46" s="761"/>
      <c r="E46" s="761"/>
      <c r="F46" s="761"/>
      <c r="G46" s="761"/>
      <c r="H46" s="761"/>
      <c r="I46" s="761"/>
      <c r="J46" s="761"/>
      <c r="K46" s="761"/>
      <c r="L46" s="761"/>
      <c r="M46" s="761"/>
      <c r="N46" s="761"/>
      <c r="O46" s="761"/>
      <c r="P46" s="761"/>
      <c r="Q46" s="761"/>
      <c r="R46" s="761"/>
      <c r="S46" s="761"/>
      <c r="T46" s="761"/>
      <c r="U46" s="761"/>
      <c r="V46" s="761"/>
      <c r="W46" s="761"/>
    </row>
    <row r="47" spans="1:23" ht="15">
      <c r="A47" s="761"/>
      <c r="B47" s="761"/>
      <c r="C47" s="761"/>
      <c r="D47" s="761"/>
      <c r="E47" s="761"/>
      <c r="F47" s="761"/>
      <c r="G47" s="761"/>
      <c r="H47" s="761"/>
      <c r="I47" s="761"/>
      <c r="J47" s="761"/>
      <c r="K47" s="761"/>
      <c r="L47" s="761"/>
      <c r="M47" s="761"/>
      <c r="N47" s="761"/>
      <c r="O47" s="761"/>
      <c r="P47" s="761"/>
      <c r="Q47" s="761"/>
      <c r="R47" s="761"/>
      <c r="S47" s="761"/>
      <c r="T47" s="761"/>
      <c r="U47" s="761"/>
      <c r="V47" s="761"/>
      <c r="W47" s="761"/>
    </row>
    <row r="48" spans="1:23" ht="15">
      <c r="A48" s="761"/>
      <c r="B48" s="761"/>
      <c r="C48" s="761"/>
      <c r="D48" s="761"/>
      <c r="E48" s="761"/>
      <c r="F48" s="761"/>
      <c r="G48" s="761"/>
      <c r="H48" s="761"/>
      <c r="I48" s="761"/>
      <c r="J48" s="761"/>
      <c r="K48" s="761"/>
      <c r="L48" s="761"/>
      <c r="M48" s="761"/>
      <c r="N48" s="761"/>
      <c r="O48" s="761"/>
      <c r="P48" s="761"/>
      <c r="Q48" s="761"/>
      <c r="R48" s="761"/>
      <c r="S48" s="761"/>
      <c r="T48" s="761"/>
      <c r="U48" s="761"/>
      <c r="V48" s="761"/>
      <c r="W48" s="761"/>
    </row>
    <row r="49" spans="1:23" ht="15">
      <c r="A49" s="761"/>
      <c r="B49" s="761"/>
      <c r="C49" s="761"/>
      <c r="D49" s="761"/>
      <c r="E49" s="761"/>
      <c r="F49" s="761"/>
      <c r="G49" s="761"/>
      <c r="H49" s="761"/>
      <c r="I49" s="761"/>
      <c r="J49" s="761"/>
      <c r="K49" s="761"/>
      <c r="L49" s="761"/>
      <c r="M49" s="761"/>
      <c r="N49" s="761"/>
      <c r="O49" s="761"/>
      <c r="P49" s="761"/>
      <c r="Q49" s="761"/>
      <c r="R49" s="761"/>
      <c r="S49" s="761"/>
      <c r="T49" s="761"/>
      <c r="U49" s="761"/>
      <c r="V49" s="761"/>
      <c r="W49" s="761"/>
    </row>
    <row r="50" spans="1:23" ht="15">
      <c r="A50" s="761"/>
      <c r="B50" s="761"/>
      <c r="C50" s="761"/>
      <c r="D50" s="761"/>
      <c r="E50" s="761"/>
      <c r="F50" s="761"/>
      <c r="G50" s="761"/>
      <c r="H50" s="761"/>
      <c r="I50" s="761"/>
      <c r="J50" s="761"/>
      <c r="K50" s="761"/>
      <c r="L50" s="761"/>
      <c r="M50" s="761"/>
      <c r="N50" s="761"/>
      <c r="O50" s="761"/>
      <c r="P50" s="761"/>
      <c r="Q50" s="761"/>
      <c r="R50" s="761"/>
      <c r="S50" s="761"/>
      <c r="T50" s="761"/>
      <c r="U50" s="761"/>
      <c r="V50" s="761"/>
      <c r="W50" s="761"/>
    </row>
    <row r="51" spans="1:23" ht="15">
      <c r="A51" s="761"/>
      <c r="B51" s="761"/>
      <c r="C51" s="761"/>
      <c r="D51" s="761"/>
      <c r="E51" s="761"/>
      <c r="F51" s="761"/>
      <c r="G51" s="761"/>
      <c r="H51" s="761"/>
      <c r="I51" s="761"/>
      <c r="J51" s="761"/>
      <c r="K51" s="761"/>
      <c r="L51" s="761"/>
      <c r="M51" s="761"/>
      <c r="N51" s="761"/>
      <c r="O51" s="761"/>
      <c r="P51" s="761"/>
      <c r="Q51" s="761"/>
      <c r="R51" s="761"/>
      <c r="S51" s="761"/>
      <c r="T51" s="761"/>
      <c r="U51" s="761"/>
      <c r="V51" s="761"/>
      <c r="W51" s="761"/>
    </row>
    <row r="52" spans="1:23" ht="15">
      <c r="A52" s="761"/>
      <c r="B52" s="761"/>
      <c r="C52" s="761"/>
      <c r="D52" s="761"/>
      <c r="E52" s="761"/>
      <c r="F52" s="761"/>
      <c r="G52" s="761"/>
      <c r="H52" s="761"/>
      <c r="I52" s="761"/>
      <c r="J52" s="761"/>
      <c r="K52" s="761"/>
      <c r="L52" s="761"/>
      <c r="M52" s="761"/>
      <c r="N52" s="761"/>
      <c r="O52" s="761"/>
      <c r="P52" s="761"/>
      <c r="Q52" s="761"/>
      <c r="R52" s="761"/>
      <c r="S52" s="761"/>
      <c r="T52" s="761"/>
      <c r="U52" s="761"/>
      <c r="V52" s="761"/>
      <c r="W52" s="761"/>
    </row>
    <row r="53" spans="1:23" ht="15">
      <c r="A53" s="761"/>
      <c r="B53" s="761"/>
      <c r="C53" s="761"/>
      <c r="D53" s="761"/>
      <c r="E53" s="761"/>
      <c r="F53" s="761"/>
      <c r="G53" s="761"/>
      <c r="H53" s="761"/>
      <c r="I53" s="761"/>
      <c r="J53" s="761"/>
      <c r="K53" s="761"/>
      <c r="L53" s="761"/>
      <c r="M53" s="761"/>
      <c r="N53" s="761"/>
      <c r="O53" s="761"/>
      <c r="P53" s="761"/>
      <c r="Q53" s="761"/>
      <c r="R53" s="761"/>
      <c r="S53" s="761"/>
      <c r="T53" s="761"/>
      <c r="U53" s="761"/>
      <c r="V53" s="761"/>
      <c r="W53" s="761"/>
    </row>
    <row r="54" spans="1:23" ht="15">
      <c r="A54" s="761"/>
      <c r="B54" s="761"/>
      <c r="C54" s="761"/>
      <c r="D54" s="761"/>
      <c r="E54" s="761"/>
      <c r="F54" s="761"/>
      <c r="G54" s="761"/>
      <c r="H54" s="761"/>
      <c r="I54" s="761"/>
      <c r="J54" s="761"/>
      <c r="K54" s="761"/>
      <c r="L54" s="761"/>
      <c r="M54" s="761"/>
      <c r="N54" s="761"/>
      <c r="O54" s="761"/>
      <c r="P54" s="761"/>
      <c r="Q54" s="761"/>
      <c r="R54" s="761"/>
      <c r="S54" s="761"/>
      <c r="T54" s="761"/>
      <c r="U54" s="761"/>
      <c r="V54" s="761"/>
      <c r="W54" s="761"/>
    </row>
    <row r="55" spans="1:23" ht="15">
      <c r="A55" s="761"/>
      <c r="B55" s="761"/>
      <c r="C55" s="761"/>
      <c r="D55" s="761"/>
      <c r="E55" s="761"/>
      <c r="F55" s="761"/>
      <c r="G55" s="761"/>
      <c r="H55" s="761"/>
      <c r="I55" s="761"/>
      <c r="J55" s="761"/>
      <c r="K55" s="761"/>
      <c r="L55" s="761"/>
      <c r="M55" s="761"/>
      <c r="N55" s="761"/>
      <c r="O55" s="761"/>
      <c r="P55" s="761"/>
      <c r="Q55" s="761"/>
      <c r="R55" s="761"/>
      <c r="S55" s="761"/>
      <c r="T55" s="761"/>
      <c r="U55" s="761"/>
      <c r="V55" s="761"/>
      <c r="W55" s="761"/>
    </row>
    <row r="56" spans="1:23" ht="15">
      <c r="A56" s="761"/>
      <c r="B56" s="761"/>
      <c r="C56" s="761"/>
      <c r="D56" s="761"/>
      <c r="E56" s="761"/>
      <c r="F56" s="761"/>
      <c r="G56" s="761"/>
      <c r="H56" s="761"/>
      <c r="I56" s="761"/>
      <c r="J56" s="761"/>
      <c r="K56" s="761"/>
      <c r="L56" s="761"/>
      <c r="M56" s="761"/>
      <c r="N56" s="761"/>
      <c r="O56" s="761"/>
      <c r="P56" s="761"/>
      <c r="Q56" s="761"/>
      <c r="R56" s="761"/>
      <c r="S56" s="761"/>
      <c r="T56" s="761"/>
      <c r="U56" s="761"/>
      <c r="V56" s="761"/>
      <c r="W56" s="761"/>
    </row>
    <row r="57" spans="1:23" ht="15">
      <c r="A57" s="761"/>
      <c r="B57" s="761"/>
      <c r="C57" s="761"/>
      <c r="D57" s="761"/>
      <c r="E57" s="761"/>
      <c r="F57" s="761"/>
      <c r="G57" s="761"/>
      <c r="H57" s="761"/>
      <c r="I57" s="761"/>
      <c r="J57" s="761"/>
      <c r="K57" s="761"/>
      <c r="L57" s="761"/>
      <c r="M57" s="761"/>
      <c r="N57" s="761"/>
      <c r="O57" s="761"/>
      <c r="P57" s="761"/>
      <c r="Q57" s="761"/>
      <c r="R57" s="761"/>
      <c r="S57" s="761"/>
      <c r="T57" s="761"/>
      <c r="U57" s="761"/>
      <c r="V57" s="761"/>
      <c r="W57" s="761"/>
    </row>
  </sheetData>
  <mergeCells count="4">
    <mergeCell ref="F8:K8"/>
    <mergeCell ref="C22:P41"/>
    <mergeCell ref="M13:P20"/>
    <mergeCell ref="M7:O7"/>
  </mergeCells>
  <conditionalFormatting sqref="C20:H20">
    <cfRule type="expression" priority="19" dxfId="10">
      <formula>AND(FP.RealTimeToggle="ON",MO.RealTime="ON")</formula>
    </cfRule>
  </conditionalFormatting>
  <dataValidations count="3">
    <dataValidation type="list" allowBlank="1" showInputMessage="1" showErrorMessage="1" sqref="H18">
      <formula1>"ON, OFF"</formula1>
    </dataValidation>
    <dataValidation allowBlank="1" showInputMessage="1" showErrorMessage="1" sqref="H16"/>
    <dataValidation type="list" allowBlank="1" showInputMessage="1" showErrorMessage="1" sqref="H15">
      <formula1>"Bloomberg, Capital IQ, FactSet, Refinitiv"</formula1>
    </dataValidation>
  </dataValidations>
  <hyperlinks>
    <hyperlink ref="M7" r:id="rId1" tooltip="Click to directly email Canalyst support" display="support@tegus.com"/>
    <hyperlink ref="M7:O7" r:id="rId2" tooltip="Click to directly email Canalyst support" display="support@tegus.com"/>
    <hyperlink ref="M10" r:id="rId3" display="Tegus Excel Add-in"/>
  </hyperlinks>
  <pageMargins left="0.7" right="0.7" top="0.75" bottom="0.75" header="0.3" footer="0.3"/>
  <pageSetup orientation="portrait" paperSize="1" scale="45"/>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2DAE6D6-2CF0-4B2C-8E25-5ECF6F72B9C1}">
  <sheetPr codeName="Sheet2">
    <pageSetUpPr fitToPage="1"/>
  </sheetPr>
  <dimension ref="A1:BS1108"/>
  <sheetViews>
    <sheetView showGridLines="0" zoomScale="85" zoomScaleNormal="85" workbookViewId="0" topLeftCell="A1">
      <pane xSplit="2" ySplit="5" topLeftCell="AZ6" activePane="bottomRight" state="frozen"/>
      <selection pane="topLeft" activeCell="A1" sqref="A1"/>
      <selection pane="bottomLeft" activeCell="A6" sqref="A6"/>
      <selection pane="topRight" activeCell="C1" sqref="C1"/>
      <selection pane="bottomRight" activeCell="A1" sqref="A1"/>
    </sheetView>
  </sheetViews>
  <sheetFormatPr defaultColWidth="9.14428571428571" defaultRowHeight="15" outlineLevelRow="2" outlineLevelCol="1"/>
  <cols>
    <col min="1" max="1" width="50.7142857142857" style="663" customWidth="1"/>
    <col min="2" max="2" width="10.7142857142857" style="663" customWidth="1"/>
    <col min="3" max="7" width="11.7142857142857" style="663" customWidth="1"/>
    <col min="8" max="11" width="11.7142857142857" style="663" hidden="1" customWidth="1" outlineLevel="1"/>
    <col min="12" max="12" width="11.7142857142857" style="663" customWidth="1" collapsed="1"/>
    <col min="13" max="16" width="11.7142857142857" style="663" hidden="1" customWidth="1" outlineLevel="1"/>
    <col min="17" max="17" width="11.7142857142857" style="663" customWidth="1" collapsed="1"/>
    <col min="18" max="18" width="11.7142857142857" style="663" hidden="1" customWidth="1" outlineLevel="1"/>
    <col min="19" max="19" width="11.7142857142857" style="664" hidden="1" customWidth="1" outlineLevel="1"/>
    <col min="20" max="21" width="11.7142857142857" style="663" hidden="1" customWidth="1" outlineLevel="1"/>
    <col min="22" max="22" width="11.7142857142857" style="663" customWidth="1" collapsed="1"/>
    <col min="23" max="26" width="11.7142857142857" style="663" hidden="1" customWidth="1" outlineLevel="1"/>
    <col min="27" max="27" width="11.7142857142857" style="663" customWidth="1" collapsed="1"/>
    <col min="28" max="31" width="11.7142857142857" style="663" hidden="1" customWidth="1" outlineLevel="1"/>
    <col min="32" max="32" width="11.7142857142857" style="663" customWidth="1" collapsed="1"/>
    <col min="33" max="36" width="11.7142857142857" style="663" hidden="1" customWidth="1" outlineLevel="1"/>
    <col min="37" max="37" width="11.7142857142857" style="663" customWidth="1" collapsed="1"/>
    <col min="38" max="41" width="11.7142857142857" style="663" hidden="1" customWidth="1" outlineLevel="1"/>
    <col min="42" max="42" width="11.7142857142857" style="663" customWidth="1" collapsed="1"/>
    <col min="43" max="46" width="11.7142857142857" style="663" hidden="1" customWidth="1" outlineLevel="1"/>
    <col min="47" max="47" width="11.7142857142857" style="663" customWidth="1" collapsed="1"/>
    <col min="48" max="51" width="11.7142857142857" style="663" hidden="1" customWidth="1" outlineLevel="1"/>
    <col min="52" max="52" width="11.7142857142857" style="663" customWidth="1" collapsed="1"/>
    <col min="53" max="56" width="11.7142857142857" style="663" customWidth="1" outlineLevel="1"/>
    <col min="57" max="57" width="11.7142857142857" style="663" customWidth="1"/>
    <col min="58" max="61" width="11.7142857142857" style="663" customWidth="1" outlineLevel="1"/>
    <col min="62" max="62" width="11.7142857142857" style="663" customWidth="1"/>
    <col min="63" max="66" width="11.7142857142857" style="663" customWidth="1" outlineLevel="1"/>
    <col min="67" max="70" width="11.7142857142857" style="663" customWidth="1"/>
    <col min="71" max="71" width="8.85714285714286" style="663" customWidth="1"/>
    <col min="72" max="16384" width="9.14285714285714" style="663"/>
  </cols>
  <sheetData>
    <row r="1" spans="1:71" s="665" customFormat="1" ht="28.5">
      <c r="A1" s="306" t="s">
        <v>10</v>
      </c>
      <c r="B1" s="992"/>
      <c r="C1" s="993"/>
      <c r="D1" s="993"/>
      <c r="E1" s="993"/>
      <c r="F1" s="993"/>
      <c r="G1" s="993"/>
      <c r="H1" s="993"/>
      <c r="I1" s="993"/>
      <c r="J1" s="993"/>
      <c r="K1" s="993"/>
      <c r="L1" s="993"/>
      <c r="M1" s="993"/>
      <c r="N1" s="993"/>
      <c r="O1" s="993"/>
      <c r="P1" s="993"/>
      <c r="Q1" s="993"/>
      <c r="R1" s="993"/>
      <c r="S1" s="993"/>
      <c r="T1" s="993"/>
      <c r="U1" s="993"/>
      <c r="V1" s="993"/>
      <c r="W1" s="993"/>
      <c r="X1" s="993"/>
      <c r="Y1" s="993"/>
      <c r="Z1" s="993"/>
      <c r="AA1" s="993"/>
      <c r="AB1" s="993"/>
      <c r="AC1" s="993"/>
      <c r="AD1" s="993"/>
      <c r="AE1" s="993"/>
      <c r="AF1" s="993"/>
      <c r="AG1" s="993"/>
      <c r="AH1" s="993"/>
      <c r="AI1" s="993"/>
      <c r="AJ1" s="993"/>
      <c r="AK1" s="993"/>
      <c r="AL1" s="993"/>
      <c r="AM1" s="993"/>
      <c r="AN1" s="993"/>
      <c r="AO1" s="993"/>
      <c r="AP1" s="993"/>
      <c r="AQ1" s="993"/>
      <c r="AR1" s="993"/>
      <c r="AS1" s="993"/>
      <c r="AT1" s="993"/>
      <c r="AU1" s="993"/>
      <c r="AV1" s="993"/>
      <c r="AW1" s="993"/>
      <c r="AX1" s="993"/>
      <c r="AY1" s="993"/>
      <c r="AZ1" s="993"/>
      <c r="BA1" s="993"/>
      <c r="BB1" s="993"/>
      <c r="BC1" s="993"/>
      <c r="BD1" s="993"/>
      <c r="BE1" s="993"/>
      <c r="BF1" s="993"/>
      <c r="BG1" s="993"/>
      <c r="BH1" s="994"/>
      <c r="BI1" s="992"/>
      <c r="BJ1" s="992"/>
      <c r="BK1" s="992"/>
      <c r="BL1" s="992"/>
      <c r="BM1" s="992"/>
      <c r="BN1" s="992"/>
      <c r="BO1" s="992"/>
      <c r="BP1" s="993"/>
      <c r="BQ1" s="993"/>
      <c r="BR1" s="992"/>
      <c r="BS1" s="647"/>
    </row>
    <row r="2" spans="1:71" s="666" customFormat="1" ht="15">
      <c r="A2" s="335" t="str">
        <f>CHOOSE(MO.DataSourceIndex,MO.Ticker.Bloomberg,MO.Ticker.CapIQ,MO.Ticker.FactSet,MO.Ticker.Thomson)</f>
        <v>PGR US</v>
      </c>
      <c r="B2" s="383"/>
      <c r="C2" s="185">
        <f>EOMONTH(C4,-12)</f>
        <v>39813</v>
      </c>
      <c r="D2" s="384"/>
      <c r="E2" s="384"/>
      <c r="F2" s="384"/>
      <c r="G2" s="384"/>
      <c r="H2" s="384"/>
      <c r="I2" s="384"/>
      <c r="J2" s="384"/>
      <c r="K2" s="384"/>
      <c r="L2" s="384"/>
      <c r="M2" s="384"/>
      <c r="N2" s="384"/>
      <c r="O2" s="384"/>
      <c r="P2" s="384"/>
      <c r="Q2" s="384"/>
      <c r="R2" s="384"/>
      <c r="S2" s="384"/>
      <c r="T2" s="384"/>
      <c r="U2" s="384"/>
      <c r="V2" s="384"/>
      <c r="W2" s="384"/>
      <c r="X2" s="384"/>
      <c r="Y2" s="384"/>
      <c r="Z2" s="384"/>
      <c r="AA2" s="384"/>
      <c r="AB2" s="384"/>
      <c r="AC2" s="384"/>
      <c r="AD2" s="384"/>
      <c r="AE2" s="384"/>
      <c r="AF2" s="384"/>
      <c r="AG2" s="384"/>
      <c r="AH2" s="384"/>
      <c r="AI2" s="384"/>
      <c r="AJ2" s="384"/>
      <c r="AK2" s="384"/>
      <c r="AL2" s="385"/>
      <c r="AM2" s="384"/>
      <c r="AN2" s="384"/>
      <c r="AO2" s="384"/>
      <c r="AP2" s="384"/>
      <c r="AQ2" s="385"/>
      <c r="AR2" s="384"/>
      <c r="AS2" s="384"/>
      <c r="AT2" s="384"/>
      <c r="AU2" s="384"/>
      <c r="AV2" s="385"/>
      <c r="AW2" s="384"/>
      <c r="AX2" s="384"/>
      <c r="AY2" s="384"/>
      <c r="AZ2" s="384"/>
      <c r="BA2" s="385"/>
      <c r="BB2" s="384"/>
      <c r="BC2" s="384"/>
      <c r="BD2" s="384"/>
      <c r="BE2" s="384"/>
      <c r="BF2" s="385"/>
      <c r="BG2" s="384"/>
      <c r="BH2" s="459"/>
      <c r="BI2" s="386"/>
      <c r="BJ2" s="386"/>
      <c r="BK2" s="386"/>
      <c r="BL2" s="386"/>
      <c r="BM2" s="386"/>
      <c r="BN2" s="386"/>
      <c r="BO2" s="386"/>
      <c r="BP2" s="384"/>
      <c r="BQ2" s="384"/>
      <c r="BR2" s="386"/>
      <c r="BS2" s="35"/>
    </row>
    <row r="3" spans="1:71" s="667" customFormat="1" ht="15">
      <c r="A3" s="336" t="str">
        <f ca="1">HP.TradeCurrency</f>
        <v>USD</v>
      </c>
      <c r="B3" s="337">
        <f ca="1">IF(MO.RealTime="OFF",MO.LastPriceHardcoded,MO.LastPriceFormula)</f>
        <v>257.50</v>
      </c>
      <c r="C3" s="1311">
        <f>C4-C2</f>
        <v>365</v>
      </c>
      <c r="D3" s="1311">
        <f t="shared" si="0" ref="D3:K3">D4-C4</f>
        <v>365</v>
      </c>
      <c r="E3" s="1311">
        <f t="shared" si="0"/>
        <v>365</v>
      </c>
      <c r="F3" s="1311">
        <f t="shared" si="0"/>
        <v>366</v>
      </c>
      <c r="G3" s="1311">
        <f t="shared" si="0"/>
        <v>365</v>
      </c>
      <c r="H3" s="187">
        <f t="shared" si="0"/>
        <v>90</v>
      </c>
      <c r="I3" s="187">
        <f t="shared" si="0"/>
        <v>91</v>
      </c>
      <c r="J3" s="187">
        <f t="shared" si="0"/>
        <v>92</v>
      </c>
      <c r="K3" s="187">
        <f t="shared" si="0"/>
        <v>92</v>
      </c>
      <c r="L3" s="1311">
        <f>L4-G4</f>
        <v>365</v>
      </c>
      <c r="M3" s="187">
        <f>M4-L4</f>
        <v>90</v>
      </c>
      <c r="N3" s="187">
        <f>N4-M4</f>
        <v>91</v>
      </c>
      <c r="O3" s="187">
        <f>O4-N4</f>
        <v>92</v>
      </c>
      <c r="P3" s="187">
        <f>P4-O4</f>
        <v>92</v>
      </c>
      <c r="Q3" s="1311">
        <f>Q4-L4</f>
        <v>365</v>
      </c>
      <c r="R3" s="187">
        <f>R4-Q4</f>
        <v>91</v>
      </c>
      <c r="S3" s="187">
        <f>S4-R4</f>
        <v>91</v>
      </c>
      <c r="T3" s="187">
        <f>T4-S4</f>
        <v>92</v>
      </c>
      <c r="U3" s="187">
        <f>U4-T4</f>
        <v>92</v>
      </c>
      <c r="V3" s="1311">
        <f>V4-Q4</f>
        <v>366</v>
      </c>
      <c r="W3" s="187">
        <f>W4-V4</f>
        <v>90</v>
      </c>
      <c r="X3" s="187">
        <f>X4-W4</f>
        <v>91</v>
      </c>
      <c r="Y3" s="187">
        <f>Y4-X4</f>
        <v>92</v>
      </c>
      <c r="Z3" s="187">
        <f>Z4-Y4</f>
        <v>92</v>
      </c>
      <c r="AA3" s="1311">
        <f>AA4-V4</f>
        <v>365</v>
      </c>
      <c r="AB3" s="187">
        <f>AB4-AA4</f>
        <v>90</v>
      </c>
      <c r="AC3" s="187">
        <f>AC4-AB4</f>
        <v>91</v>
      </c>
      <c r="AD3" s="187">
        <f>AD4-AC4</f>
        <v>92</v>
      </c>
      <c r="AE3" s="187">
        <f>AE4-AD4</f>
        <v>92</v>
      </c>
      <c r="AF3" s="1311">
        <f>AF4-AA4</f>
        <v>365</v>
      </c>
      <c r="AG3" s="187">
        <f>AG4-AF4</f>
        <v>90</v>
      </c>
      <c r="AH3" s="187">
        <f>AH4-AG4</f>
        <v>91</v>
      </c>
      <c r="AI3" s="187">
        <f>AI4-AH4</f>
        <v>92</v>
      </c>
      <c r="AJ3" s="187">
        <f>AJ4-AI4</f>
        <v>92</v>
      </c>
      <c r="AK3" s="1311">
        <f>AK4-AF4</f>
        <v>365</v>
      </c>
      <c r="AL3" s="187">
        <f>AL4-AK4</f>
        <v>91</v>
      </c>
      <c r="AM3" s="187">
        <f>AM4-AL4</f>
        <v>91</v>
      </c>
      <c r="AN3" s="187">
        <f>AN4-AM4</f>
        <v>92</v>
      </c>
      <c r="AO3" s="187">
        <f>AO4-AN4</f>
        <v>92</v>
      </c>
      <c r="AP3" s="1311">
        <f>AP4-AK4</f>
        <v>366</v>
      </c>
      <c r="AQ3" s="187">
        <f>AQ4-AP4</f>
        <v>90</v>
      </c>
      <c r="AR3" s="187">
        <f>AR4-AQ4</f>
        <v>91</v>
      </c>
      <c r="AS3" s="187">
        <f>AS4-AR4</f>
        <v>92</v>
      </c>
      <c r="AT3" s="187">
        <f>AT4-AS4</f>
        <v>92</v>
      </c>
      <c r="AU3" s="1311">
        <f>AU4-AP4</f>
        <v>365</v>
      </c>
      <c r="AV3" s="187">
        <f>AV4-AU4</f>
        <v>90</v>
      </c>
      <c r="AW3" s="187">
        <f>AW4-AV4</f>
        <v>91</v>
      </c>
      <c r="AX3" s="187">
        <f>AX4-AW4</f>
        <v>92</v>
      </c>
      <c r="AY3" s="187">
        <f>AY4-AX4</f>
        <v>92</v>
      </c>
      <c r="AZ3" s="1311">
        <f>AZ4-AU4</f>
        <v>365</v>
      </c>
      <c r="BA3" s="187">
        <f>BA4-AZ4</f>
        <v>90</v>
      </c>
      <c r="BB3" s="187">
        <f>BB4-BA4</f>
        <v>91</v>
      </c>
      <c r="BC3" s="187">
        <f>BC4-BB4</f>
        <v>92</v>
      </c>
      <c r="BD3" s="187">
        <f>BD4-BC4</f>
        <v>92</v>
      </c>
      <c r="BE3" s="1311">
        <f>BE4-AZ4</f>
        <v>365</v>
      </c>
      <c r="BF3" s="187">
        <f>BF4-BE4</f>
        <v>91</v>
      </c>
      <c r="BG3" s="187">
        <f>BG4-BF4</f>
        <v>91</v>
      </c>
      <c r="BH3" s="806">
        <f>BH4-BG4</f>
        <v>92</v>
      </c>
      <c r="BI3" s="60">
        <f>BI4-BH4</f>
        <v>92</v>
      </c>
      <c r="BJ3" s="1312">
        <f>BJ4-BE4</f>
        <v>366</v>
      </c>
      <c r="BK3" s="60">
        <f>BK4-BJ4</f>
        <v>90</v>
      </c>
      <c r="BL3" s="60">
        <f>BL4-BK4</f>
        <v>91</v>
      </c>
      <c r="BM3" s="60">
        <f>BM4-BL4</f>
        <v>92</v>
      </c>
      <c r="BN3" s="60">
        <f>BN4-BM4</f>
        <v>92</v>
      </c>
      <c r="BO3" s="1312">
        <f>BO4-BJ4</f>
        <v>365</v>
      </c>
      <c r="BP3" s="1313">
        <f>BP4-BO4</f>
        <v>365</v>
      </c>
      <c r="BQ3" s="1313">
        <f>BQ4-BP4</f>
        <v>365</v>
      </c>
      <c r="BR3" s="1312">
        <f>BR4-BQ4</f>
        <v>366</v>
      </c>
      <c r="BS3" s="338"/>
    </row>
    <row r="4" spans="1:71" s="664" customFormat="1" ht="15">
      <c r="A4" s="339" t="str">
        <f>FP.DataSourceName</f>
        <v>Bloomberg</v>
      </c>
      <c r="B4" s="340" t="str">
        <f ca="1">IF(AND(MO.RealTimeStockPriceToggle,MO.LastPriceFormula&lt;&gt;"N/A"),"ON","OFF")</f>
        <v>OFF</v>
      </c>
      <c r="C4" s="1314">
        <v>40178</v>
      </c>
      <c r="D4" s="1315">
        <f>EOMONTH(C4,12)</f>
        <v>40543</v>
      </c>
      <c r="E4" s="1315">
        <f>EOMONTH(D4,12)</f>
        <v>40908</v>
      </c>
      <c r="F4" s="1315">
        <f>EOMONTH(E4,12)</f>
        <v>41274</v>
      </c>
      <c r="G4" s="1315">
        <f>EOMONTH(F4,12)</f>
        <v>41639</v>
      </c>
      <c r="H4" s="1212">
        <f>EOMONTH(G4,3)</f>
        <v>41729</v>
      </c>
      <c r="I4" s="1212">
        <f>EOMONTH(H4,3)</f>
        <v>41820</v>
      </c>
      <c r="J4" s="1212">
        <f>EOMONTH(I4,3)</f>
        <v>41912</v>
      </c>
      <c r="K4" s="1212">
        <f>EOMONTH(J4,3)</f>
        <v>42004</v>
      </c>
      <c r="L4" s="1315">
        <f>K4</f>
        <v>42004</v>
      </c>
      <c r="M4" s="1212">
        <f>EOMONTH(L4,3)</f>
        <v>42094</v>
      </c>
      <c r="N4" s="1212">
        <f>EOMONTH(M4,3)</f>
        <v>42185</v>
      </c>
      <c r="O4" s="1212">
        <f>EOMONTH(N4,3)</f>
        <v>42277</v>
      </c>
      <c r="P4" s="1212">
        <f>EOMONTH(O4,3)</f>
        <v>42369</v>
      </c>
      <c r="Q4" s="1315">
        <f>P4</f>
        <v>42369</v>
      </c>
      <c r="R4" s="1212">
        <f>EOMONTH(Q4,3)</f>
        <v>42460</v>
      </c>
      <c r="S4" s="189">
        <f>EOMONTH(R4,3)</f>
        <v>42551</v>
      </c>
      <c r="T4" s="1212">
        <f>EOMONTH(S4,3)</f>
        <v>42643</v>
      </c>
      <c r="U4" s="1212">
        <f>EOMONTH(T4,3)</f>
        <v>42735</v>
      </c>
      <c r="V4" s="1315">
        <f>U4</f>
        <v>42735</v>
      </c>
      <c r="W4" s="1212">
        <f>EOMONTH(V4,3)</f>
        <v>42825</v>
      </c>
      <c r="X4" s="189">
        <f>EOMONTH(W4,3)</f>
        <v>42916</v>
      </c>
      <c r="Y4" s="1212">
        <f>EOMONTH(X4,3)</f>
        <v>43008</v>
      </c>
      <c r="Z4" s="1212">
        <f>EOMONTH(Y4,3)</f>
        <v>43100</v>
      </c>
      <c r="AA4" s="1315">
        <f>Z4</f>
        <v>43100</v>
      </c>
      <c r="AB4" s="1212">
        <f>EOMONTH(AA4,3)</f>
        <v>43190</v>
      </c>
      <c r="AC4" s="189">
        <f>EOMONTH(AB4,3)</f>
        <v>43281</v>
      </c>
      <c r="AD4" s="1212">
        <f>EOMONTH(AC4,3)</f>
        <v>43373</v>
      </c>
      <c r="AE4" s="1212">
        <f>EOMONTH(AD4,3)</f>
        <v>43465</v>
      </c>
      <c r="AF4" s="1315">
        <f>AE4</f>
        <v>43465</v>
      </c>
      <c r="AG4" s="1212">
        <f>EOMONTH(AF4,3)</f>
        <v>43555</v>
      </c>
      <c r="AH4" s="189">
        <f>EOMONTH(AG4,3)</f>
        <v>43646</v>
      </c>
      <c r="AI4" s="1212">
        <f>EOMONTH(AH4,3)</f>
        <v>43738</v>
      </c>
      <c r="AJ4" s="1212">
        <f>EOMONTH(AI4,3)</f>
        <v>43830</v>
      </c>
      <c r="AK4" s="1315">
        <f>AJ4</f>
        <v>43830</v>
      </c>
      <c r="AL4" s="1212">
        <f>EOMONTH(AK4,3)</f>
        <v>43921</v>
      </c>
      <c r="AM4" s="189">
        <f>EOMONTH(AL4,3)</f>
        <v>44012</v>
      </c>
      <c r="AN4" s="1212">
        <f>EOMONTH(AM4,3)</f>
        <v>44104</v>
      </c>
      <c r="AO4" s="1212">
        <f>EOMONTH(AN4,3)</f>
        <v>44196</v>
      </c>
      <c r="AP4" s="1315">
        <f>AO4</f>
        <v>44196</v>
      </c>
      <c r="AQ4" s="1212">
        <f>EOMONTH(AP4,3)</f>
        <v>44286</v>
      </c>
      <c r="AR4" s="189">
        <f>EOMONTH(AQ4,3)</f>
        <v>44377</v>
      </c>
      <c r="AS4" s="1212">
        <f>EOMONTH(AR4,3)</f>
        <v>44469</v>
      </c>
      <c r="AT4" s="1212">
        <f>EOMONTH(AS4,3)</f>
        <v>44561</v>
      </c>
      <c r="AU4" s="1315">
        <f>AT4</f>
        <v>44561</v>
      </c>
      <c r="AV4" s="1212">
        <f>EOMONTH(AU4,3)</f>
        <v>44651</v>
      </c>
      <c r="AW4" s="189">
        <f>EOMONTH(AV4,3)</f>
        <v>44742</v>
      </c>
      <c r="AX4" s="1212">
        <f>EOMONTH(AW4,3)</f>
        <v>44834</v>
      </c>
      <c r="AY4" s="1212">
        <f>EOMONTH(AX4,3)</f>
        <v>44926</v>
      </c>
      <c r="AZ4" s="1315">
        <f>AY4</f>
        <v>44926</v>
      </c>
      <c r="BA4" s="1212">
        <f>EOMONTH(AZ4,3)</f>
        <v>45016</v>
      </c>
      <c r="BB4" s="189">
        <f>EOMONTH(BA4,3)</f>
        <v>45107</v>
      </c>
      <c r="BC4" s="1212">
        <f>EOMONTH(BB4,3)</f>
        <v>45199</v>
      </c>
      <c r="BD4" s="1212">
        <f>EOMONTH(BC4,3)</f>
        <v>45291</v>
      </c>
      <c r="BE4" s="1315">
        <f>BD4</f>
        <v>45291</v>
      </c>
      <c r="BF4" s="1212">
        <f>EOMONTH(BE4,3)</f>
        <v>45382</v>
      </c>
      <c r="BG4" s="189">
        <f>EOMONTH(BF4,3)</f>
        <v>45473</v>
      </c>
      <c r="BH4" s="1213">
        <f>EOMONTH(BG4,3)</f>
        <v>45565</v>
      </c>
      <c r="BI4" s="72">
        <f>EOMONTH(BH4,3)</f>
        <v>45657</v>
      </c>
      <c r="BJ4" s="1316">
        <f>BI4</f>
        <v>45657</v>
      </c>
      <c r="BK4" s="72">
        <f>EOMONTH(BJ4,3)</f>
        <v>45747</v>
      </c>
      <c r="BL4" s="72">
        <f>EOMONTH(BK4,3)</f>
        <v>45838</v>
      </c>
      <c r="BM4" s="72">
        <f>EOMONTH(BL4,3)</f>
        <v>45930</v>
      </c>
      <c r="BN4" s="72">
        <f>EOMONTH(BM4,3)</f>
        <v>46022</v>
      </c>
      <c r="BO4" s="1316">
        <f>BN4</f>
        <v>46022</v>
      </c>
      <c r="BP4" s="1315">
        <f>EOMONTH(BO4,12)</f>
        <v>46387</v>
      </c>
      <c r="BQ4" s="1315">
        <f>EOMONTH(BP4,12)</f>
        <v>46752</v>
      </c>
      <c r="BR4" s="1316">
        <f>EOMONTH(BQ4,12)</f>
        <v>47118</v>
      </c>
      <c r="BS4" s="19"/>
    </row>
    <row r="5" spans="1:71" s="666" customFormat="1" ht="15">
      <c r="A5" s="55" t="str">
        <f>MO.ReportCurrency</f>
        <v>USD</v>
      </c>
      <c r="B5" s="387"/>
      <c r="C5" s="1317" t="s">
        <v>12</v>
      </c>
      <c r="D5" s="1318" t="str">
        <f>CONCATENATE("FY",RIGHT(C5,4)+1)</f>
        <v>FY2010</v>
      </c>
      <c r="E5" s="1318" t="str">
        <f>CONCATENATE("FY",RIGHT(D5,4)+1)</f>
        <v>FY2011</v>
      </c>
      <c r="F5" s="1318" t="str">
        <f>CONCATENATE("FY",RIGHT(E5,4)+1)</f>
        <v>FY2012</v>
      </c>
      <c r="G5" s="1318" t="str">
        <f>CONCATENATE("FY",RIGHT(F5,4)+1)</f>
        <v>FY2013</v>
      </c>
      <c r="H5" s="473" t="str">
        <f>CONCATENATE("Q1","-",RIGHT(G5,4)+1)</f>
        <v>Q1-2014</v>
      </c>
      <c r="I5" s="473" t="str">
        <f>CONCATENATE("Q2","-",RIGHT(H5,4))</f>
        <v>Q2-2014</v>
      </c>
      <c r="J5" s="473" t="str">
        <f>CONCATENATE("Q3","-",RIGHT(I5,4))</f>
        <v>Q3-2014</v>
      </c>
      <c r="K5" s="473" t="str">
        <f>CONCATENATE("Q4","-",RIGHT(J5,4))</f>
        <v>Q4-2014</v>
      </c>
      <c r="L5" s="1318" t="str">
        <f>CONCATENATE("FY",RIGHT(G5,4)+1)</f>
        <v>FY2014</v>
      </c>
      <c r="M5" s="473" t="str">
        <f>CONCATENATE("Q1","-",RIGHT(L5,4)+1)</f>
        <v>Q1-2015</v>
      </c>
      <c r="N5" s="473" t="str">
        <f>CONCATENATE("Q2","-",RIGHT(M5,4))</f>
        <v>Q2-2015</v>
      </c>
      <c r="O5" s="473" t="str">
        <f>CONCATENATE("Q3","-",RIGHT(N5,4))</f>
        <v>Q3-2015</v>
      </c>
      <c r="P5" s="473" t="str">
        <f>CONCATENATE("Q4","-",RIGHT(O5,4))</f>
        <v>Q4-2015</v>
      </c>
      <c r="Q5" s="1318" t="str">
        <f>CONCATENATE("FY",RIGHT(L5,4)+1)</f>
        <v>FY2015</v>
      </c>
      <c r="R5" s="473" t="str">
        <f>CONCATENATE("Q1","-",RIGHT(Q5,4)+1)</f>
        <v>Q1-2016</v>
      </c>
      <c r="S5" s="191" t="str">
        <f>CONCATENATE("Q2","-",RIGHT(R5,4))</f>
        <v>Q2-2016</v>
      </c>
      <c r="T5" s="473" t="str">
        <f>CONCATENATE("Q3","-",RIGHT(S5,4))</f>
        <v>Q3-2016</v>
      </c>
      <c r="U5" s="473" t="str">
        <f>CONCATENATE("Q4","-",RIGHT(T5,4))</f>
        <v>Q4-2016</v>
      </c>
      <c r="V5" s="1318" t="str">
        <f>CONCATENATE("FY",RIGHT(Q5,4)+1)</f>
        <v>FY2016</v>
      </c>
      <c r="W5" s="473" t="str">
        <f>CONCATENATE("Q1","-",RIGHT(V5,4)+1)</f>
        <v>Q1-2017</v>
      </c>
      <c r="X5" s="191" t="str">
        <f>CONCATENATE("Q2","-",RIGHT(W5,4))</f>
        <v>Q2-2017</v>
      </c>
      <c r="Y5" s="473" t="str">
        <f>CONCATENATE("Q3","-",RIGHT(X5,4))</f>
        <v>Q3-2017</v>
      </c>
      <c r="Z5" s="473" t="str">
        <f>CONCATENATE("Q4","-",RIGHT(Y5,4))</f>
        <v>Q4-2017</v>
      </c>
      <c r="AA5" s="1318" t="str">
        <f>CONCATENATE("FY",RIGHT(V5,4)+1)</f>
        <v>FY2017</v>
      </c>
      <c r="AB5" s="473" t="str">
        <f>CONCATENATE("Q1","-",RIGHT(AA5,4)+1)</f>
        <v>Q1-2018</v>
      </c>
      <c r="AC5" s="191" t="str">
        <f>CONCATENATE("Q2","-",RIGHT(AB5,4))</f>
        <v>Q2-2018</v>
      </c>
      <c r="AD5" s="473" t="str">
        <f>CONCATENATE("Q3","-",RIGHT(AC5,4))</f>
        <v>Q3-2018</v>
      </c>
      <c r="AE5" s="473" t="str">
        <f>CONCATENATE("Q4","-",RIGHT(AD5,4))</f>
        <v>Q4-2018</v>
      </c>
      <c r="AF5" s="1318" t="str">
        <f>CONCATENATE("FY",RIGHT(AA5,4)+1)</f>
        <v>FY2018</v>
      </c>
      <c r="AG5" s="473" t="str">
        <f>CONCATENATE("Q1","-",RIGHT(AF5,4)+1)</f>
        <v>Q1-2019</v>
      </c>
      <c r="AH5" s="191" t="str">
        <f>CONCATENATE("Q2","-",RIGHT(AG5,4))</f>
        <v>Q2-2019</v>
      </c>
      <c r="AI5" s="473" t="str">
        <f>CONCATENATE("Q3","-",RIGHT(AH5,4))</f>
        <v>Q3-2019</v>
      </c>
      <c r="AJ5" s="473" t="str">
        <f>CONCATENATE("Q4","-",RIGHT(AI5,4))</f>
        <v>Q4-2019</v>
      </c>
      <c r="AK5" s="1318" t="str">
        <f>CONCATENATE("FY",RIGHT(AF5,4)+1)</f>
        <v>FY2019</v>
      </c>
      <c r="AL5" s="473" t="str">
        <f>CONCATENATE("Q1","-",RIGHT(AK5,4)+1)</f>
        <v>Q1-2020</v>
      </c>
      <c r="AM5" s="191" t="str">
        <f>CONCATENATE("Q2","-",RIGHT(AL5,4))</f>
        <v>Q2-2020</v>
      </c>
      <c r="AN5" s="473" t="str">
        <f>CONCATENATE("Q3","-",RIGHT(AM5,4))</f>
        <v>Q3-2020</v>
      </c>
      <c r="AO5" s="473" t="str">
        <f>CONCATENATE("Q4","-",RIGHT(AN5,4))</f>
        <v>Q4-2020</v>
      </c>
      <c r="AP5" s="1318" t="str">
        <f>CONCATENATE("FY",RIGHT(AK5,4)+1)</f>
        <v>FY2020</v>
      </c>
      <c r="AQ5" s="473" t="str">
        <f>CONCATENATE("Q1","-",RIGHT(AP5,4)+1)</f>
        <v>Q1-2021</v>
      </c>
      <c r="AR5" s="473" t="str">
        <f>CONCATENATE("Q2","-",RIGHT(AQ5,4))</f>
        <v>Q2-2021</v>
      </c>
      <c r="AS5" s="473" t="str">
        <f>CONCATENATE("Q3","-",RIGHT(AR5,4))</f>
        <v>Q3-2021</v>
      </c>
      <c r="AT5" s="473" t="str">
        <f>CONCATENATE("Q4","-",RIGHT(AS5,4))</f>
        <v>Q4-2021</v>
      </c>
      <c r="AU5" s="1318" t="str">
        <f>CONCATENATE("FY",RIGHT(AP5,4)+1)</f>
        <v>FY2021</v>
      </c>
      <c r="AV5" s="473" t="str">
        <f>CONCATENATE("Q1","-",RIGHT(AU5,4)+1)</f>
        <v>Q1-2022</v>
      </c>
      <c r="AW5" s="473" t="str">
        <f>CONCATENATE("Q2","-",RIGHT(AV5,4))</f>
        <v>Q2-2022</v>
      </c>
      <c r="AX5" s="473" t="str">
        <f>CONCATENATE("Q3","-",RIGHT(AW5,4))</f>
        <v>Q3-2022</v>
      </c>
      <c r="AY5" s="473" t="str">
        <f>CONCATENATE("Q4","-",RIGHT(AX5,4))</f>
        <v>Q4-2022</v>
      </c>
      <c r="AZ5" s="1318" t="str">
        <f>CONCATENATE("FY",RIGHT(AU5,4)+1)</f>
        <v>FY2022</v>
      </c>
      <c r="BA5" s="473" t="str">
        <f>CONCATENATE("Q1","-",RIGHT(AZ5,4)+1)</f>
        <v>Q1-2023</v>
      </c>
      <c r="BB5" s="473" t="str">
        <f>CONCATENATE("Q2","-",RIGHT(BA5,4))</f>
        <v>Q2-2023</v>
      </c>
      <c r="BC5" s="473" t="str">
        <f>CONCATENATE("Q3","-",RIGHT(BB5,4))</f>
        <v>Q3-2023</v>
      </c>
      <c r="BD5" s="473" t="str">
        <f>CONCATENATE("Q4","-",RIGHT(BC5,4))</f>
        <v>Q4-2023</v>
      </c>
      <c r="BE5" s="1318" t="str">
        <f>CONCATENATE("FY",RIGHT(AZ5,4)+1)</f>
        <v>FY2023</v>
      </c>
      <c r="BF5" s="473" t="str">
        <f>CONCATENATE("Q1","-",RIGHT(BE5,4)+1)</f>
        <v>Q1-2024</v>
      </c>
      <c r="BG5" s="473" t="str">
        <f>CONCATENATE("Q2","-",RIGHT(BF5,4))</f>
        <v>Q2-2024</v>
      </c>
      <c r="BH5" s="807" t="str">
        <f>CONCATENATE("Q3","-",RIGHT(BG5,4))</f>
        <v>Q3-2024</v>
      </c>
      <c r="BI5" s="61" t="str">
        <f>CONCATENATE("Q4","-",RIGHT(BH5,4))</f>
        <v>Q4-2024</v>
      </c>
      <c r="BJ5" s="1319" t="str">
        <f>CONCATENATE("FY",RIGHT(BE5,4)+1)</f>
        <v>FY2024</v>
      </c>
      <c r="BK5" s="61" t="str">
        <f>CONCATENATE("Q1","-",RIGHT(BJ5,4)+1)</f>
        <v>Q1-2025</v>
      </c>
      <c r="BL5" s="61" t="str">
        <f>CONCATENATE("Q2","-",RIGHT(BK5,4))</f>
        <v>Q2-2025</v>
      </c>
      <c r="BM5" s="61" t="str">
        <f>CONCATENATE("Q3","-",RIGHT(BL5,4))</f>
        <v>Q3-2025</v>
      </c>
      <c r="BN5" s="61" t="str">
        <f>CONCATENATE("Q4","-",RIGHT(BM5,4))</f>
        <v>Q4-2025</v>
      </c>
      <c r="BO5" s="1319" t="str">
        <f>CONCATENATE("FY",RIGHT(BJ5,4)+1)</f>
        <v>FY2025</v>
      </c>
      <c r="BP5" s="1318" t="str">
        <f>CONCATENATE("FY",RIGHT(BO5,4)+1)</f>
        <v>FY2026</v>
      </c>
      <c r="BQ5" s="1318" t="str">
        <f>CONCATENATE("FY",RIGHT(BP5,4)+1)</f>
        <v>FY2027</v>
      </c>
      <c r="BR5" s="1319" t="str">
        <f>CONCATENATE("FY",RIGHT(BQ5,4)+1)</f>
        <v>FY2028</v>
      </c>
      <c r="BS5" s="35"/>
    </row>
    <row r="6" spans="1:71" s="668" customFormat="1" ht="15">
      <c r="A6" s="331" t="s">
        <v>483</v>
      </c>
      <c r="B6" s="991"/>
      <c r="C6" s="989"/>
      <c r="D6" s="989"/>
      <c r="E6" s="989"/>
      <c r="F6" s="989"/>
      <c r="G6" s="989"/>
      <c r="H6" s="989"/>
      <c r="I6" s="989"/>
      <c r="J6" s="989"/>
      <c r="K6" s="989"/>
      <c r="L6" s="989"/>
      <c r="M6" s="989"/>
      <c r="N6" s="989"/>
      <c r="O6" s="989"/>
      <c r="P6" s="989"/>
      <c r="Q6" s="989"/>
      <c r="R6" s="989"/>
      <c r="S6" s="989"/>
      <c r="T6" s="989"/>
      <c r="U6" s="989"/>
      <c r="V6" s="989"/>
      <c r="W6" s="989"/>
      <c r="X6" s="989"/>
      <c r="Y6" s="989"/>
      <c r="Z6" s="989"/>
      <c r="AA6" s="989"/>
      <c r="AB6" s="989"/>
      <c r="AC6" s="989"/>
      <c r="AD6" s="989"/>
      <c r="AE6" s="989"/>
      <c r="AF6" s="989"/>
      <c r="AG6" s="989"/>
      <c r="AH6" s="989"/>
      <c r="AI6" s="989"/>
      <c r="AJ6" s="989"/>
      <c r="AK6" s="989"/>
      <c r="AL6" s="989"/>
      <c r="AM6" s="989"/>
      <c r="AN6" s="989"/>
      <c r="AO6" s="989"/>
      <c r="AP6" s="989"/>
      <c r="AQ6" s="989"/>
      <c r="AR6" s="989"/>
      <c r="AS6" s="989"/>
      <c r="AT6" s="989"/>
      <c r="AU6" s="989"/>
      <c r="AV6" s="989"/>
      <c r="AW6" s="989"/>
      <c r="AX6" s="989"/>
      <c r="AY6" s="989"/>
      <c r="AZ6" s="989"/>
      <c r="BA6" s="989"/>
      <c r="BB6" s="989"/>
      <c r="BC6" s="989"/>
      <c r="BD6" s="989"/>
      <c r="BE6" s="989"/>
      <c r="BF6" s="989"/>
      <c r="BG6" s="989"/>
      <c r="BH6" s="990"/>
      <c r="BI6" s="991"/>
      <c r="BJ6" s="991"/>
      <c r="BK6" s="991"/>
      <c r="BL6" s="991"/>
      <c r="BM6" s="991"/>
      <c r="BN6" s="991"/>
      <c r="BO6" s="991"/>
      <c r="BP6" s="989"/>
      <c r="BQ6" s="989"/>
      <c r="BR6" s="991"/>
      <c r="BS6" s="648"/>
    </row>
    <row r="7" spans="1:71" s="668" customFormat="1" ht="15">
      <c r="A7" s="25" t="s">
        <v>347</v>
      </c>
      <c r="B7" s="394"/>
      <c r="C7" s="1320">
        <f t="shared" si="1" ref="C7:AU7">C98+C133+C168</f>
        <v>11004.299999999999</v>
      </c>
      <c r="D7" s="1320">
        <f t="shared" si="1"/>
        <v>11453.399999999998</v>
      </c>
      <c r="E7" s="1320">
        <f t="shared" si="1"/>
        <v>12213.10</v>
      </c>
      <c r="F7" s="1320">
        <f t="shared" si="1"/>
        <v>12792.90</v>
      </c>
      <c r="G7" s="1320">
        <f t="shared" si="1"/>
        <v>13254.90</v>
      </c>
      <c r="H7" s="1021">
        <f t="shared" si="1"/>
        <v>13570.999999999998</v>
      </c>
      <c r="I7" s="1021">
        <f t="shared" si="1"/>
        <v>13788.20</v>
      </c>
      <c r="J7" s="1021">
        <f t="shared" si="1"/>
        <v>13877.399999999998</v>
      </c>
      <c r="K7" s="1021">
        <f t="shared" si="1"/>
        <v>13837.60</v>
      </c>
      <c r="L7" s="1320">
        <f t="shared" si="1"/>
        <v>13570.999999999998</v>
      </c>
      <c r="M7" s="1021">
        <f t="shared" si="1"/>
        <v>13776.60</v>
      </c>
      <c r="N7" s="1021">
        <f t="shared" si="1"/>
        <v>14014.900000000001</v>
      </c>
      <c r="O7" s="1021">
        <f t="shared" si="1"/>
        <v>15219.300000000001</v>
      </c>
      <c r="P7" s="1021">
        <f t="shared" si="1"/>
        <v>15340.40</v>
      </c>
      <c r="Q7" s="1320">
        <f t="shared" si="1"/>
        <v>13776.60</v>
      </c>
      <c r="R7" s="1021">
        <f t="shared" si="1"/>
        <v>15396.999999999998</v>
      </c>
      <c r="S7" s="1021">
        <f t="shared" si="1"/>
        <v>15839.40</v>
      </c>
      <c r="T7" s="1021">
        <f t="shared" si="1"/>
        <v>16256.60</v>
      </c>
      <c r="U7" s="1021">
        <f t="shared" si="1"/>
        <v>16392.600000000002</v>
      </c>
      <c r="V7" s="1320">
        <f t="shared" si="1"/>
        <v>15396.999999999998</v>
      </c>
      <c r="W7" s="1021">
        <f t="shared" si="1"/>
        <v>16466.600000000002</v>
      </c>
      <c r="X7" s="1021">
        <f t="shared" si="1"/>
        <v>16927.20</v>
      </c>
      <c r="Y7" s="1021">
        <f t="shared" si="1"/>
        <v>17336</v>
      </c>
      <c r="Z7" s="1021">
        <f t="shared" si="1"/>
        <v>17815.20</v>
      </c>
      <c r="AA7" s="1320">
        <f t="shared" si="1"/>
        <v>16466.600000000002</v>
      </c>
      <c r="AB7" s="1021">
        <f t="shared" si="1"/>
        <v>18184</v>
      </c>
      <c r="AC7" s="1021">
        <f t="shared" si="1"/>
        <v>18890.900000000001</v>
      </c>
      <c r="AD7" s="1021">
        <f t="shared" si="1"/>
        <v>19591.199999999997</v>
      </c>
      <c r="AE7" s="1021">
        <f t="shared" si="1"/>
        <v>20102.900000000001</v>
      </c>
      <c r="AF7" s="1320">
        <f t="shared" si="1"/>
        <v>18184</v>
      </c>
      <c r="AG7" s="1021">
        <f t="shared" si="1"/>
        <v>20392.40</v>
      </c>
      <c r="AH7" s="1021">
        <f t="shared" si="1"/>
        <v>21060.40</v>
      </c>
      <c r="AI7" s="1021">
        <f t="shared" si="1"/>
        <v>21628.099999999999</v>
      </c>
      <c r="AJ7" s="1021">
        <f t="shared" si="1"/>
        <v>22080.40</v>
      </c>
      <c r="AK7" s="1320">
        <f t="shared" si="1"/>
        <v>20392.40</v>
      </c>
      <c r="AL7" s="1021">
        <f t="shared" si="1"/>
        <v>22362.099999999999</v>
      </c>
      <c r="AM7" s="1021">
        <f t="shared" si="1"/>
        <v>22889.20</v>
      </c>
      <c r="AN7" s="1021">
        <f t="shared" si="1"/>
        <v>23772.499999999996</v>
      </c>
      <c r="AO7" s="1021">
        <f t="shared" si="1"/>
        <v>24432.100000000002</v>
      </c>
      <c r="AP7" s="1320">
        <f t="shared" si="1"/>
        <v>22362.099999999999</v>
      </c>
      <c r="AQ7" s="1021">
        <f t="shared" si="1"/>
        <v>24719.900000000001</v>
      </c>
      <c r="AR7" s="1021">
        <f t="shared" si="1"/>
        <v>25654.200000000001</v>
      </c>
      <c r="AS7" s="1021">
        <f t="shared" si="1"/>
        <v>26379.299999999999</v>
      </c>
      <c r="AT7" s="1021">
        <f t="shared" si="1"/>
        <v>26556.80</v>
      </c>
      <c r="AU7" s="1320">
        <f t="shared" si="1"/>
        <v>24719.900000000001</v>
      </c>
      <c r="AV7" s="1021">
        <f t="shared" si="2" ref="AV7:AW9">AV98+AV133+AV168</f>
        <v>26483.100000000002</v>
      </c>
      <c r="AW7" s="1021">
        <f t="shared" si="2"/>
        <v>26447.60</v>
      </c>
      <c r="AX7" s="1021">
        <f t="shared" si="3" ref="AX7:AZ9">AX98+AX133+AX168</f>
        <v>26509.099999999999</v>
      </c>
      <c r="AY7" s="1021">
        <f t="shared" si="3"/>
        <v>26857.399999999998</v>
      </c>
      <c r="AZ7" s="1320">
        <f t="shared" si="3"/>
        <v>26483.100000000002</v>
      </c>
      <c r="BA7" s="1021">
        <f t="shared" si="4" ref="BA7:BB9">BA98+BA133+BA168</f>
        <v>27353.100000000002</v>
      </c>
      <c r="BB7" s="1021">
        <f t="shared" si="4"/>
        <v>28789.50</v>
      </c>
      <c r="BC7" s="1021">
        <f t="shared" si="5" ref="BC7:BE9">BC98+BC133+BC168</f>
        <v>29576.80</v>
      </c>
      <c r="BD7" s="1021">
        <f t="shared" si="5"/>
        <v>29609.299999999999</v>
      </c>
      <c r="BE7" s="1320">
        <f t="shared" si="5"/>
        <v>27353.100000000002</v>
      </c>
      <c r="BF7" s="1021">
        <f t="shared" si="6" ref="BF7:BG9">BF98+BF133+BF168</f>
        <v>29689.50</v>
      </c>
      <c r="BG7" s="1021">
        <f t="shared" si="6"/>
        <v>30833.700000000001</v>
      </c>
      <c r="BH7" s="1022">
        <f>BH98+BH133+BH168</f>
        <v>32310.099999999995</v>
      </c>
      <c r="BI7" s="1023">
        <f>BH9</f>
        <v>33868.599999999999</v>
      </c>
      <c r="BJ7" s="1321">
        <f>BE9</f>
        <v>29689.50</v>
      </c>
      <c r="BK7" s="1023">
        <f>BJ9</f>
        <v>34545.972000000002</v>
      </c>
      <c r="BL7" s="1023">
        <f>BK9</f>
        <v>35236.891440000007</v>
      </c>
      <c r="BM7" s="1023">
        <f>BL9</f>
        <v>35941.629268800003</v>
      </c>
      <c r="BN7" s="1023">
        <f>BM9</f>
        <v>36660.461854175999</v>
      </c>
      <c r="BO7" s="1321">
        <f>BJ9</f>
        <v>34545.972000000002</v>
      </c>
      <c r="BP7" s="1322">
        <f>BO9</f>
        <v>37393.67109125953</v>
      </c>
      <c r="BQ7" s="1322">
        <f>BP9</f>
        <v>38141.544513084707</v>
      </c>
      <c r="BR7" s="1321">
        <f>BQ9</f>
        <v>38904.375403346407</v>
      </c>
      <c r="BS7" s="648"/>
    </row>
    <row r="8" spans="1:71" s="665" customFormat="1" ht="15">
      <c r="A8" s="1000" t="s">
        <v>348</v>
      </c>
      <c r="B8" s="260"/>
      <c r="C8" s="1323">
        <f t="shared" si="7" ref="C8:AU8">C99+C134+C169</f>
        <v>449.09999999999889</v>
      </c>
      <c r="D8" s="1323">
        <f t="shared" si="7"/>
        <v>759.70000000000221</v>
      </c>
      <c r="E8" s="1323">
        <f t="shared" si="7"/>
        <v>579.79999999999859</v>
      </c>
      <c r="F8" s="1323">
        <f t="shared" si="7"/>
        <v>462</v>
      </c>
      <c r="G8" s="1323">
        <f t="shared" si="7"/>
        <v>316.09999999999854</v>
      </c>
      <c r="H8" s="1027">
        <f t="shared" si="7"/>
        <v>217.20000000000323</v>
      </c>
      <c r="I8" s="1027">
        <f t="shared" si="7"/>
        <v>89.199999999996749</v>
      </c>
      <c r="J8" s="1027">
        <f t="shared" si="7"/>
        <v>-39.79999999999859</v>
      </c>
      <c r="K8" s="1027">
        <f t="shared" si="7"/>
        <v>-60.999999999999545</v>
      </c>
      <c r="L8" s="1323">
        <f t="shared" si="7"/>
        <v>205.60000000000184</v>
      </c>
      <c r="M8" s="1027">
        <f t="shared" si="7"/>
        <v>238.30000000000143</v>
      </c>
      <c r="N8" s="1027">
        <f t="shared" si="7"/>
        <v>1204.3999999999996</v>
      </c>
      <c r="O8" s="1027">
        <f t="shared" si="7"/>
        <v>121.10000000000002</v>
      </c>
      <c r="P8" s="1027">
        <f t="shared" si="7"/>
        <v>56.59999999999809</v>
      </c>
      <c r="Q8" s="1323">
        <f t="shared" si="7"/>
        <v>1620.3999999999992</v>
      </c>
      <c r="R8" s="1027">
        <f t="shared" si="7"/>
        <v>442.40000000000043</v>
      </c>
      <c r="S8" s="1027">
        <f t="shared" si="7"/>
        <v>417.19999999999993</v>
      </c>
      <c r="T8" s="1027">
        <f t="shared" si="7"/>
        <v>136.00000000000159</v>
      </c>
      <c r="U8" s="1027">
        <f t="shared" si="7"/>
        <v>74.000000000000341</v>
      </c>
      <c r="V8" s="1323">
        <f t="shared" si="7"/>
        <v>1069.6000000000022</v>
      </c>
      <c r="W8" s="1027">
        <f t="shared" si="7"/>
        <v>460.59999999999843</v>
      </c>
      <c r="X8" s="1027">
        <f t="shared" si="7"/>
        <v>408.80000000000109</v>
      </c>
      <c r="Y8" s="1027">
        <f t="shared" si="7"/>
        <v>479.20000000000107</v>
      </c>
      <c r="Z8" s="1027">
        <f t="shared" si="7"/>
        <v>368.79999999999825</v>
      </c>
      <c r="AA8" s="1323">
        <f t="shared" si="7"/>
        <v>1717.399999999999</v>
      </c>
      <c r="AB8" s="1027">
        <f t="shared" si="7"/>
        <v>706.90000000000146</v>
      </c>
      <c r="AC8" s="1027">
        <f t="shared" si="7"/>
        <v>700.29999999999552</v>
      </c>
      <c r="AD8" s="1027">
        <f t="shared" si="7"/>
        <v>511.700000000003</v>
      </c>
      <c r="AE8" s="1027">
        <f t="shared" si="7"/>
        <v>289.50</v>
      </c>
      <c r="AF8" s="1323">
        <f t="shared" si="7"/>
        <v>2208.3999999999996</v>
      </c>
      <c r="AG8" s="1027">
        <f t="shared" si="7"/>
        <v>668</v>
      </c>
      <c r="AH8" s="1027">
        <f t="shared" si="7"/>
        <v>567.69999999999925</v>
      </c>
      <c r="AI8" s="1027">
        <f t="shared" si="7"/>
        <v>452.30000000000246</v>
      </c>
      <c r="AJ8" s="1027">
        <f t="shared" si="7"/>
        <v>281.69999999999675</v>
      </c>
      <c r="AK8" s="1323">
        <f t="shared" si="7"/>
        <v>1969.6999999999985</v>
      </c>
      <c r="AL8" s="1027">
        <f t="shared" si="7"/>
        <v>527.10000000000298</v>
      </c>
      <c r="AM8" s="1027">
        <f t="shared" si="7"/>
        <v>883.299999999997</v>
      </c>
      <c r="AN8" s="1027">
        <f t="shared" si="7"/>
        <v>659.6000000000023</v>
      </c>
      <c r="AO8" s="1027">
        <f t="shared" si="7"/>
        <v>287.79999999999939</v>
      </c>
      <c r="AP8" s="1323">
        <f t="shared" si="7"/>
        <v>2357.8000000000015</v>
      </c>
      <c r="AQ8" s="1027">
        <f t="shared" si="7"/>
        <v>934.30</v>
      </c>
      <c r="AR8" s="1027">
        <f t="shared" si="7"/>
        <v>725.10000000000059</v>
      </c>
      <c r="AS8" s="1027">
        <f t="shared" si="7"/>
        <v>177.49999999999784</v>
      </c>
      <c r="AT8" s="1027">
        <f t="shared" si="7"/>
        <v>-73.699999999997999</v>
      </c>
      <c r="AU8" s="1323">
        <f t="shared" si="7"/>
        <v>1763.2000000000005</v>
      </c>
      <c r="AV8" s="1027">
        <f t="shared" si="2"/>
        <v>-35.500000000002274</v>
      </c>
      <c r="AW8" s="1027">
        <f t="shared" si="2"/>
        <v>61.500000000001592</v>
      </c>
      <c r="AX8" s="1027">
        <f t="shared" si="3"/>
        <v>348.29999999999859</v>
      </c>
      <c r="AY8" s="1027">
        <f t="shared" si="3"/>
        <v>495.70000000000323</v>
      </c>
      <c r="AZ8" s="1323">
        <f t="shared" si="3"/>
        <v>870.00000000000114</v>
      </c>
      <c r="BA8" s="1027">
        <f t="shared" si="4"/>
        <v>1436.399999999999</v>
      </c>
      <c r="BB8" s="1027">
        <f t="shared" si="4"/>
        <v>787.30000000000086</v>
      </c>
      <c r="BC8" s="1027">
        <f t="shared" si="5"/>
        <v>32.499999999997499</v>
      </c>
      <c r="BD8" s="1027">
        <f t="shared" si="5"/>
        <v>80.200000000000955</v>
      </c>
      <c r="BE8" s="1323">
        <f t="shared" si="5"/>
        <v>2336.3999999999983</v>
      </c>
      <c r="BF8" s="1027">
        <f t="shared" si="6"/>
        <v>1144.20</v>
      </c>
      <c r="BG8" s="1027">
        <f t="shared" si="6"/>
        <v>1476.3999999999976</v>
      </c>
      <c r="BH8" s="1028">
        <f>BH99+BH134+BH169</f>
        <v>1558.5000000000023</v>
      </c>
      <c r="BI8" s="1029">
        <f>BI9-BI7</f>
        <v>677.37200000000303</v>
      </c>
      <c r="BJ8" s="1324">
        <f>SUM(BF8,BG8,BH8,BI8)</f>
        <v>4856.4720000000034</v>
      </c>
      <c r="BK8" s="1029">
        <f>BK9-BK7</f>
        <v>690.91944000000512</v>
      </c>
      <c r="BL8" s="1029">
        <f>BL9-BL7</f>
        <v>704.73782879999635</v>
      </c>
      <c r="BM8" s="1029">
        <f>BM9-BM7</f>
        <v>718.83258537599613</v>
      </c>
      <c r="BN8" s="1029">
        <f>BN9-BN7</f>
        <v>733.20923708353075</v>
      </c>
      <c r="BO8" s="1324">
        <f>SUM(BK8,BL8,BM8,BN8)</f>
        <v>2847.6990912595284</v>
      </c>
      <c r="BP8" s="1324">
        <f>BP9-BP7</f>
        <v>747.8734218251775</v>
      </c>
      <c r="BQ8" s="1324">
        <f>BQ9-BQ7</f>
        <v>762.8308902616991</v>
      </c>
      <c r="BR8" s="1324">
        <f>BR9-BR7</f>
        <v>778.0875080669357</v>
      </c>
      <c r="BS8" s="648"/>
    </row>
    <row r="9" spans="1:71" s="668" customFormat="1" ht="15">
      <c r="A9" s="25" t="s">
        <v>349</v>
      </c>
      <c r="B9" s="394"/>
      <c r="C9" s="1320">
        <f t="shared" si="8" ref="C9:AU9">C100+C135+C170</f>
        <v>11453.399999999998</v>
      </c>
      <c r="D9" s="1320">
        <f t="shared" si="8"/>
        <v>12213.10</v>
      </c>
      <c r="E9" s="1320">
        <f t="shared" si="8"/>
        <v>12792.90</v>
      </c>
      <c r="F9" s="1320">
        <f t="shared" si="8"/>
        <v>13254.90</v>
      </c>
      <c r="G9" s="1320">
        <f t="shared" si="8"/>
        <v>13570.999999999998</v>
      </c>
      <c r="H9" s="1021">
        <f t="shared" si="8"/>
        <v>13788.20</v>
      </c>
      <c r="I9" s="1021">
        <f t="shared" si="8"/>
        <v>13877.399999999998</v>
      </c>
      <c r="J9" s="1021">
        <f t="shared" si="8"/>
        <v>13837.60</v>
      </c>
      <c r="K9" s="1021">
        <f t="shared" si="8"/>
        <v>13776.60</v>
      </c>
      <c r="L9" s="1320">
        <f t="shared" si="8"/>
        <v>13776.60</v>
      </c>
      <c r="M9" s="1021">
        <f t="shared" si="8"/>
        <v>14014.900000000001</v>
      </c>
      <c r="N9" s="1021">
        <f t="shared" si="8"/>
        <v>15219.300000000001</v>
      </c>
      <c r="O9" s="1021">
        <f t="shared" si="8"/>
        <v>15340.40</v>
      </c>
      <c r="P9" s="1021">
        <f t="shared" si="8"/>
        <v>15396.999999999998</v>
      </c>
      <c r="Q9" s="1320">
        <f t="shared" si="8"/>
        <v>15396.999999999998</v>
      </c>
      <c r="R9" s="1021">
        <f t="shared" si="8"/>
        <v>15839.40</v>
      </c>
      <c r="S9" s="1021">
        <f t="shared" si="8"/>
        <v>16256.60</v>
      </c>
      <c r="T9" s="1021">
        <f t="shared" si="8"/>
        <v>16392.600000000002</v>
      </c>
      <c r="U9" s="1021">
        <f t="shared" si="8"/>
        <v>16466.600000000002</v>
      </c>
      <c r="V9" s="1320">
        <f t="shared" si="8"/>
        <v>16466.600000000002</v>
      </c>
      <c r="W9" s="1021">
        <f t="shared" si="8"/>
        <v>16927.20</v>
      </c>
      <c r="X9" s="1021">
        <f t="shared" si="8"/>
        <v>17336</v>
      </c>
      <c r="Y9" s="1021">
        <f t="shared" si="8"/>
        <v>17815.20</v>
      </c>
      <c r="Z9" s="1021">
        <f t="shared" si="8"/>
        <v>18184</v>
      </c>
      <c r="AA9" s="1320">
        <f t="shared" si="8"/>
        <v>18184</v>
      </c>
      <c r="AB9" s="1021">
        <f t="shared" si="8"/>
        <v>18890.900000000001</v>
      </c>
      <c r="AC9" s="1021">
        <f t="shared" si="8"/>
        <v>19591.199999999997</v>
      </c>
      <c r="AD9" s="1021">
        <f t="shared" si="8"/>
        <v>20102.900000000001</v>
      </c>
      <c r="AE9" s="1021">
        <f t="shared" si="8"/>
        <v>20392.40</v>
      </c>
      <c r="AF9" s="1320">
        <f t="shared" si="8"/>
        <v>20392.40</v>
      </c>
      <c r="AG9" s="1021">
        <f t="shared" si="8"/>
        <v>21060.40</v>
      </c>
      <c r="AH9" s="1021">
        <f t="shared" si="8"/>
        <v>21628.099999999999</v>
      </c>
      <c r="AI9" s="1021">
        <f t="shared" si="8"/>
        <v>22080.40</v>
      </c>
      <c r="AJ9" s="1021">
        <f t="shared" si="8"/>
        <v>22362.099999999999</v>
      </c>
      <c r="AK9" s="1320">
        <f t="shared" si="8"/>
        <v>22362.099999999999</v>
      </c>
      <c r="AL9" s="1021">
        <f t="shared" si="8"/>
        <v>22889.20</v>
      </c>
      <c r="AM9" s="1021">
        <f t="shared" si="8"/>
        <v>23772.499999999996</v>
      </c>
      <c r="AN9" s="1021">
        <f t="shared" si="8"/>
        <v>24432.100000000002</v>
      </c>
      <c r="AO9" s="1021">
        <f t="shared" si="8"/>
        <v>24719.900000000001</v>
      </c>
      <c r="AP9" s="1320">
        <f t="shared" si="8"/>
        <v>24719.900000000001</v>
      </c>
      <c r="AQ9" s="1021">
        <f t="shared" si="8"/>
        <v>25654.200000000001</v>
      </c>
      <c r="AR9" s="1021">
        <f t="shared" si="8"/>
        <v>26379.299999999999</v>
      </c>
      <c r="AS9" s="1021">
        <f t="shared" si="8"/>
        <v>26556.80</v>
      </c>
      <c r="AT9" s="1021">
        <f t="shared" si="8"/>
        <v>26483.100000000002</v>
      </c>
      <c r="AU9" s="1320">
        <f t="shared" si="8"/>
        <v>26483.100000000002</v>
      </c>
      <c r="AV9" s="1021">
        <f t="shared" si="2"/>
        <v>26447.60</v>
      </c>
      <c r="AW9" s="1021">
        <f t="shared" si="2"/>
        <v>26509.099999999999</v>
      </c>
      <c r="AX9" s="1021">
        <f t="shared" si="3"/>
        <v>26857.399999999998</v>
      </c>
      <c r="AY9" s="1021">
        <f t="shared" si="3"/>
        <v>27353.100000000002</v>
      </c>
      <c r="AZ9" s="1320">
        <f t="shared" si="3"/>
        <v>27353.100000000002</v>
      </c>
      <c r="BA9" s="1021">
        <f t="shared" si="4"/>
        <v>28789.50</v>
      </c>
      <c r="BB9" s="1021">
        <f t="shared" si="4"/>
        <v>29576.80</v>
      </c>
      <c r="BC9" s="1021">
        <f t="shared" si="5"/>
        <v>29609.299999999999</v>
      </c>
      <c r="BD9" s="1021">
        <f t="shared" si="5"/>
        <v>29689.50</v>
      </c>
      <c r="BE9" s="1320">
        <f t="shared" si="5"/>
        <v>29689.50</v>
      </c>
      <c r="BF9" s="1021">
        <f t="shared" si="6"/>
        <v>30833.700000000001</v>
      </c>
      <c r="BG9" s="1021">
        <f t="shared" si="6"/>
        <v>32310.099999999995</v>
      </c>
      <c r="BH9" s="1022">
        <f>BH100+BH135+BH170</f>
        <v>33868.599999999999</v>
      </c>
      <c r="BI9" s="1023">
        <f>BI170+BI135+BI100</f>
        <v>34545.972000000002</v>
      </c>
      <c r="BJ9" s="1321">
        <f>BJ7+BJ8</f>
        <v>34545.972000000002</v>
      </c>
      <c r="BK9" s="1023">
        <f>BK170+BK135+BK100</f>
        <v>35236.891440000007</v>
      </c>
      <c r="BL9" s="1023">
        <f>BL170+BL135+BL100</f>
        <v>35941.629268800003</v>
      </c>
      <c r="BM9" s="1023">
        <f>BM170+BM135+BM100</f>
        <v>36660.461854175999</v>
      </c>
      <c r="BN9" s="1023">
        <f>BN170+BN135+BN100</f>
        <v>37393.67109125953</v>
      </c>
      <c r="BO9" s="1321">
        <f>BO7+BO8</f>
        <v>37393.67109125953</v>
      </c>
      <c r="BP9" s="1322">
        <f>BP170+BP135+BP100</f>
        <v>38141.544513084707</v>
      </c>
      <c r="BQ9" s="1322">
        <f>BQ170+BQ135+BQ100</f>
        <v>38904.375403346407</v>
      </c>
      <c r="BR9" s="1321">
        <f>BR170+BR135+BR100</f>
        <v>39682.462911413342</v>
      </c>
      <c r="BS9" s="648"/>
    </row>
    <row r="10" spans="1:71" s="669" customFormat="1" ht="15">
      <c r="A10" s="107" t="s">
        <v>563</v>
      </c>
      <c r="B10" s="108"/>
      <c r="C10" s="1325"/>
      <c r="D10" s="1325"/>
      <c r="E10" s="1325"/>
      <c r="F10" s="1325"/>
      <c r="G10" s="1325"/>
      <c r="H10" s="726">
        <f>H9/G9-1</f>
        <v>0.016004715938398251</v>
      </c>
      <c r="I10" s="726">
        <f>I9/H9-1</f>
        <v>0.0064692998360915688</v>
      </c>
      <c r="J10" s="726">
        <f>J9/I9-1</f>
        <v>-0.0028679723867582885</v>
      </c>
      <c r="K10" s="726">
        <f>K9/J9-1</f>
        <v>-0.004408278892293338</v>
      </c>
      <c r="L10" s="1325"/>
      <c r="M10" s="726">
        <f>M9/K9-1</f>
        <v>0.017297446394611171</v>
      </c>
      <c r="N10" s="726">
        <f>N9/M9-1</f>
        <v>0.085937109790294564</v>
      </c>
      <c r="O10" s="726">
        <f>O9/N9-1</f>
        <v>0.0079570019646106882</v>
      </c>
      <c r="P10" s="726">
        <f>P9/O9-1</f>
        <v>0.0036896039216707255</v>
      </c>
      <c r="Q10" s="1325"/>
      <c r="R10" s="726">
        <f>R9/P9-1</f>
        <v>0.028732870039618108</v>
      </c>
      <c r="S10" s="726">
        <f>S9/R9-1</f>
        <v>0.026339381542230145</v>
      </c>
      <c r="T10" s="726">
        <f>T9/S9-1</f>
        <v>0.0083658329540003962</v>
      </c>
      <c r="U10" s="726">
        <f>U9/T9-1</f>
        <v>0.004514232031526344</v>
      </c>
      <c r="V10" s="1325"/>
      <c r="W10" s="726">
        <f>W9/U9-1</f>
        <v>0.027971773165073488</v>
      </c>
      <c r="X10" s="726">
        <f>X9/W9-1</f>
        <v>0.024150479701309013</v>
      </c>
      <c r="Y10" s="726">
        <f>Y9/X9-1</f>
        <v>0.027641901245962108</v>
      </c>
      <c r="Z10" s="726">
        <f>Z9/Y9-1</f>
        <v>0.020701423503524996</v>
      </c>
      <c r="AA10" s="1325"/>
      <c r="AB10" s="726">
        <f>AB9/Z9-1</f>
        <v>0.038874835019797604</v>
      </c>
      <c r="AC10" s="726">
        <f>AC9/AB9-1</f>
        <v>0.037070758936842418</v>
      </c>
      <c r="AD10" s="726">
        <f>AD9/AC9-1</f>
        <v>0.026118869696598601</v>
      </c>
      <c r="AE10" s="726">
        <f>AE9/AD9-1</f>
        <v>0.014400907331777901</v>
      </c>
      <c r="AF10" s="1325"/>
      <c r="AG10" s="726">
        <f>AG9/AE9-1</f>
        <v>0.032757301739863687</v>
      </c>
      <c r="AH10" s="726">
        <f>AH9/AG9-1</f>
        <v>0.026955803308579274</v>
      </c>
      <c r="AI10" s="726">
        <f>AI9/AH9-1</f>
        <v>0.020912609059510645</v>
      </c>
      <c r="AJ10" s="726">
        <f>AJ9/AI9-1</f>
        <v>0.012757921052154675</v>
      </c>
      <c r="AK10" s="1325"/>
      <c r="AL10" s="726">
        <f>AL9/AJ9-1</f>
        <v>0.023571131512693411</v>
      </c>
      <c r="AM10" s="726">
        <f>AM9/AL9-1</f>
        <v>0.038590252171329498</v>
      </c>
      <c r="AN10" s="726">
        <f>AN9/AM9-1</f>
        <v>0.027746345567357444</v>
      </c>
      <c r="AO10" s="726">
        <f>AO9/AN9-1</f>
        <v>0.011779585054088715</v>
      </c>
      <c r="AP10" s="1325"/>
      <c r="AQ10" s="726">
        <f>AQ9/AO9-1</f>
        <v>0.037795460337622711</v>
      </c>
      <c r="AR10" s="726">
        <f>AR9/AQ9-1</f>
        <v>0.028264377762705406</v>
      </c>
      <c r="AS10" s="726">
        <f>AS9/AR9-1</f>
        <v>0.006728760808664358</v>
      </c>
      <c r="AT10" s="726">
        <f>AT9/AS9-1</f>
        <v>-0.0027751837570790805</v>
      </c>
      <c r="AU10" s="1325"/>
      <c r="AV10" s="726">
        <f>AV9/AT9-1</f>
        <v>-0.0013404775120738899</v>
      </c>
      <c r="AW10" s="726">
        <f>AW9/AV9-1</f>
        <v>0.0023253527730304757</v>
      </c>
      <c r="AX10" s="726">
        <f>AX9/AW9-1</f>
        <v>0.013138884383098626</v>
      </c>
      <c r="AY10" s="726">
        <f>AY9/AX9-1</f>
        <v>0.018456738180166576</v>
      </c>
      <c r="AZ10" s="1325"/>
      <c r="BA10" s="726">
        <f>BA9/AY9-1</f>
        <v>0.052513243471489446</v>
      </c>
      <c r="BB10" s="726">
        <f>BB9/BA9-1</f>
        <v>0.027346775734208517</v>
      </c>
      <c r="BC10" s="726">
        <f>BC9/BB9-1</f>
        <v>0.0010988342214168778</v>
      </c>
      <c r="BD10" s="726">
        <f>BD9/BC9-1</f>
        <v>0.0027086084439686964</v>
      </c>
      <c r="BE10" s="1325"/>
      <c r="BF10" s="726">
        <f>BF9/BD9-1</f>
        <v>0.038538877380892345</v>
      </c>
      <c r="BG10" s="726">
        <f>BG9/BF9-1</f>
        <v>0.047882673827662314</v>
      </c>
      <c r="BH10" s="808">
        <f>BH9/BG9-1</f>
        <v>0.048235691006836889</v>
      </c>
      <c r="BI10" s="726">
        <f>BI9/BH9-1</f>
        <v>0.020000000000000018</v>
      </c>
      <c r="BJ10" s="1326"/>
      <c r="BK10" s="726">
        <f>BK9/BI9-1</f>
        <v>0.02000000000000024</v>
      </c>
      <c r="BL10" s="726">
        <f>BL9/BK9-1</f>
        <v>0.019999999999999796</v>
      </c>
      <c r="BM10" s="726">
        <f>BM9/BL9-1</f>
        <v>0.019999999999999796</v>
      </c>
      <c r="BN10" s="726">
        <f>BN9/BM9-1</f>
        <v>0.02000000000000024</v>
      </c>
      <c r="BO10" s="1326"/>
      <c r="BP10" s="1325"/>
      <c r="BQ10" s="1325"/>
      <c r="BR10" s="1326"/>
      <c r="BS10" s="648"/>
    </row>
    <row r="11" spans="1:71" s="669" customFormat="1" ht="15">
      <c r="A11" s="107" t="s">
        <v>564</v>
      </c>
      <c r="B11" s="108"/>
      <c r="C11" s="1325"/>
      <c r="D11" s="1325">
        <f>D9/C9-1</f>
        <v>0.066329648837899935</v>
      </c>
      <c r="E11" s="1325">
        <f>E9/D9-1</f>
        <v>0.047473614397654851</v>
      </c>
      <c r="F11" s="1325">
        <f>F9/E9-1</f>
        <v>0.036113781863377437</v>
      </c>
      <c r="G11" s="1325">
        <f>G9/F9-1</f>
        <v>0.023847784592867516</v>
      </c>
      <c r="H11" s="726"/>
      <c r="I11" s="726"/>
      <c r="J11" s="726"/>
      <c r="K11" s="726"/>
      <c r="L11" s="1325">
        <f t="shared" si="9" ref="L11:AU11">L9/G9-1</f>
        <v>0.015149952103750808</v>
      </c>
      <c r="M11" s="726">
        <f t="shared" si="9"/>
        <v>0.016441594987018027</v>
      </c>
      <c r="N11" s="726">
        <f t="shared" si="9"/>
        <v>0.096696787582688737</v>
      </c>
      <c r="O11" s="726">
        <f t="shared" si="9"/>
        <v>0.10860264785801022</v>
      </c>
      <c r="P11" s="726">
        <f t="shared" si="9"/>
        <v>0.11761973200934905</v>
      </c>
      <c r="Q11" s="1325">
        <f t="shared" si="9"/>
        <v>0.11761973200934905</v>
      </c>
      <c r="R11" s="726">
        <f t="shared" si="9"/>
        <v>0.13018287679541052</v>
      </c>
      <c r="S11" s="726">
        <f t="shared" si="9"/>
        <v>0.068156879751368082</v>
      </c>
      <c r="T11" s="726">
        <f t="shared" si="9"/>
        <v>0.068590128027952391</v>
      </c>
      <c r="U11" s="726">
        <f t="shared" si="9"/>
        <v>0.069468078197051586</v>
      </c>
      <c r="V11" s="1325">
        <f t="shared" si="9"/>
        <v>0.069468078197051586</v>
      </c>
      <c r="W11" s="726">
        <f t="shared" si="9"/>
        <v>0.068676843819841737</v>
      </c>
      <c r="X11" s="726">
        <f t="shared" si="9"/>
        <v>0.066397647724616649</v>
      </c>
      <c r="Y11" s="726">
        <f t="shared" si="9"/>
        <v>0.086783060649317179</v>
      </c>
      <c r="Z11" s="726">
        <f t="shared" si="9"/>
        <v>0.10429596880959013</v>
      </c>
      <c r="AA11" s="1325">
        <f t="shared" si="9"/>
        <v>0.10429596880959013</v>
      </c>
      <c r="AB11" s="726">
        <f t="shared" si="9"/>
        <v>0.11600855427950285</v>
      </c>
      <c r="AC11" s="726">
        <f t="shared" si="9"/>
        <v>0.13008767881864314</v>
      </c>
      <c r="AD11" s="726">
        <f t="shared" si="9"/>
        <v>0.12841281602227306</v>
      </c>
      <c r="AE11" s="726">
        <f t="shared" si="9"/>
        <v>0.12144742630884298</v>
      </c>
      <c r="AF11" s="1325">
        <f t="shared" si="9"/>
        <v>0.12144742630884298</v>
      </c>
      <c r="AG11" s="726">
        <f t="shared" si="9"/>
        <v>0.11484365488145065</v>
      </c>
      <c r="AH11" s="726">
        <f t="shared" si="9"/>
        <v>0.10397014986320396</v>
      </c>
      <c r="AI11" s="726">
        <f t="shared" si="9"/>
        <v>0.098368892050400669</v>
      </c>
      <c r="AJ11" s="726">
        <f t="shared" si="9"/>
        <v>0.096589906043427876</v>
      </c>
      <c r="AK11" s="1325">
        <f t="shared" si="9"/>
        <v>0.096589906043427876</v>
      </c>
      <c r="AL11" s="726">
        <f t="shared" si="9"/>
        <v>0.08683595753167106</v>
      </c>
      <c r="AM11" s="726">
        <f t="shared" si="9"/>
        <v>0.099148792543034103</v>
      </c>
      <c r="AN11" s="726">
        <f t="shared" si="9"/>
        <v>0.10650622271335664</v>
      </c>
      <c r="AO11" s="726">
        <f t="shared" si="9"/>
        <v>0.10543732475930279</v>
      </c>
      <c r="AP11" s="1325">
        <f t="shared" si="9"/>
        <v>0.10543732475930279</v>
      </c>
      <c r="AQ11" s="726">
        <f t="shared" si="9"/>
        <v>0.12079932894115997</v>
      </c>
      <c r="AR11" s="726">
        <f t="shared" si="9"/>
        <v>0.10965611525922814</v>
      </c>
      <c r="AS11" s="726">
        <f t="shared" si="9"/>
        <v>0.086963462002856762</v>
      </c>
      <c r="AT11" s="726">
        <f t="shared" si="9"/>
        <v>0.071327149381672283</v>
      </c>
      <c r="AU11" s="1325">
        <f t="shared" si="9"/>
        <v>0.071327149381672283</v>
      </c>
      <c r="AV11" s="726">
        <f t="shared" si="10" ref="AV11:AZ11">AV9/AQ9-1</f>
        <v>0.030926709856475609</v>
      </c>
      <c r="AW11" s="726">
        <f t="shared" si="10"/>
        <v>0.0049205248054344786</v>
      </c>
      <c r="AX11" s="726">
        <f t="shared" si="10"/>
        <v>0.011319134835522382</v>
      </c>
      <c r="AY11" s="726">
        <f t="shared" si="10"/>
        <v>0.032851139028285958</v>
      </c>
      <c r="AZ11" s="1325">
        <f t="shared" si="10"/>
        <v>0.032851139028285958</v>
      </c>
      <c r="BA11" s="726">
        <f t="shared" si="11" ref="BA11:BO11">BA9/AV9-1</f>
        <v>0.088548677384715502</v>
      </c>
      <c r="BB11" s="726">
        <f t="shared" si="11"/>
        <v>0.11572252547238504</v>
      </c>
      <c r="BC11" s="726">
        <f t="shared" si="11"/>
        <v>0.10246338066975968</v>
      </c>
      <c r="BD11" s="726">
        <f t="shared" si="11"/>
        <v>0.085416278228061859</v>
      </c>
      <c r="BE11" s="1325">
        <f t="shared" si="11"/>
        <v>0.085416278228061859</v>
      </c>
      <c r="BF11" s="726">
        <f>BF9/BA9-1</f>
        <v>0.071005053925910611</v>
      </c>
      <c r="BG11" s="726">
        <f>BG9/BB9-1</f>
        <v>0.0924136485353384</v>
      </c>
      <c r="BH11" s="808">
        <f>BH9/BC9-1</f>
        <v>0.14385007413211381</v>
      </c>
      <c r="BI11" s="98">
        <f t="shared" si="11"/>
        <v>0.16357540544637006</v>
      </c>
      <c r="BJ11" s="1326">
        <f t="shared" si="11"/>
        <v>0.16357540544637006</v>
      </c>
      <c r="BK11" s="98">
        <f t="shared" si="11"/>
        <v>0.14280451064906274</v>
      </c>
      <c r="BL11" s="98">
        <f t="shared" si="11"/>
        <v>0.11239610118198362</v>
      </c>
      <c r="BM11" s="98">
        <f t="shared" si="11"/>
        <v>0.082432159999999977</v>
      </c>
      <c r="BN11" s="98">
        <f t="shared" si="11"/>
        <v>0.082432160000000199</v>
      </c>
      <c r="BO11" s="1326">
        <f t="shared" si="11"/>
        <v>0.082432160000000199</v>
      </c>
      <c r="BP11" s="1325">
        <f>BP9/BO9-1</f>
        <v>0.019999999999999574</v>
      </c>
      <c r="BQ11" s="1325">
        <f>BQ9/BP9-1</f>
        <v>0.02000000000000024</v>
      </c>
      <c r="BR11" s="1326">
        <f>BR9/BQ9-1</f>
        <v>0.02000000000000024</v>
      </c>
      <c r="BS11" s="648"/>
    </row>
    <row r="12" spans="1:71" s="668" customFormat="1" ht="15">
      <c r="A12" s="25" t="s">
        <v>350</v>
      </c>
      <c r="B12" s="394"/>
      <c r="C12" s="1320">
        <f>AVERAGE(C9,C7)</f>
        <v>11228.849999999999</v>
      </c>
      <c r="D12" s="1320">
        <f>AVERAGE(D9,D7)</f>
        <v>11833.25</v>
      </c>
      <c r="E12" s="1320">
        <f>AVERAGE(E9,E7)</f>
        <v>12503</v>
      </c>
      <c r="F12" s="1320">
        <f t="shared" si="12" ref="F12:K12">AVERAGE(F9,F7)</f>
        <v>13023.90</v>
      </c>
      <c r="G12" s="1320">
        <f t="shared" si="12"/>
        <v>13412.949999999999</v>
      </c>
      <c r="H12" s="1021">
        <f t="shared" si="12"/>
        <v>13679.60</v>
      </c>
      <c r="I12" s="1021">
        <f t="shared" si="12"/>
        <v>13832.80</v>
      </c>
      <c r="J12" s="1021">
        <f t="shared" si="12"/>
        <v>13857.499999999998</v>
      </c>
      <c r="K12" s="1021">
        <f t="shared" si="12"/>
        <v>13807.099999999999</v>
      </c>
      <c r="L12" s="1320">
        <f>SUM(H12*H$3,I12*I$3,J12*J$3,K12*K$3)/L$3</f>
        <v>13794.772602739726</v>
      </c>
      <c r="M12" s="1021">
        <f>AVERAGE(M9,M7)</f>
        <v>13895.75</v>
      </c>
      <c r="N12" s="1021">
        <f>AVERAGE(N9,N7)</f>
        <v>14617.100000000002</v>
      </c>
      <c r="O12" s="1021">
        <f>AVERAGE(O9,O7)</f>
        <v>15279.850000000002</v>
      </c>
      <c r="P12" s="1021">
        <f>AVERAGE(P9,P7)</f>
        <v>15368.700000000001</v>
      </c>
      <c r="Q12" s="1320">
        <f>SUM(M12*M$3,N12*N$3,O12*O$3,P12*P$3)/Q$3</f>
        <v>14795.726575342465</v>
      </c>
      <c r="R12" s="1021">
        <f>AVERAGE(R9,R7)</f>
        <v>15618.20</v>
      </c>
      <c r="S12" s="1021">
        <f>AVERAGE(S9,S7)</f>
        <v>16048</v>
      </c>
      <c r="T12" s="1021">
        <f>AVERAGE(T9,T7)</f>
        <v>16324.60</v>
      </c>
      <c r="U12" s="1021">
        <f>AVERAGE(U9,U7)</f>
        <v>16429.600000000002</v>
      </c>
      <c r="V12" s="1320">
        <f>SUM(R12*R$3,S12*S$3,T12*T$3,U12*U$3)/V$3</f>
        <v>16106.586338797815</v>
      </c>
      <c r="W12" s="1021">
        <f>AVERAGE(W9,W7)</f>
        <v>16696.900000000001</v>
      </c>
      <c r="X12" s="1021">
        <f>AVERAGE(X9,X7)</f>
        <v>17131.60</v>
      </c>
      <c r="Y12" s="1021">
        <f>AVERAGE(Y9,Y7)</f>
        <v>17575.60</v>
      </c>
      <c r="Z12" s="1021">
        <f>AVERAGE(Z9,Z7)</f>
        <v>17999.60</v>
      </c>
      <c r="AA12" s="1320">
        <f>SUM(W12*W$3,X12*X$3,Y12*Y$3,Z12*Z$3)/AA$3</f>
        <v>17355.109589041094</v>
      </c>
      <c r="AB12" s="1021">
        <f>AVERAGE(AB9,AB7)</f>
        <v>18537.450000000001</v>
      </c>
      <c r="AC12" s="1021">
        <f>AVERAGE(AC9,AC7)</f>
        <v>19241.049999999999</v>
      </c>
      <c r="AD12" s="1021">
        <f>AVERAGE(AD9,AD7)</f>
        <v>19847.049999999999</v>
      </c>
      <c r="AE12" s="1021">
        <f>AVERAGE(AE9,AE7)</f>
        <v>20247.650000000001</v>
      </c>
      <c r="AF12" s="1320">
        <f>SUM(AB12*AB$3,AC12*AC$3,AD12*AD$3,AE12*AE$3)/AF$3</f>
        <v>19474.02315068493</v>
      </c>
      <c r="AG12" s="1021">
        <f>AVERAGE(AG9,AG7)</f>
        <v>20726.40</v>
      </c>
      <c r="AH12" s="1021">
        <f>AVERAGE(AH9,AH7)</f>
        <v>21344.25</v>
      </c>
      <c r="AI12" s="1021">
        <f>AVERAGE(AI9,AI7)</f>
        <v>21854.25</v>
      </c>
      <c r="AJ12" s="1021">
        <f>AVERAGE(AJ9,AJ7)</f>
        <v>22221.25</v>
      </c>
      <c r="AK12" s="1320">
        <f>SUM(AG12*AG$3,AH12*AH$3,AI12*AI$3,AJ12*AJ$3)/AK$3</f>
        <v>21541.503424657534</v>
      </c>
      <c r="AL12" s="1021">
        <f>AVERAGE(AL9,AL7)</f>
        <v>22625.650000000001</v>
      </c>
      <c r="AM12" s="1021">
        <f>AVERAGE(AM9,AM7)</f>
        <v>23330.849999999999</v>
      </c>
      <c r="AN12" s="1021">
        <f>AVERAGE(AN9,AN7)</f>
        <v>24102.299999999999</v>
      </c>
      <c r="AO12" s="1021">
        <f>AVERAGE(AO9,AO7)</f>
        <v>24576</v>
      </c>
      <c r="AP12" s="1320">
        <f>SUM(AL12*AL$3,AM12*AM$3,AN12*AN$3,AO12*AO$3)/AP$3</f>
        <v>23662.418306010928</v>
      </c>
      <c r="AQ12" s="1021">
        <f>AVERAGE(AQ9,AQ7)</f>
        <v>25187.050000000003</v>
      </c>
      <c r="AR12" s="1021">
        <f>AVERAGE(AR9,AR7)</f>
        <v>26016.75</v>
      </c>
      <c r="AS12" s="1021">
        <f>AVERAGE(AS9,AS7)</f>
        <v>26468.049999999999</v>
      </c>
      <c r="AT12" s="1021">
        <f>AVERAGE(AT9,AT7)</f>
        <v>26519.950000000001</v>
      </c>
      <c r="AU12" s="1320">
        <f>SUM(AQ12*AQ$3,AR12*AR$3,AS12*AS$3,AT12*AT$3)/AU$3</f>
        <v>26052.752739726027</v>
      </c>
      <c r="AV12" s="1021">
        <f>AVERAGE(AV9,AV7)</f>
        <v>26465.349999999999</v>
      </c>
      <c r="AW12" s="1021">
        <f>AVERAGE(AW9,AW7)</f>
        <v>26478.349999999999</v>
      </c>
      <c r="AX12" s="1021">
        <f>AVERAGE(AX9,AX7)</f>
        <v>26683.25</v>
      </c>
      <c r="AY12" s="1021">
        <f>AVERAGE(AY9,AY7)</f>
        <v>27105.25</v>
      </c>
      <c r="AZ12" s="1320">
        <f>SUM(AV12*AV$3,AW12*AW$3,AX12*AX$3,AY12*AY$3)/AZ$3</f>
        <v>26684.803698630138</v>
      </c>
      <c r="BA12" s="1021">
        <f>AVERAGE(BA9,BA7)</f>
        <v>28071.300000000003</v>
      </c>
      <c r="BB12" s="1021">
        <f>AVERAGE(BB9,BB7)</f>
        <v>29183.150000000001</v>
      </c>
      <c r="BC12" s="1021">
        <f>AVERAGE(BC9,BC7)</f>
        <v>29593.049999999999</v>
      </c>
      <c r="BD12" s="1021">
        <f>AVERAGE(BD9,BD7)</f>
        <v>29649.400000000001</v>
      </c>
      <c r="BE12" s="1320">
        <f>SUM(BA12*BA$3,BB12*BB$3,BC12*BC$3,BD12*BD$3)/BE$3</f>
        <v>29129.833013698633</v>
      </c>
      <c r="BF12" s="1021">
        <f>AVERAGE(BF9,BF7)</f>
        <v>30261.60</v>
      </c>
      <c r="BG12" s="1021">
        <f>AVERAGE(BG9,BG7)</f>
        <v>31571.899999999998</v>
      </c>
      <c r="BH12" s="1022">
        <f>AVERAGE(BH9,BH7)</f>
        <v>33089.349999999999</v>
      </c>
      <c r="BI12" s="1023">
        <f>AVERAGE(BI9,BI7)</f>
        <v>34207.286</v>
      </c>
      <c r="BJ12" s="1321">
        <f>SUM(BF12*BF$3,BG12*BG$3,BH12*BH$3,BI12*BI$3)/BJ$3</f>
        <v>32289.997300546442</v>
      </c>
      <c r="BK12" s="1023">
        <f>AVERAGE(BK9,BK7)</f>
        <v>34891.431720000008</v>
      </c>
      <c r="BL12" s="1023">
        <f>AVERAGE(BL9,BL7)</f>
        <v>35589.260354400001</v>
      </c>
      <c r="BM12" s="1023">
        <f>AVERAGE(BM9,BM7)</f>
        <v>36301.045561488005</v>
      </c>
      <c r="BN12" s="1023">
        <f>AVERAGE(BN9,BN7)</f>
        <v>37027.066472717765</v>
      </c>
      <c r="BO12" s="1321">
        <f>SUM(BK12*BK$3,BL12*BL$3,BM12*BM$3,BN12*BN$3)/BO$3</f>
        <v>35959.007819718718</v>
      </c>
      <c r="BP12" s="1322">
        <f>AVERAGE(BP9,BP7)</f>
        <v>37767.607802172119</v>
      </c>
      <c r="BQ12" s="1322">
        <f>AVERAGE(BQ9,BQ7)</f>
        <v>38522.959958215557</v>
      </c>
      <c r="BR12" s="1321">
        <f>AVERAGE(BR9,BR7)</f>
        <v>39293.419157379874</v>
      </c>
      <c r="BS12" s="648"/>
    </row>
    <row r="13" spans="1:71" s="669" customFormat="1" ht="7.5" customHeight="1">
      <c r="A13" s="107"/>
      <c r="B13" s="108"/>
      <c r="C13" s="1325"/>
      <c r="D13" s="1325"/>
      <c r="E13" s="1325"/>
      <c r="F13" s="1325"/>
      <c r="G13" s="1325"/>
      <c r="H13" s="726"/>
      <c r="I13" s="726"/>
      <c r="J13" s="726"/>
      <c r="K13" s="726"/>
      <c r="L13" s="1325"/>
      <c r="M13" s="726"/>
      <c r="N13" s="726"/>
      <c r="O13" s="726"/>
      <c r="P13" s="726"/>
      <c r="Q13" s="1325"/>
      <c r="R13" s="726"/>
      <c r="S13" s="726"/>
      <c r="T13" s="726"/>
      <c r="U13" s="726"/>
      <c r="V13" s="1325"/>
      <c r="W13" s="726"/>
      <c r="X13" s="726"/>
      <c r="Y13" s="726"/>
      <c r="Z13" s="726"/>
      <c r="AA13" s="1325"/>
      <c r="AB13" s="726"/>
      <c r="AC13" s="726"/>
      <c r="AD13" s="726"/>
      <c r="AE13" s="726"/>
      <c r="AF13" s="1325"/>
      <c r="AG13" s="726"/>
      <c r="AH13" s="726"/>
      <c r="AI13" s="726"/>
      <c r="AJ13" s="726"/>
      <c r="AK13" s="1325"/>
      <c r="AL13" s="726"/>
      <c r="AM13" s="726"/>
      <c r="AN13" s="726"/>
      <c r="AO13" s="726"/>
      <c r="AP13" s="1325"/>
      <c r="AQ13" s="726"/>
      <c r="AR13" s="726"/>
      <c r="AS13" s="726"/>
      <c r="AT13" s="726"/>
      <c r="AU13" s="1325"/>
      <c r="AV13" s="726"/>
      <c r="AW13" s="726"/>
      <c r="AX13" s="726"/>
      <c r="AY13" s="726"/>
      <c r="AZ13" s="1325"/>
      <c r="BA13" s="726"/>
      <c r="BB13" s="726"/>
      <c r="BC13" s="726"/>
      <c r="BD13" s="726"/>
      <c r="BE13" s="1325"/>
      <c r="BF13" s="726"/>
      <c r="BG13" s="726"/>
      <c r="BH13" s="808"/>
      <c r="BI13" s="98"/>
      <c r="BJ13" s="1326"/>
      <c r="BK13" s="98"/>
      <c r="BL13" s="98"/>
      <c r="BM13" s="98"/>
      <c r="BN13" s="98"/>
      <c r="BO13" s="1326"/>
      <c r="BP13" s="1325"/>
      <c r="BQ13" s="1325"/>
      <c r="BR13" s="1326"/>
      <c r="BS13" s="648"/>
    </row>
    <row r="14" spans="1:71" s="668" customFormat="1" ht="15">
      <c r="A14" s="25" t="str">
        <f>A220</f>
        <v>Total Net Written Premiums, mm</v>
      </c>
      <c r="B14" s="394"/>
      <c r="C14" s="1322">
        <f t="shared" si="13" ref="C14:AH14">C220</f>
        <v>14002.899999999998</v>
      </c>
      <c r="D14" s="1320">
        <f t="shared" si="13"/>
        <v>14476.80</v>
      </c>
      <c r="E14" s="1320">
        <f t="shared" si="13"/>
        <v>15146.60</v>
      </c>
      <c r="F14" s="1320">
        <f t="shared" si="13"/>
        <v>16372.699999999999</v>
      </c>
      <c r="G14" s="1320">
        <f t="shared" si="13"/>
        <v>17339.700000000001</v>
      </c>
      <c r="H14" s="1031">
        <f t="shared" si="13"/>
        <v>4681</v>
      </c>
      <c r="I14" s="1031">
        <f t="shared" si="13"/>
        <v>4627.70</v>
      </c>
      <c r="J14" s="1031">
        <f t="shared" si="13"/>
        <v>4732.2999999999993</v>
      </c>
      <c r="K14" s="1031">
        <f t="shared" si="13"/>
        <v>4613.5999999999985</v>
      </c>
      <c r="L14" s="1320">
        <f t="shared" si="13"/>
        <v>18654.60</v>
      </c>
      <c r="M14" s="1021">
        <f t="shared" si="13"/>
        <v>5066.80</v>
      </c>
      <c r="N14" s="1021">
        <f t="shared" si="13"/>
        <v>5246.10</v>
      </c>
      <c r="O14" s="1021">
        <f t="shared" si="13"/>
        <v>5412.60</v>
      </c>
      <c r="P14" s="1021">
        <f t="shared" si="13"/>
        <v>4838.5000000000009</v>
      </c>
      <c r="Q14" s="1320">
        <f t="shared" si="13"/>
        <v>20563.999999999996</v>
      </c>
      <c r="R14" s="1021">
        <f t="shared" si="13"/>
        <v>5818.40</v>
      </c>
      <c r="S14" s="1021">
        <f t="shared" si="13"/>
        <v>5934.60</v>
      </c>
      <c r="T14" s="1021">
        <f t="shared" si="13"/>
        <v>6049</v>
      </c>
      <c r="U14" s="1021">
        <f t="shared" si="13"/>
        <v>5551.50</v>
      </c>
      <c r="V14" s="1320">
        <f t="shared" si="13"/>
        <v>23353.50</v>
      </c>
      <c r="W14" s="1021">
        <f t="shared" si="13"/>
        <v>6490.9999999999991</v>
      </c>
      <c r="X14" s="1021">
        <f t="shared" si="13"/>
        <v>6746.10</v>
      </c>
      <c r="Y14" s="1021">
        <f t="shared" si="13"/>
        <v>7142.40</v>
      </c>
      <c r="Z14" s="1021">
        <f t="shared" si="13"/>
        <v>6752.5999999999985</v>
      </c>
      <c r="AA14" s="1320">
        <f t="shared" si="13"/>
        <v>27132.100000000002</v>
      </c>
      <c r="AB14" s="1021">
        <f t="shared" si="13"/>
        <v>7968.80</v>
      </c>
      <c r="AC14" s="1021">
        <f t="shared" si="13"/>
        <v>8095.2999999999993</v>
      </c>
      <c r="AD14" s="1021">
        <f t="shared" si="13"/>
        <v>8604</v>
      </c>
      <c r="AE14" s="1021">
        <f t="shared" si="13"/>
        <v>7941.7999999999984</v>
      </c>
      <c r="AF14" s="1320">
        <f t="shared" si="13"/>
        <v>32609.900000000001</v>
      </c>
      <c r="AG14" s="1021">
        <f t="shared" si="13"/>
        <v>9239.9000000000015</v>
      </c>
      <c r="AH14" s="1021">
        <f t="shared" si="13"/>
        <v>9126.50</v>
      </c>
      <c r="AI14" s="1021">
        <f t="shared" si="14" ref="AI14:AU14">AI220</f>
        <v>9621.2000000000007</v>
      </c>
      <c r="AJ14" s="1021">
        <f t="shared" si="14"/>
        <v>9590.3000000000011</v>
      </c>
      <c r="AK14" s="1320">
        <f t="shared" si="14"/>
        <v>37577.900000000001</v>
      </c>
      <c r="AL14" s="1021">
        <f t="shared" si="14"/>
        <v>9871.2999999999993</v>
      </c>
      <c r="AM14" s="1021">
        <f t="shared" si="14"/>
        <v>10140</v>
      </c>
      <c r="AN14" s="1021">
        <f t="shared" si="14"/>
        <v>11015.10</v>
      </c>
      <c r="AO14" s="1021">
        <f t="shared" si="14"/>
        <v>9542.2999999999993</v>
      </c>
      <c r="AP14" s="1320">
        <f t="shared" si="14"/>
        <v>40568.700000000004</v>
      </c>
      <c r="AQ14" s="1021">
        <f t="shared" si="14"/>
        <v>11729.10</v>
      </c>
      <c r="AR14" s="1021">
        <f t="shared" si="14"/>
        <v>11480.299999999999</v>
      </c>
      <c r="AS14" s="1021">
        <f t="shared" si="14"/>
        <v>12446.499999999998</v>
      </c>
      <c r="AT14" s="1021">
        <f t="shared" si="14"/>
        <v>10749.300000000005</v>
      </c>
      <c r="AU14" s="1320">
        <f t="shared" si="14"/>
        <v>46405.200000000004</v>
      </c>
      <c r="AV14" s="1021">
        <f t="shared" si="15" ref="AV14:AZ14">AV220</f>
        <v>13180.999999999998</v>
      </c>
      <c r="AW14" s="1021">
        <f t="shared" si="15"/>
        <v>12422.10</v>
      </c>
      <c r="AX14" s="1021">
        <f t="shared" si="15"/>
        <v>13017.80</v>
      </c>
      <c r="AY14" s="1021">
        <f t="shared" si="15"/>
        <v>12460.20</v>
      </c>
      <c r="AZ14" s="1320">
        <f t="shared" si="15"/>
        <v>51081.099999999999</v>
      </c>
      <c r="BA14" s="1021">
        <f t="shared" si="16" ref="BA14:BR14">BA220</f>
        <v>16109.700000000001</v>
      </c>
      <c r="BB14" s="1021">
        <f t="shared" si="16"/>
        <v>14716.899999999998</v>
      </c>
      <c r="BC14" s="1021">
        <f t="shared" si="16"/>
        <v>15593.80</v>
      </c>
      <c r="BD14" s="1021">
        <f t="shared" si="16"/>
        <v>15129.80</v>
      </c>
      <c r="BE14" s="1320">
        <f t="shared" si="16"/>
        <v>61550.200000000004</v>
      </c>
      <c r="BF14" s="1021">
        <f>BF220</f>
        <v>18962.200000000004</v>
      </c>
      <c r="BG14" s="1021">
        <f>BG220</f>
        <v>17901.600000000002</v>
      </c>
      <c r="BH14" s="1022">
        <f>BH220</f>
        <v>19455.599999999991</v>
      </c>
      <c r="BI14" s="1023">
        <f t="shared" si="16"/>
        <v>17848.346752108842</v>
      </c>
      <c r="BJ14" s="1321">
        <f t="shared" si="16"/>
        <v>74167.74675210884</v>
      </c>
      <c r="BK14" s="1023">
        <f t="shared" si="16"/>
        <v>21848.561852307739</v>
      </c>
      <c r="BL14" s="1023">
        <f t="shared" si="16"/>
        <v>20616.951566197455</v>
      </c>
      <c r="BM14" s="1023">
        <f t="shared" si="16"/>
        <v>21927.918709207253</v>
      </c>
      <c r="BN14" s="1023">
        <f t="shared" si="16"/>
        <v>20101.790216726593</v>
      </c>
      <c r="BO14" s="1321">
        <f t="shared" si="16"/>
        <v>84495.222344439026</v>
      </c>
      <c r="BP14" s="1322">
        <f t="shared" si="16"/>
        <v>90519.907650244175</v>
      </c>
      <c r="BQ14" s="1322">
        <f t="shared" si="16"/>
        <v>94176.911919314036</v>
      </c>
      <c r="BR14" s="1321">
        <f t="shared" si="16"/>
        <v>97981.659160854309</v>
      </c>
      <c r="BS14" s="648"/>
    </row>
    <row r="15" spans="1:71" s="669" customFormat="1" ht="15">
      <c r="A15" s="107" t="s">
        <v>565</v>
      </c>
      <c r="B15" s="108"/>
      <c r="C15" s="1325"/>
      <c r="D15" s="1327">
        <f>D14/C14-1</f>
        <v>0.033842989666426293</v>
      </c>
      <c r="E15" s="1327">
        <f>E14/D14-1</f>
        <v>0.046267130857648109</v>
      </c>
      <c r="F15" s="1327">
        <f>F14/E14-1</f>
        <v>0.080948859810122231</v>
      </c>
      <c r="G15" s="1327">
        <f>G14/F14-1</f>
        <v>0.059061730807991486</v>
      </c>
      <c r="H15" s="726"/>
      <c r="I15" s="726"/>
      <c r="J15" s="726"/>
      <c r="K15" s="726"/>
      <c r="L15" s="1327">
        <f t="shared" si="17" ref="L15:AU15">L14/G14-1</f>
        <v>0.075831761795186692</v>
      </c>
      <c r="M15" s="725">
        <f t="shared" si="17"/>
        <v>0.082418286690878029</v>
      </c>
      <c r="N15" s="725">
        <f t="shared" si="17"/>
        <v>0.13363009702443995</v>
      </c>
      <c r="O15" s="725">
        <f t="shared" si="17"/>
        <v>0.14375673562538327</v>
      </c>
      <c r="P15" s="725">
        <f t="shared" si="17"/>
        <v>0.048747182243801479</v>
      </c>
      <c r="Q15" s="1327">
        <f t="shared" si="17"/>
        <v>0.10235545120238432</v>
      </c>
      <c r="R15" s="725">
        <f t="shared" si="17"/>
        <v>0.14833820162627287</v>
      </c>
      <c r="S15" s="725">
        <f t="shared" si="17"/>
        <v>0.13124034997426648</v>
      </c>
      <c r="T15" s="725">
        <f t="shared" si="17"/>
        <v>0.1175775043417211</v>
      </c>
      <c r="U15" s="725">
        <f t="shared" si="17"/>
        <v>0.14735971892115307</v>
      </c>
      <c r="V15" s="1327">
        <f t="shared" si="17"/>
        <v>0.13564967905076863</v>
      </c>
      <c r="W15" s="725">
        <f t="shared" si="17"/>
        <v>0.11559879004537321</v>
      </c>
      <c r="X15" s="725">
        <f t="shared" si="17"/>
        <v>0.13674047113537569</v>
      </c>
      <c r="Y15" s="725">
        <f t="shared" si="17"/>
        <v>0.18075714994213921</v>
      </c>
      <c r="Z15" s="725">
        <f t="shared" si="17"/>
        <v>0.21635593983608015</v>
      </c>
      <c r="AA15" s="1327">
        <f t="shared" si="17"/>
        <v>0.16180015843449591</v>
      </c>
      <c r="AB15" s="725">
        <f t="shared" si="17"/>
        <v>0.22766908026498256</v>
      </c>
      <c r="AC15" s="725">
        <f t="shared" si="17"/>
        <v>0.19999703532411295</v>
      </c>
      <c r="AD15" s="725">
        <f t="shared" si="17"/>
        <v>0.20463709677419351</v>
      </c>
      <c r="AE15" s="725">
        <f t="shared" si="17"/>
        <v>0.17610994283683312</v>
      </c>
      <c r="AF15" s="1327">
        <f t="shared" si="17"/>
        <v>0.2018936978707877</v>
      </c>
      <c r="AG15" s="725">
        <f t="shared" si="17"/>
        <v>0.15950958739082433</v>
      </c>
      <c r="AH15" s="725">
        <f t="shared" si="17"/>
        <v>0.1273825553098713</v>
      </c>
      <c r="AI15" s="725">
        <f t="shared" si="17"/>
        <v>0.11822408182240829</v>
      </c>
      <c r="AJ15" s="725">
        <f t="shared" si="17"/>
        <v>0.20757259059659061</v>
      </c>
      <c r="AK15" s="1327">
        <f t="shared" si="17"/>
        <v>0.15234637334061119</v>
      </c>
      <c r="AL15" s="725">
        <f t="shared" si="17"/>
        <v>0.068334072879576269</v>
      </c>
      <c r="AM15" s="725">
        <f t="shared" si="17"/>
        <v>0.1110502383169889</v>
      </c>
      <c r="AN15" s="725">
        <f t="shared" si="17"/>
        <v>0.144877977799027</v>
      </c>
      <c r="AO15" s="725">
        <f t="shared" si="17"/>
        <v>-0.0050050571932058752</v>
      </c>
      <c r="AP15" s="1327">
        <f t="shared" si="17"/>
        <v>0.079589333092056735</v>
      </c>
      <c r="AQ15" s="725">
        <f t="shared" si="17"/>
        <v>0.1882021618226577</v>
      </c>
      <c r="AR15" s="725">
        <f t="shared" si="17"/>
        <v>0.13217948717948702</v>
      </c>
      <c r="AS15" s="725">
        <f t="shared" si="17"/>
        <v>0.12994888834418195</v>
      </c>
      <c r="AT15" s="725">
        <f t="shared" si="17"/>
        <v>0.12648942078953773</v>
      </c>
      <c r="AU15" s="1327">
        <f t="shared" si="17"/>
        <v>0.14386706993322429</v>
      </c>
      <c r="AV15" s="725">
        <f t="shared" si="18" ref="AV15:AZ15">AV14/AQ14-1</f>
        <v>0.12378613874892341</v>
      </c>
      <c r="AW15" s="725">
        <f t="shared" si="18"/>
        <v>0.082036183723422029</v>
      </c>
      <c r="AX15" s="725">
        <f t="shared" si="18"/>
        <v>0.045900453942875563</v>
      </c>
      <c r="AY15" s="725">
        <f t="shared" si="18"/>
        <v>0.1591638525299317</v>
      </c>
      <c r="AZ15" s="1327">
        <f t="shared" si="18"/>
        <v>0.1007624145569892</v>
      </c>
      <c r="BA15" s="725">
        <f t="shared" si="19" ref="BA15:BO15">BA14/AV14-1</f>
        <v>0.22219103254684791</v>
      </c>
      <c r="BB15" s="725">
        <f t="shared" si="19"/>
        <v>0.18473527020391045</v>
      </c>
      <c r="BC15" s="725">
        <f t="shared" si="19"/>
        <v>0.19788289880010468</v>
      </c>
      <c r="BD15" s="725">
        <f t="shared" si="19"/>
        <v>0.21425017254939727</v>
      </c>
      <c r="BE15" s="1327">
        <f t="shared" si="19"/>
        <v>0.20495055901302051</v>
      </c>
      <c r="BF15" s="725">
        <f>BF14/BA14-1</f>
        <v>0.17706723278521652</v>
      </c>
      <c r="BG15" s="725">
        <f>BG14/BB14-1</f>
        <v>0.21639747501172146</v>
      </c>
      <c r="BH15" s="809">
        <f>BH14/BC14-1</f>
        <v>0.2476497069348067</v>
      </c>
      <c r="BI15" s="98">
        <f t="shared" si="19"/>
        <v>0.17968160531592225</v>
      </c>
      <c r="BJ15" s="1326">
        <f t="shared" si="19"/>
        <v>0.20499603172871628</v>
      </c>
      <c r="BK15" s="98">
        <f t="shared" si="19"/>
        <v>0.15221661264556507</v>
      </c>
      <c r="BL15" s="98">
        <f t="shared" si="19"/>
        <v>0.15168206005035589</v>
      </c>
      <c r="BM15" s="98">
        <f t="shared" si="19"/>
        <v>0.12707491463677623</v>
      </c>
      <c r="BN15" s="98">
        <f t="shared" si="19"/>
        <v>0.12625502495638696</v>
      </c>
      <c r="BO15" s="1326">
        <f t="shared" si="19"/>
        <v>0.13924483410353217</v>
      </c>
      <c r="BP15" s="1325">
        <f>BP14/BO14-1</f>
        <v>0.071302082397581401</v>
      </c>
      <c r="BQ15" s="1325">
        <f>BQ14/BP14-1</f>
        <v>0.040399999999999991</v>
      </c>
      <c r="BR15" s="1326">
        <f>BR14/BQ14-1</f>
        <v>0.040399999999999769</v>
      </c>
      <c r="BS15" s="648"/>
    </row>
    <row r="16" spans="1:71" s="669" customFormat="1" ht="7.5" customHeight="1">
      <c r="A16" s="107"/>
      <c r="B16" s="108"/>
      <c r="C16" s="1325"/>
      <c r="D16" s="1325"/>
      <c r="E16" s="1325"/>
      <c r="F16" s="1325"/>
      <c r="G16" s="1325"/>
      <c r="H16" s="726"/>
      <c r="I16" s="726"/>
      <c r="J16" s="726"/>
      <c r="K16" s="726"/>
      <c r="L16" s="1325"/>
      <c r="M16" s="726"/>
      <c r="N16" s="726"/>
      <c r="O16" s="726"/>
      <c r="P16" s="726"/>
      <c r="Q16" s="1325"/>
      <c r="R16" s="726"/>
      <c r="S16" s="726"/>
      <c r="T16" s="726"/>
      <c r="U16" s="726"/>
      <c r="V16" s="1325"/>
      <c r="W16" s="726"/>
      <c r="X16" s="726"/>
      <c r="Y16" s="726"/>
      <c r="Z16" s="726"/>
      <c r="AA16" s="1325"/>
      <c r="AB16" s="726"/>
      <c r="AC16" s="726"/>
      <c r="AD16" s="726"/>
      <c r="AE16" s="726"/>
      <c r="AF16" s="1325"/>
      <c r="AG16" s="726"/>
      <c r="AH16" s="726"/>
      <c r="AI16" s="726"/>
      <c r="AJ16" s="726"/>
      <c r="AK16" s="1325"/>
      <c r="AL16" s="726"/>
      <c r="AM16" s="726"/>
      <c r="AN16" s="726"/>
      <c r="AO16" s="726"/>
      <c r="AP16" s="1325"/>
      <c r="AQ16" s="726"/>
      <c r="AR16" s="726"/>
      <c r="AS16" s="726"/>
      <c r="AT16" s="726"/>
      <c r="AU16" s="1325"/>
      <c r="AV16" s="726"/>
      <c r="AW16" s="726"/>
      <c r="AX16" s="726"/>
      <c r="AY16" s="726"/>
      <c r="AZ16" s="1325"/>
      <c r="BA16" s="726"/>
      <c r="BB16" s="726"/>
      <c r="BC16" s="726"/>
      <c r="BD16" s="726"/>
      <c r="BE16" s="1325"/>
      <c r="BF16" s="726"/>
      <c r="BG16" s="726"/>
      <c r="BH16" s="808"/>
      <c r="BI16" s="98"/>
      <c r="BJ16" s="1326"/>
      <c r="BK16" s="98"/>
      <c r="BL16" s="98"/>
      <c r="BM16" s="98"/>
      <c r="BN16" s="98"/>
      <c r="BO16" s="1326"/>
      <c r="BP16" s="1325"/>
      <c r="BQ16" s="1325"/>
      <c r="BR16" s="1326"/>
      <c r="BS16" s="648"/>
    </row>
    <row r="17" spans="1:71" s="668" customFormat="1" ht="15">
      <c r="A17" s="25" t="str">
        <f>A236</f>
        <v>Total Net Earned Premiums, mm</v>
      </c>
      <c r="B17" s="394"/>
      <c r="C17" s="1322">
        <f t="shared" si="20" ref="C17:AH17">C236</f>
        <v>14012.80</v>
      </c>
      <c r="D17" s="1320">
        <f t="shared" si="20"/>
        <v>14314.80</v>
      </c>
      <c r="E17" s="1320">
        <f t="shared" si="20"/>
        <v>14902.80</v>
      </c>
      <c r="F17" s="1320">
        <f t="shared" si="20"/>
        <v>16017.999999999998</v>
      </c>
      <c r="G17" s="1320">
        <f t="shared" si="20"/>
        <v>17103.40</v>
      </c>
      <c r="H17" s="1031">
        <f t="shared" si="20"/>
        <v>4402.2999999999993</v>
      </c>
      <c r="I17" s="1031">
        <f t="shared" si="20"/>
        <v>4513.50</v>
      </c>
      <c r="J17" s="1031">
        <f t="shared" si="20"/>
        <v>4540.1000000000004</v>
      </c>
      <c r="K17" s="1031">
        <f t="shared" si="20"/>
        <v>4942.6000000000004</v>
      </c>
      <c r="L17" s="1320">
        <f t="shared" si="20"/>
        <v>18398.50</v>
      </c>
      <c r="M17" s="1021">
        <f t="shared" si="20"/>
        <v>4666.2999999999993</v>
      </c>
      <c r="N17" s="1021">
        <f t="shared" si="20"/>
        <v>4995.80</v>
      </c>
      <c r="O17" s="1021">
        <f t="shared" si="20"/>
        <v>5070.6000000000004</v>
      </c>
      <c r="P17" s="1021">
        <f t="shared" si="20"/>
        <v>5166.4000000000005</v>
      </c>
      <c r="Q17" s="1320">
        <f t="shared" si="20"/>
        <v>19899.099999999999</v>
      </c>
      <c r="R17" s="1021">
        <f t="shared" si="20"/>
        <v>5317.40</v>
      </c>
      <c r="S17" s="1021">
        <f t="shared" si="20"/>
        <v>5561.80</v>
      </c>
      <c r="T17" s="1021">
        <f t="shared" si="20"/>
        <v>5723.40</v>
      </c>
      <c r="U17" s="1021">
        <f t="shared" si="20"/>
        <v>5871.40</v>
      </c>
      <c r="V17" s="1320">
        <f t="shared" si="20"/>
        <v>22474</v>
      </c>
      <c r="W17" s="1021">
        <f t="shared" si="20"/>
        <v>6026.70</v>
      </c>
      <c r="X17" s="1021">
        <f t="shared" si="20"/>
        <v>6313.30</v>
      </c>
      <c r="Y17" s="1021">
        <f t="shared" si="20"/>
        <v>6544</v>
      </c>
      <c r="Z17" s="1021">
        <f t="shared" si="20"/>
        <v>6845.90</v>
      </c>
      <c r="AA17" s="1320">
        <f t="shared" si="20"/>
        <v>25729.900000000001</v>
      </c>
      <c r="AB17" s="1021">
        <f t="shared" si="20"/>
        <v>7174.0000000000009</v>
      </c>
      <c r="AC17" s="1021">
        <f t="shared" si="20"/>
        <v>7634.20</v>
      </c>
      <c r="AD17" s="1021">
        <f t="shared" si="20"/>
        <v>7930.50</v>
      </c>
      <c r="AE17" s="1021">
        <f t="shared" si="20"/>
        <v>8194.60</v>
      </c>
      <c r="AF17" s="1320">
        <f t="shared" si="20"/>
        <v>30933.300000000003</v>
      </c>
      <c r="AG17" s="1021">
        <f t="shared" si="20"/>
        <v>8459.7999999999993</v>
      </c>
      <c r="AH17" s="1021">
        <f t="shared" si="20"/>
        <v>8824.7000000000007</v>
      </c>
      <c r="AI17" s="1021">
        <f t="shared" si="21" ref="AI17:AU17">AI236</f>
        <v>9012.1999999999989</v>
      </c>
      <c r="AJ17" s="1021">
        <f t="shared" si="21"/>
        <v>9895.7000000000007</v>
      </c>
      <c r="AK17" s="1320">
        <f t="shared" si="21"/>
        <v>36192.40</v>
      </c>
      <c r="AL17" s="1021">
        <f t="shared" si="21"/>
        <v>9430.7000000000007</v>
      </c>
      <c r="AM17" s="1021">
        <f t="shared" si="21"/>
        <v>9648.60</v>
      </c>
      <c r="AN17" s="1021">
        <f t="shared" si="21"/>
        <v>9973.4999999999982</v>
      </c>
      <c r="AO17" s="1021">
        <f t="shared" si="21"/>
        <v>10208.800000000001</v>
      </c>
      <c r="AP17" s="1320">
        <f t="shared" si="21"/>
        <v>39261.60</v>
      </c>
      <c r="AQ17" s="1021">
        <f t="shared" si="21"/>
        <v>10420.199999999999</v>
      </c>
      <c r="AR17" s="1021">
        <f t="shared" si="21"/>
        <v>10982.299999999999</v>
      </c>
      <c r="AS17" s="1021">
        <f t="shared" si="21"/>
        <v>11364.799999999997</v>
      </c>
      <c r="AT17" s="1021">
        <f t="shared" si="21"/>
        <v>11601.40</v>
      </c>
      <c r="AU17" s="1320">
        <f t="shared" si="21"/>
        <v>44368.699999999997</v>
      </c>
      <c r="AV17" s="1021">
        <f t="shared" si="22" ref="AV17:AZ17">AV236</f>
        <v>11802.900000000003</v>
      </c>
      <c r="AW17" s="1021">
        <f t="shared" si="22"/>
        <v>12147.90</v>
      </c>
      <c r="AX17" s="1021">
        <f t="shared" si="22"/>
        <v>12398.90</v>
      </c>
      <c r="AY17" s="1021">
        <f t="shared" si="22"/>
        <v>12891.500000000002</v>
      </c>
      <c r="AZ17" s="1320">
        <f t="shared" si="22"/>
        <v>49241.199999999997</v>
      </c>
      <c r="BA17" s="1021">
        <f t="shared" si="23" ref="BA17:BI17">BA236</f>
        <v>13533.10</v>
      </c>
      <c r="BB17" s="1021">
        <f t="shared" si="23"/>
        <v>14464.40</v>
      </c>
      <c r="BC17" s="1021">
        <f t="shared" si="23"/>
        <v>14894.299999999999</v>
      </c>
      <c r="BD17" s="1021">
        <f t="shared" si="23"/>
        <v>15772.600000000004</v>
      </c>
      <c r="BE17" s="1320">
        <f t="shared" si="23"/>
        <v>58664.400000000001</v>
      </c>
      <c r="BF17" s="1021">
        <f>BF236</f>
        <v>16148.60</v>
      </c>
      <c r="BG17" s="1021">
        <f>BG236</f>
        <v>17209.500000000004</v>
      </c>
      <c r="BH17" s="1022">
        <f>BH236</f>
        <v>18296.700000000001</v>
      </c>
      <c r="BI17" s="1023">
        <f t="shared" si="23"/>
        <v>17559.301553150228</v>
      </c>
      <c r="BJ17" s="1321">
        <f t="shared" si="24" ref="BJ17:BJ18">BJ236</f>
        <v>69214.101553150234</v>
      </c>
      <c r="BK17" s="1023">
        <f t="shared" si="25" ref="BK17:BR18">BK236</f>
        <v>21442.044134334246</v>
      </c>
      <c r="BL17" s="1023">
        <f t="shared" si="25"/>
        <v>19683.62081517437</v>
      </c>
      <c r="BM17" s="1023">
        <f t="shared" si="25"/>
        <v>21013.268236616033</v>
      </c>
      <c r="BN17" s="1023">
        <f t="shared" si="25"/>
        <v>19779.357817031436</v>
      </c>
      <c r="BO17" s="1321">
        <f t="shared" si="25"/>
        <v>81918.291003156075</v>
      </c>
      <c r="BP17" s="1322">
        <f t="shared" si="25"/>
        <v>87742.953041527231</v>
      </c>
      <c r="BQ17" s="1322">
        <f t="shared" si="25"/>
        <v>91287.768344404933</v>
      </c>
      <c r="BR17" s="1321">
        <f t="shared" si="25"/>
        <v>94975.794185518884</v>
      </c>
      <c r="BS17" s="648"/>
    </row>
    <row r="18" spans="1:71" s="670" customFormat="1" ht="15">
      <c r="A18" s="1173" t="str">
        <f>A237</f>
        <v>Consensus Estimates - Total Net Earned Premiums, mm</v>
      </c>
      <c r="B18" s="1174"/>
      <c r="C18" s="1328"/>
      <c r="D18" s="1328"/>
      <c r="E18" s="1328"/>
      <c r="F18" s="1328"/>
      <c r="G18" s="1328"/>
      <c r="H18" s="1033"/>
      <c r="I18" s="1033"/>
      <c r="J18" s="1033"/>
      <c r="K18" s="1033"/>
      <c r="L18" s="1328"/>
      <c r="M18" s="1033"/>
      <c r="N18" s="1033"/>
      <c r="O18" s="1033"/>
      <c r="P18" s="1033"/>
      <c r="Q18" s="1328"/>
      <c r="R18" s="1033"/>
      <c r="S18" s="1033"/>
      <c r="T18" s="1033"/>
      <c r="U18" s="1033"/>
      <c r="V18" s="1328"/>
      <c r="W18" s="1033"/>
      <c r="X18" s="1033"/>
      <c r="Y18" s="1033"/>
      <c r="Z18" s="1033"/>
      <c r="AA18" s="1328"/>
      <c r="AB18" s="1033"/>
      <c r="AC18" s="1033"/>
      <c r="AD18" s="1033"/>
      <c r="AE18" s="1033"/>
      <c r="AF18" s="1328"/>
      <c r="AG18" s="1033"/>
      <c r="AH18" s="1033"/>
      <c r="AI18" s="1033"/>
      <c r="AJ18" s="1033"/>
      <c r="AK18" s="1328"/>
      <c r="AL18" s="1033"/>
      <c r="AM18" s="1033"/>
      <c r="AN18" s="1033"/>
      <c r="AO18" s="1033"/>
      <c r="AP18" s="1328"/>
      <c r="AQ18" s="1033"/>
      <c r="AR18" s="1033"/>
      <c r="AS18" s="1033"/>
      <c r="AT18" s="1033"/>
      <c r="AU18" s="1328"/>
      <c r="AV18" s="1033"/>
      <c r="AW18" s="1033"/>
      <c r="AX18" s="1033"/>
      <c r="AY18" s="1033"/>
      <c r="AZ18" s="1328"/>
      <c r="BA18" s="1033"/>
      <c r="BB18" s="1033"/>
      <c r="BC18" s="1033"/>
      <c r="BD18" s="1033"/>
      <c r="BE18" s="1328"/>
      <c r="BF18" s="1033"/>
      <c r="BG18" s="1033"/>
      <c r="BH18" s="1034"/>
      <c r="BI18" s="1033" t="str">
        <f ca="1">BI237</f>
        <v>N/A</v>
      </c>
      <c r="BJ18" s="1328" t="str">
        <f t="shared" ca="1" si="24"/>
        <v>N/A</v>
      </c>
      <c r="BK18" s="1033" t="str">
        <f t="shared" ca="1" si="25"/>
        <v>N/A</v>
      </c>
      <c r="BL18" s="1033" t="str">
        <f t="shared" ca="1" si="25"/>
        <v>N/A</v>
      </c>
      <c r="BM18" s="1033" t="str">
        <f t="shared" ca="1" si="25"/>
        <v>N/A</v>
      </c>
      <c r="BN18" s="1033" t="str">
        <f t="shared" ca="1" si="25"/>
        <v>N/A</v>
      </c>
      <c r="BO18" s="1328" t="str">
        <f t="shared" ca="1" si="25"/>
        <v>N/A</v>
      </c>
      <c r="BP18" s="1328" t="str">
        <f t="shared" ca="1" si="25"/>
        <v>N/A</v>
      </c>
      <c r="BQ18" s="1328" t="str">
        <f t="shared" ca="1" si="25"/>
        <v>N/A</v>
      </c>
      <c r="BR18" s="1328" t="str">
        <f t="shared" ca="1" si="25"/>
        <v>N/A</v>
      </c>
      <c r="BS18" s="648"/>
    </row>
    <row r="19" spans="1:71" s="669" customFormat="1" ht="15">
      <c r="A19" s="107" t="s">
        <v>570</v>
      </c>
      <c r="B19" s="108"/>
      <c r="C19" s="1325"/>
      <c r="D19" s="1327">
        <f>D17/C17-1</f>
        <v>0.02155172413793105</v>
      </c>
      <c r="E19" s="1327">
        <f>E17/D17-1</f>
        <v>0.041076368513705885</v>
      </c>
      <c r="F19" s="1327">
        <f>F17/E17-1</f>
        <v>0.074831575274445061</v>
      </c>
      <c r="G19" s="1327">
        <f>G17/F17-1</f>
        <v>0.067761268572855693</v>
      </c>
      <c r="H19" s="726"/>
      <c r="I19" s="726"/>
      <c r="J19" s="726"/>
      <c r="K19" s="726"/>
      <c r="L19" s="1327">
        <f t="shared" si="26" ref="L19:AU19">L17/G17-1</f>
        <v>0.075721786311493622</v>
      </c>
      <c r="M19" s="725">
        <f t="shared" si="26"/>
        <v>0.059968652749698981</v>
      </c>
      <c r="N19" s="725">
        <f t="shared" si="26"/>
        <v>0.10685720615929983</v>
      </c>
      <c r="O19" s="725">
        <f t="shared" si="26"/>
        <v>0.11684764652760959</v>
      </c>
      <c r="P19" s="725">
        <f t="shared" si="26"/>
        <v>0.045279812244567674</v>
      </c>
      <c r="Q19" s="1327">
        <f t="shared" si="26"/>
        <v>0.081560996820392972</v>
      </c>
      <c r="R19" s="725">
        <f t="shared" si="26"/>
        <v>0.13953239183078692</v>
      </c>
      <c r="S19" s="725">
        <f t="shared" si="26"/>
        <v>0.11329516794107053</v>
      </c>
      <c r="T19" s="725">
        <f t="shared" si="26"/>
        <v>0.12874216069104238</v>
      </c>
      <c r="U19" s="725">
        <f t="shared" si="26"/>
        <v>0.13645865593062867</v>
      </c>
      <c r="V19" s="1327">
        <f t="shared" si="26"/>
        <v>0.12939781196134503</v>
      </c>
      <c r="W19" s="725">
        <f t="shared" si="26"/>
        <v>0.13339225937488242</v>
      </c>
      <c r="X19" s="725">
        <f t="shared" si="26"/>
        <v>0.13511812722499905</v>
      </c>
      <c r="Y19" s="725">
        <f t="shared" si="26"/>
        <v>0.14337631477792923</v>
      </c>
      <c r="Z19" s="725">
        <f t="shared" si="26"/>
        <v>0.16597404366931223</v>
      </c>
      <c r="AA19" s="1327">
        <f t="shared" si="26"/>
        <v>0.14487407671086605</v>
      </c>
      <c r="AB19" s="725">
        <f t="shared" si="26"/>
        <v>0.19036952229246529</v>
      </c>
      <c r="AC19" s="725">
        <f t="shared" si="26"/>
        <v>0.20922496950881464</v>
      </c>
      <c r="AD19" s="725">
        <f t="shared" si="26"/>
        <v>0.2118734718826405</v>
      </c>
      <c r="AE19" s="725">
        <f t="shared" si="26"/>
        <v>0.1970084284024014</v>
      </c>
      <c r="AF19" s="1327">
        <f t="shared" si="26"/>
        <v>0.20223164489562739</v>
      </c>
      <c r="AG19" s="725">
        <f t="shared" si="26"/>
        <v>0.17923055478115391</v>
      </c>
      <c r="AH19" s="725">
        <f t="shared" si="26"/>
        <v>0.15594299337193163</v>
      </c>
      <c r="AI19" s="725">
        <f t="shared" si="26"/>
        <v>0.13639745287182392</v>
      </c>
      <c r="AJ19" s="725">
        <f t="shared" si="26"/>
        <v>0.20758792375466784</v>
      </c>
      <c r="AK19" s="1327">
        <f t="shared" si="26"/>
        <v>0.17001419182563771</v>
      </c>
      <c r="AL19" s="725">
        <f t="shared" si="26"/>
        <v>0.11476630653206943</v>
      </c>
      <c r="AM19" s="725">
        <f t="shared" si="26"/>
        <v>0.093362947182340505</v>
      </c>
      <c r="AN19" s="725">
        <f t="shared" si="26"/>
        <v>0.10666651871906963</v>
      </c>
      <c r="AO19" s="725">
        <f t="shared" si="26"/>
        <v>0.031640005254807591</v>
      </c>
      <c r="AP19" s="1327">
        <f t="shared" si="26"/>
        <v>0.084802334191708573</v>
      </c>
      <c r="AQ19" s="725">
        <f t="shared" si="26"/>
        <v>0.10492328247107841</v>
      </c>
      <c r="AR19" s="725">
        <f t="shared" si="26"/>
        <v>0.13822730758866553</v>
      </c>
      <c r="AS19" s="725">
        <f t="shared" si="26"/>
        <v>0.13949967413646158</v>
      </c>
      <c r="AT19" s="725">
        <f t="shared" si="26"/>
        <v>0.13641172321918327</v>
      </c>
      <c r="AU19" s="1327">
        <f t="shared" si="26"/>
        <v>0.13007875379505673</v>
      </c>
      <c r="AV19" s="725">
        <f t="shared" si="27" ref="AV19:AZ19">AV17/AQ17-1</f>
        <v>0.13269419013070816</v>
      </c>
      <c r="AW19" s="725">
        <f t="shared" si="27"/>
        <v>0.10613441628802711</v>
      </c>
      <c r="AX19" s="725">
        <f t="shared" si="27"/>
        <v>0.090991482472195129</v>
      </c>
      <c r="AY19" s="725">
        <f t="shared" si="27"/>
        <v>0.1112020962987228</v>
      </c>
      <c r="AZ19" s="1327">
        <f t="shared" si="27"/>
        <v>0.10981840802187137</v>
      </c>
      <c r="BA19" s="725">
        <f t="shared" si="28" ref="BA19:BO19">BA17/AV17-1</f>
        <v>0.14659109201975751</v>
      </c>
      <c r="BB19" s="725">
        <f t="shared" si="28"/>
        <v>0.1906913952205731</v>
      </c>
      <c r="BC19" s="725">
        <f t="shared" si="28"/>
        <v>0.20125978917484622</v>
      </c>
      <c r="BD19" s="725">
        <f t="shared" si="28"/>
        <v>0.22348834503354942</v>
      </c>
      <c r="BE19" s="1327">
        <f t="shared" si="28"/>
        <v>0.19136820386180697</v>
      </c>
      <c r="BF19" s="725">
        <f>BF17/BA17-1</f>
        <v>0.19326687898559824</v>
      </c>
      <c r="BG19" s="725">
        <f>BG17/BB17-1</f>
        <v>0.18978319183650916</v>
      </c>
      <c r="BH19" s="809">
        <f>BH17/BC17-1</f>
        <v>0.22843638170306768</v>
      </c>
      <c r="BI19" s="98">
        <f t="shared" si="28"/>
        <v>0.11327882233431552</v>
      </c>
      <c r="BJ19" s="1326">
        <f t="shared" si="28"/>
        <v>0.17983140632394146</v>
      </c>
      <c r="BK19" s="98">
        <f t="shared" si="28"/>
        <v>0.32779585439816739</v>
      </c>
      <c r="BL19" s="98">
        <f t="shared" si="28"/>
        <v>0.14376482844791338</v>
      </c>
      <c r="BM19" s="98">
        <f t="shared" si="28"/>
        <v>0.14847312556996806</v>
      </c>
      <c r="BN19" s="98">
        <f t="shared" si="28"/>
        <v>0.12643192311273443</v>
      </c>
      <c r="BO19" s="1326">
        <f t="shared" si="28"/>
        <v>0.18354914916074083</v>
      </c>
      <c r="BP19" s="1325">
        <f>BP17/BO17-1</f>
        <v>0.071103314864646716</v>
      </c>
      <c r="BQ19" s="1325">
        <f>BQ17/BP17-1</f>
        <v>0.040399999999999991</v>
      </c>
      <c r="BR19" s="1326">
        <f>BR17/BQ17-1</f>
        <v>0.040399999999999991</v>
      </c>
      <c r="BS19" s="648"/>
    </row>
    <row r="20" spans="1:71" s="669" customFormat="1" ht="7.5" customHeight="1">
      <c r="A20" s="107"/>
      <c r="B20" s="108"/>
      <c r="C20" s="1325"/>
      <c r="D20" s="1325"/>
      <c r="E20" s="1325"/>
      <c r="F20" s="1325"/>
      <c r="G20" s="1325"/>
      <c r="H20" s="726"/>
      <c r="I20" s="726"/>
      <c r="J20" s="726"/>
      <c r="K20" s="726"/>
      <c r="L20" s="1325"/>
      <c r="M20" s="726"/>
      <c r="N20" s="726"/>
      <c r="O20" s="726"/>
      <c r="P20" s="726"/>
      <c r="Q20" s="1325"/>
      <c r="R20" s="726"/>
      <c r="S20" s="726"/>
      <c r="T20" s="726"/>
      <c r="U20" s="726"/>
      <c r="V20" s="1325"/>
      <c r="W20" s="726"/>
      <c r="X20" s="726"/>
      <c r="Y20" s="726"/>
      <c r="Z20" s="726"/>
      <c r="AA20" s="1325"/>
      <c r="AB20" s="726"/>
      <c r="AC20" s="726"/>
      <c r="AD20" s="726"/>
      <c r="AE20" s="726"/>
      <c r="AF20" s="1325"/>
      <c r="AG20" s="726"/>
      <c r="AH20" s="726"/>
      <c r="AI20" s="726"/>
      <c r="AJ20" s="726"/>
      <c r="AK20" s="1325"/>
      <c r="AL20" s="726"/>
      <c r="AM20" s="726"/>
      <c r="AN20" s="726"/>
      <c r="AO20" s="726"/>
      <c r="AP20" s="1325"/>
      <c r="AQ20" s="726"/>
      <c r="AR20" s="726"/>
      <c r="AS20" s="726"/>
      <c r="AT20" s="726"/>
      <c r="AU20" s="1325"/>
      <c r="AV20" s="726"/>
      <c r="AW20" s="726"/>
      <c r="AX20" s="726"/>
      <c r="AY20" s="726"/>
      <c r="AZ20" s="1325"/>
      <c r="BA20" s="726"/>
      <c r="BB20" s="726"/>
      <c r="BC20" s="726"/>
      <c r="BD20" s="726"/>
      <c r="BE20" s="1325"/>
      <c r="BF20" s="726"/>
      <c r="BG20" s="726"/>
      <c r="BH20" s="808"/>
      <c r="BI20" s="98"/>
      <c r="BJ20" s="1326"/>
      <c r="BK20" s="98"/>
      <c r="BL20" s="98"/>
      <c r="BM20" s="98"/>
      <c r="BN20" s="98"/>
      <c r="BO20" s="1326"/>
      <c r="BP20" s="1325"/>
      <c r="BQ20" s="1325"/>
      <c r="BR20" s="1326"/>
      <c r="BS20" s="648"/>
    </row>
    <row r="21" spans="1:71" s="671" customFormat="1" ht="15">
      <c r="A21" s="288" t="str">
        <f>A535</f>
        <v>Total Combined Ratio, %</v>
      </c>
      <c r="B21" s="401"/>
      <c r="C21" s="1329">
        <f t="shared" si="29" ref="C21:AH21">C535</f>
        <v>0.91610527517698104</v>
      </c>
      <c r="D21" s="1330">
        <f t="shared" si="29"/>
        <v>0.92430910665884236</v>
      </c>
      <c r="E21" s="1330">
        <f t="shared" si="29"/>
        <v>0.92972461550849506</v>
      </c>
      <c r="F21" s="1330">
        <f t="shared" si="29"/>
        <v>0.95574353851916616</v>
      </c>
      <c r="G21" s="1330">
        <f t="shared" si="29"/>
        <v>0.93451009740753288</v>
      </c>
      <c r="H21" s="199">
        <f t="shared" si="29"/>
        <v>0.93417077436794416</v>
      </c>
      <c r="I21" s="199">
        <f t="shared" si="29"/>
        <v>0.92637642627672556</v>
      </c>
      <c r="J21" s="199">
        <f t="shared" si="29"/>
        <v>0.92515583357194775</v>
      </c>
      <c r="K21" s="199">
        <f t="shared" si="29"/>
        <v>0.90927851737951715</v>
      </c>
      <c r="L21" s="1330">
        <f t="shared" si="29"/>
        <v>0.92334701198467273</v>
      </c>
      <c r="M21" s="199">
        <f t="shared" si="29"/>
        <v>0.92679424811949518</v>
      </c>
      <c r="N21" s="199">
        <f t="shared" si="29"/>
        <v>0.92517714880499613</v>
      </c>
      <c r="O21" s="199">
        <f t="shared" si="29"/>
        <v>0.92803612984656636</v>
      </c>
      <c r="P21" s="199">
        <f t="shared" si="29"/>
        <v>0.91969262929699602</v>
      </c>
      <c r="Q21" s="1330">
        <f t="shared" si="29"/>
        <v>0.9248609233583428</v>
      </c>
      <c r="R21" s="199">
        <f t="shared" si="29"/>
        <v>0.94606386579907475</v>
      </c>
      <c r="S21" s="199">
        <f t="shared" si="29"/>
        <v>0.96842748750404539</v>
      </c>
      <c r="T21" s="199">
        <f t="shared" si="29"/>
        <v>0.96557990005940519</v>
      </c>
      <c r="U21" s="199">
        <f t="shared" si="29"/>
        <v>0.92647409476445131</v>
      </c>
      <c r="V21" s="1330">
        <f t="shared" si="29"/>
        <v>0.95145056509744586</v>
      </c>
      <c r="W21" s="199">
        <f t="shared" si="29"/>
        <v>0.9170358571025603</v>
      </c>
      <c r="X21" s="199">
        <f t="shared" si="29"/>
        <v>0.93220661143934225</v>
      </c>
      <c r="Y21" s="199">
        <f t="shared" si="29"/>
        <v>0.97371638141809291</v>
      </c>
      <c r="Z21" s="199">
        <f t="shared" si="29"/>
        <v>0.91426985494967794</v>
      </c>
      <c r="AA21" s="1330">
        <f t="shared" si="29"/>
        <v>0.93443814394925762</v>
      </c>
      <c r="AB21" s="199">
        <f t="shared" si="29"/>
        <v>0.88422079732366865</v>
      </c>
      <c r="AC21" s="199">
        <f t="shared" si="29"/>
        <v>0.90867412433522832</v>
      </c>
      <c r="AD21" s="199">
        <f t="shared" si="29"/>
        <v>0.90272996658470461</v>
      </c>
      <c r="AE21" s="199">
        <f t="shared" si="29"/>
        <v>0.924852951943963</v>
      </c>
      <c r="AF21" s="1330">
        <f t="shared" si="29"/>
        <v>0.90576498466054367</v>
      </c>
      <c r="AG21" s="199">
        <f t="shared" si="29"/>
        <v>0.88779876592827267</v>
      </c>
      <c r="AH21" s="199">
        <f t="shared" si="29"/>
        <v>0.90353213140390043</v>
      </c>
      <c r="AI21" s="199">
        <f t="shared" si="30" ref="AI21:AU21">AI535</f>
        <v>0.91872128891946492</v>
      </c>
      <c r="AJ21" s="199">
        <f t="shared" si="30"/>
        <v>0.92377497296805677</v>
      </c>
      <c r="AK21" s="1330">
        <f t="shared" si="30"/>
        <v>0.9091715387760968</v>
      </c>
      <c r="AL21" s="199">
        <f t="shared" si="30"/>
        <v>0.86890686799495254</v>
      </c>
      <c r="AM21" s="199">
        <f t="shared" si="30"/>
        <v>0.87678005099185363</v>
      </c>
      <c r="AN21" s="199">
        <f t="shared" si="30"/>
        <v>0.87796661152052968</v>
      </c>
      <c r="AO21" s="199">
        <f t="shared" si="30"/>
        <v>0.88437426533970698</v>
      </c>
      <c r="AP21" s="1330">
        <f t="shared" si="30"/>
        <v>0.87716496525867527</v>
      </c>
      <c r="AQ21" s="199">
        <f t="shared" si="30"/>
        <v>0.89252605516208905</v>
      </c>
      <c r="AR21" s="199">
        <f t="shared" si="30"/>
        <v>0.96514391338790584</v>
      </c>
      <c r="AS21" s="199">
        <f t="shared" si="30"/>
        <v>1.0041267774179927</v>
      </c>
      <c r="AT21" s="199">
        <f t="shared" si="30"/>
        <v>0.94745461754615823</v>
      </c>
      <c r="AU21" s="1330">
        <f t="shared" si="30"/>
        <v>0.95344916574071359</v>
      </c>
      <c r="AV21" s="199">
        <f t="shared" si="31" ref="AV21:AZ21">AV535</f>
        <v>0.94503045861610246</v>
      </c>
      <c r="AW21" s="199">
        <f t="shared" si="31"/>
        <v>0.95567135060380826</v>
      </c>
      <c r="AX21" s="199">
        <f t="shared" si="31"/>
        <v>0.99239448660768304</v>
      </c>
      <c r="AY21" s="199">
        <f t="shared" si="31"/>
        <v>0.93930884691463323</v>
      </c>
      <c r="AZ21" s="1330">
        <f t="shared" si="31"/>
        <v>0.95808388097771779</v>
      </c>
      <c r="BA21" s="199">
        <f t="shared" si="32" ref="BA21:BI21">BA535</f>
        <v>0.98953676541221136</v>
      </c>
      <c r="BB21" s="199">
        <f t="shared" si="32"/>
        <v>1.004445396974641</v>
      </c>
      <c r="BC21" s="199">
        <f t="shared" si="32"/>
        <v>0.9237157838904817</v>
      </c>
      <c r="BD21" s="199">
        <f t="shared" si="32"/>
        <v>0.88722214473200334</v>
      </c>
      <c r="BE21" s="1330">
        <f t="shared" si="32"/>
        <v>0.9489929156353768</v>
      </c>
      <c r="BF21" s="199">
        <f>BF535</f>
        <v>0.86067522881240477</v>
      </c>
      <c r="BG21" s="199">
        <f>BG535</f>
        <v>0.91942822278392733</v>
      </c>
      <c r="BH21" s="810">
        <f>BH535</f>
        <v>0.89045019047150542</v>
      </c>
      <c r="BI21" s="289">
        <f t="shared" si="32"/>
        <v>0.94201821092717697</v>
      </c>
      <c r="BJ21" s="1331">
        <f t="shared" si="33" ref="BJ21:BJ22">BJ535</f>
        <v>0.91497946824604814</v>
      </c>
      <c r="BK21" s="289">
        <f t="shared" si="34" ref="BK21:BR22">BK535</f>
        <v>0.93912182200493988</v>
      </c>
      <c r="BL21" s="289">
        <f t="shared" si="34"/>
        <v>0.96232216368937351</v>
      </c>
      <c r="BM21" s="289">
        <f t="shared" si="34"/>
        <v>0.95921127366176151</v>
      </c>
      <c r="BN21" s="289">
        <f t="shared" si="34"/>
        <v>0.9161055144914273</v>
      </c>
      <c r="BO21" s="1331">
        <f t="shared" si="34"/>
        <v>0.94429238864844189</v>
      </c>
      <c r="BP21" s="1331">
        <f t="shared" si="34"/>
        <v>0.94391872144575983</v>
      </c>
      <c r="BQ21" s="1331">
        <f t="shared" si="34"/>
        <v>0.94291872144575972</v>
      </c>
      <c r="BR21" s="1331">
        <f t="shared" si="34"/>
        <v>0.94191872144575983</v>
      </c>
      <c r="BS21" s="648"/>
    </row>
    <row r="22" spans="1:71" s="672" customFormat="1" ht="15">
      <c r="A22" s="97" t="str">
        <f>A536</f>
        <v>Consensus Estimates - Total Combined Ratio, %</v>
      </c>
      <c r="B22" s="108"/>
      <c r="C22" s="1325"/>
      <c r="D22" s="1325"/>
      <c r="E22" s="1325"/>
      <c r="F22" s="1325"/>
      <c r="G22" s="1325"/>
      <c r="H22" s="726"/>
      <c r="I22" s="726"/>
      <c r="J22" s="726"/>
      <c r="K22" s="726"/>
      <c r="L22" s="1325"/>
      <c r="M22" s="726"/>
      <c r="N22" s="726"/>
      <c r="O22" s="726"/>
      <c r="P22" s="726"/>
      <c r="Q22" s="1325"/>
      <c r="R22" s="726"/>
      <c r="S22" s="726"/>
      <c r="T22" s="726"/>
      <c r="U22" s="726"/>
      <c r="V22" s="1325"/>
      <c r="W22" s="726"/>
      <c r="X22" s="726"/>
      <c r="Y22" s="726"/>
      <c r="Z22" s="726"/>
      <c r="AA22" s="1325"/>
      <c r="AB22" s="726"/>
      <c r="AC22" s="726"/>
      <c r="AD22" s="726"/>
      <c r="AE22" s="726"/>
      <c r="AF22" s="1325"/>
      <c r="AG22" s="726"/>
      <c r="AH22" s="726"/>
      <c r="AI22" s="726"/>
      <c r="AJ22" s="726"/>
      <c r="AK22" s="1325"/>
      <c r="AL22" s="726"/>
      <c r="AM22" s="726"/>
      <c r="AN22" s="726"/>
      <c r="AO22" s="726"/>
      <c r="AP22" s="1325"/>
      <c r="AQ22" s="726"/>
      <c r="AR22" s="726"/>
      <c r="AS22" s="726"/>
      <c r="AT22" s="726"/>
      <c r="AU22" s="1325"/>
      <c r="AV22" s="726"/>
      <c r="AW22" s="726"/>
      <c r="AX22" s="726"/>
      <c r="AY22" s="726"/>
      <c r="AZ22" s="1325"/>
      <c r="BA22" s="726"/>
      <c r="BB22" s="726"/>
      <c r="BC22" s="726"/>
      <c r="BD22" s="726"/>
      <c r="BE22" s="1325"/>
      <c r="BF22" s="726"/>
      <c r="BG22" s="726"/>
      <c r="BH22" s="808"/>
      <c r="BI22" s="488" t="str">
        <f ca="1">BI536</f>
        <v>N/A</v>
      </c>
      <c r="BJ22" s="1332" t="str">
        <f t="shared" ca="1" si="33"/>
        <v>N/A</v>
      </c>
      <c r="BK22" s="488" t="str">
        <f t="shared" ca="1" si="34"/>
        <v>N/A</v>
      </c>
      <c r="BL22" s="488" t="str">
        <f t="shared" ca="1" si="34"/>
        <v>N/A</v>
      </c>
      <c r="BM22" s="488" t="str">
        <f t="shared" ca="1" si="34"/>
        <v>N/A</v>
      </c>
      <c r="BN22" s="488" t="str">
        <f t="shared" ca="1" si="34"/>
        <v>N/A</v>
      </c>
      <c r="BO22" s="1332" t="str">
        <f t="shared" ca="1" si="34"/>
        <v>N/A</v>
      </c>
      <c r="BP22" s="1333" t="str">
        <f t="shared" ca="1" si="34"/>
        <v>N/A</v>
      </c>
      <c r="BQ22" s="1333" t="str">
        <f t="shared" ca="1" si="34"/>
        <v>N/A</v>
      </c>
      <c r="BR22" s="1332" t="str">
        <f t="shared" ca="1" si="34"/>
        <v>N/A</v>
      </c>
      <c r="BS22" s="648"/>
    </row>
    <row r="23" spans="1:71" s="673" customFormat="1" ht="15">
      <c r="A23" s="926" t="str">
        <f>A537</f>
        <v>Y/Y Improvement in Combined Ratio, bps</v>
      </c>
      <c r="B23" s="508"/>
      <c r="C23" s="1334"/>
      <c r="D23" s="1335">
        <f>(C21-D21)*10000</f>
        <v>-82.03831481861323</v>
      </c>
      <c r="E23" s="1335">
        <f>(D21-E21)*10000</f>
        <v>-54.15508849652695</v>
      </c>
      <c r="F23" s="1335">
        <f>(E21-F21)*10000</f>
        <v>-260.18923010671102</v>
      </c>
      <c r="G23" s="1335">
        <f>(F21-G21)*10000</f>
        <v>212.33441111633277</v>
      </c>
      <c r="H23" s="945"/>
      <c r="I23" s="945"/>
      <c r="J23" s="945"/>
      <c r="K23" s="945"/>
      <c r="L23" s="1335">
        <f t="shared" si="35" ref="L23">(G21-L21)*10000</f>
        <v>111.63085422860152</v>
      </c>
      <c r="M23" s="945">
        <f t="shared" si="36" ref="M23">(H21-M21)*10000</f>
        <v>73.765262484489782</v>
      </c>
      <c r="N23" s="945">
        <f t="shared" si="37" ref="N23">(I21-N21)*10000</f>
        <v>11.992774717294319</v>
      </c>
      <c r="O23" s="945">
        <f t="shared" si="38" ref="O23">(J21-O21)*10000</f>
        <v>-28.8029627461861</v>
      </c>
      <c r="P23" s="945">
        <f t="shared" si="39" ref="P23">(K21-P21)*10000</f>
        <v>-104.14111917478874</v>
      </c>
      <c r="Q23" s="1335">
        <f t="shared" si="40" ref="Q23">(L21-Q21)*10000</f>
        <v>-15.139113736700738</v>
      </c>
      <c r="R23" s="945">
        <f t="shared" si="41" ref="R23">(M21-R21)*10000</f>
        <v>-192.69617679579576</v>
      </c>
      <c r="S23" s="945">
        <f t="shared" si="42" ref="S23">(N21-S21)*10000</f>
        <v>-432.50338699049263</v>
      </c>
      <c r="T23" s="945">
        <f t="shared" si="43" ref="T23">(O21-T21)*10000</f>
        <v>-375.43770212838837</v>
      </c>
      <c r="U23" s="945">
        <f t="shared" si="44" ref="U23">(P21-U21)*10000</f>
        <v>-67.814654674552827</v>
      </c>
      <c r="V23" s="1335">
        <f t="shared" si="45" ref="V23">(Q21-V21)*10000</f>
        <v>-265.89641739103052</v>
      </c>
      <c r="W23" s="945">
        <f t="shared" si="46" ref="W23">(R21-W21)*10000</f>
        <v>290.28008696514451</v>
      </c>
      <c r="X23" s="945">
        <f t="shared" si="47" ref="X23">(S21-X21)*10000</f>
        <v>362.20876064703145</v>
      </c>
      <c r="Y23" s="945">
        <f t="shared" si="48" ref="Y23">(T21-Y21)*10000</f>
        <v>-81.36481358687719</v>
      </c>
      <c r="Z23" s="945">
        <f t="shared" si="49" ref="Z23">(U21-Z21)*10000</f>
        <v>122.04239814773365</v>
      </c>
      <c r="AA23" s="1335">
        <f t="shared" si="50" ref="AA23">(V21-AA21)*10000</f>
        <v>170.12421148188238</v>
      </c>
      <c r="AB23" s="945">
        <f t="shared" si="51" ref="AB23">(W21-AB21)*10000</f>
        <v>328.15059778891651</v>
      </c>
      <c r="AC23" s="945">
        <f t="shared" si="52" ref="AC23">(X21-AC21)*10000</f>
        <v>235.32487104113932</v>
      </c>
      <c r="AD23" s="945">
        <f t="shared" si="53" ref="AD23">(Y21-AD21)*10000</f>
        <v>709.86414833388301</v>
      </c>
      <c r="AE23" s="945">
        <f t="shared" si="54" ref="AE23">(Z21-AE21)*10000</f>
        <v>-105.83096994285057</v>
      </c>
      <c r="AF23" s="1335">
        <f t="shared" si="55" ref="AF23">(AA21-AF21)*10000</f>
        <v>286.73159288713947</v>
      </c>
      <c r="AG23" s="945">
        <f t="shared" si="56" ref="AG23">(AB21-AG21)*10000</f>
        <v>-35.779686046040204</v>
      </c>
      <c r="AH23" s="945">
        <f t="shared" si="57" ref="AH23">(AC21-AH21)*10000</f>
        <v>51.419929313278878</v>
      </c>
      <c r="AI23" s="945">
        <f t="shared" si="58" ref="AI23">(AD21-AI21)*10000</f>
        <v>-159.91322334760304</v>
      </c>
      <c r="AJ23" s="945">
        <f t="shared" si="59" ref="AJ23">(AE21-AJ21)*10000</f>
        <v>10.779789759062242</v>
      </c>
      <c r="AK23" s="1335">
        <f t="shared" si="60" ref="AK23">(AF21-AK21)*10000</f>
        <v>-34.065541155531285</v>
      </c>
      <c r="AL23" s="945">
        <f t="shared" si="61" ref="AL23">(AG21-AL21)*10000</f>
        <v>188.91897933320135</v>
      </c>
      <c r="AM23" s="945">
        <f t="shared" si="62" ref="AM23">(AH21-AM21)*10000</f>
        <v>267.52080412046797</v>
      </c>
      <c r="AN23" s="945">
        <f t="shared" si="63" ref="AN23">(AI21-AN21)*10000</f>
        <v>407.54677398935235</v>
      </c>
      <c r="AO23" s="945">
        <f t="shared" si="64" ref="AO23">(AJ21-AO21)*10000</f>
        <v>394.00707628349795</v>
      </c>
      <c r="AP23" s="1335">
        <f t="shared" si="65" ref="AP23">(AK21-AP21)*10000</f>
        <v>320.06573517421532</v>
      </c>
      <c r="AQ23" s="945">
        <f t="shared" si="66" ref="AQ23">(AL21-AQ21)*10000</f>
        <v>-236.19187167136513</v>
      </c>
      <c r="AR23" s="945">
        <f t="shared" si="67" ref="AR23">(AM21-AR21)*10000</f>
        <v>-883.63862396052207</v>
      </c>
      <c r="AS23" s="945">
        <f t="shared" si="68" ref="AS23">(AN21-AS21)*10000</f>
        <v>-1261.6016589746305</v>
      </c>
      <c r="AT23" s="945">
        <f t="shared" si="69" ref="AT23">(AO21-AT21)*10000</f>
        <v>-630.80352206451255</v>
      </c>
      <c r="AU23" s="1335">
        <f t="shared" si="70" ref="AU23">(AP21-AU21)*10000</f>
        <v>-762.84200482038318</v>
      </c>
      <c r="AV23" s="945">
        <f t="shared" si="71" ref="AV23:AZ23">(AQ21-AV21)*10000</f>
        <v>-525.04403454013413</v>
      </c>
      <c r="AW23" s="945">
        <f t="shared" si="71"/>
        <v>94.725627840975818</v>
      </c>
      <c r="AX23" s="945">
        <f t="shared" si="71"/>
        <v>117.32290810309686</v>
      </c>
      <c r="AY23" s="945">
        <f t="shared" si="71"/>
        <v>81.457706315249951</v>
      </c>
      <c r="AZ23" s="1335">
        <f t="shared" si="71"/>
        <v>-46.347152370042053</v>
      </c>
      <c r="BA23" s="945">
        <f t="shared" si="72" ref="BA23:BO23">(AV21-BA21)*10000</f>
        <v>-445.06306796108896</v>
      </c>
      <c r="BB23" s="945">
        <f t="shared" si="72"/>
        <v>-487.74046370832713</v>
      </c>
      <c r="BC23" s="945">
        <f t="shared" si="72"/>
        <v>686.78702717201338</v>
      </c>
      <c r="BD23" s="945">
        <f t="shared" si="72"/>
        <v>520.86702182629892</v>
      </c>
      <c r="BE23" s="1335">
        <f t="shared" si="72"/>
        <v>90.909653423409949</v>
      </c>
      <c r="BF23" s="945">
        <f>(BA21-BF21)*10000</f>
        <v>1288.615365998066</v>
      </c>
      <c r="BG23" s="945">
        <f>(BB21-BG21)*10000</f>
        <v>850.17174190713638</v>
      </c>
      <c r="BH23" s="446">
        <f>(BC21-BH21)*10000</f>
        <v>332.65593418976277</v>
      </c>
      <c r="BI23" s="945">
        <f t="shared" si="72"/>
        <v>-547.96066195173637</v>
      </c>
      <c r="BJ23" s="1335">
        <f t="shared" si="72"/>
        <v>340.13447389328655</v>
      </c>
      <c r="BK23" s="945">
        <f t="shared" si="72"/>
        <v>-784.46593192535113</v>
      </c>
      <c r="BL23" s="945">
        <f t="shared" si="72"/>
        <v>-428.93940905446181</v>
      </c>
      <c r="BM23" s="945">
        <f t="shared" si="72"/>
        <v>-687.6108319025609</v>
      </c>
      <c r="BN23" s="945">
        <f t="shared" si="72"/>
        <v>259.12696435749672</v>
      </c>
      <c r="BO23" s="1335">
        <f t="shared" si="72"/>
        <v>-293.12920402393752</v>
      </c>
      <c r="BP23" s="1335">
        <f>((BO21-BP21)*10000)</f>
        <v>3.7366720268205977</v>
      </c>
      <c r="BQ23" s="1335">
        <f>((BP21-BQ21)*10000)</f>
        <v>10.000000000001119</v>
      </c>
      <c r="BR23" s="1335">
        <f>((BQ21-BR21)*10000)</f>
        <v>9.9999999999988987</v>
      </c>
      <c r="BS23" s="648"/>
    </row>
    <row r="24" spans="1:71" s="669" customFormat="1" ht="7.5" customHeight="1">
      <c r="A24" s="107"/>
      <c r="B24" s="108"/>
      <c r="C24" s="1325"/>
      <c r="D24" s="1325"/>
      <c r="E24" s="1325"/>
      <c r="F24" s="1325"/>
      <c r="G24" s="1325"/>
      <c r="H24" s="726"/>
      <c r="I24" s="726"/>
      <c r="J24" s="726"/>
      <c r="K24" s="726"/>
      <c r="L24" s="1325"/>
      <c r="M24" s="726"/>
      <c r="N24" s="726"/>
      <c r="O24" s="726"/>
      <c r="P24" s="726"/>
      <c r="Q24" s="1325"/>
      <c r="R24" s="726"/>
      <c r="S24" s="726"/>
      <c r="T24" s="726"/>
      <c r="U24" s="726"/>
      <c r="V24" s="1325"/>
      <c r="W24" s="726"/>
      <c r="X24" s="726"/>
      <c r="Y24" s="726"/>
      <c r="Z24" s="726"/>
      <c r="AA24" s="1325"/>
      <c r="AB24" s="726"/>
      <c r="AC24" s="726"/>
      <c r="AD24" s="726"/>
      <c r="AE24" s="726"/>
      <c r="AF24" s="1325"/>
      <c r="AG24" s="726"/>
      <c r="AH24" s="726"/>
      <c r="AI24" s="726"/>
      <c r="AJ24" s="726"/>
      <c r="AK24" s="1325"/>
      <c r="AL24" s="726"/>
      <c r="AM24" s="726"/>
      <c r="AN24" s="726"/>
      <c r="AO24" s="726"/>
      <c r="AP24" s="1325"/>
      <c r="AQ24" s="726"/>
      <c r="AR24" s="726"/>
      <c r="AS24" s="726"/>
      <c r="AT24" s="726"/>
      <c r="AU24" s="1325"/>
      <c r="AV24" s="726"/>
      <c r="AW24" s="726"/>
      <c r="AX24" s="726"/>
      <c r="AY24" s="726"/>
      <c r="AZ24" s="1325"/>
      <c r="BA24" s="726"/>
      <c r="BB24" s="726"/>
      <c r="BC24" s="726"/>
      <c r="BD24" s="726"/>
      <c r="BE24" s="1325"/>
      <c r="BF24" s="726"/>
      <c r="BG24" s="726"/>
      <c r="BH24" s="808"/>
      <c r="BI24" s="98"/>
      <c r="BJ24" s="1326"/>
      <c r="BK24" s="98"/>
      <c r="BL24" s="98"/>
      <c r="BM24" s="98"/>
      <c r="BN24" s="98"/>
      <c r="BO24" s="1326"/>
      <c r="BP24" s="1325"/>
      <c r="BQ24" s="1325"/>
      <c r="BR24" s="1326"/>
      <c r="BS24" s="648"/>
    </row>
    <row r="25" spans="1:71" s="674" customFormat="1" ht="15">
      <c r="A25" s="515" t="str">
        <f>A643</f>
        <v>Adjusted Earnings Per Share (No Adjustments) - WAD</v>
      </c>
      <c r="B25" s="516"/>
      <c r="C25" s="1336">
        <f t="shared" si="73" ref="C25:AU25">C643</f>
        <v>1.5731925022314792</v>
      </c>
      <c r="D25" s="1336">
        <f t="shared" si="73"/>
        <v>1.6105834464043429</v>
      </c>
      <c r="E25" s="1336">
        <f t="shared" si="73"/>
        <v>1.5944418276024515</v>
      </c>
      <c r="F25" s="1336">
        <f t="shared" si="73"/>
        <v>1.4845343863112828</v>
      </c>
      <c r="G25" s="1336">
        <f t="shared" si="73"/>
        <v>1.9307488402915869</v>
      </c>
      <c r="H25" s="518">
        <f t="shared" si="73"/>
        <v>0.53756064915509483</v>
      </c>
      <c r="I25" s="518">
        <f t="shared" si="73"/>
        <v>0.49269521410579209</v>
      </c>
      <c r="J25" s="518">
        <f t="shared" si="73"/>
        <v>0.49873673572511396</v>
      </c>
      <c r="K25" s="518">
        <f t="shared" si="73"/>
        <v>0.62565489268209795</v>
      </c>
      <c r="L25" s="1336">
        <f t="shared" si="73"/>
        <v>2.1536650975117713</v>
      </c>
      <c r="M25" s="518">
        <f t="shared" si="73"/>
        <v>0.50016920473773308</v>
      </c>
      <c r="N25" s="518">
        <f t="shared" si="73"/>
        <v>0.61628498727735403</v>
      </c>
      <c r="O25" s="518">
        <f t="shared" si="73"/>
        <v>0.47241554914275974</v>
      </c>
      <c r="P25" s="518">
        <f t="shared" si="73"/>
        <v>0.56276613864758218</v>
      </c>
      <c r="Q25" s="1336">
        <f t="shared" si="73"/>
        <v>2.1513917175831625</v>
      </c>
      <c r="R25" s="518">
        <f t="shared" si="73"/>
        <v>0.44099060631938375</v>
      </c>
      <c r="S25" s="518">
        <f t="shared" si="73"/>
        <v>0.32626901384378965</v>
      </c>
      <c r="T25" s="518">
        <f t="shared" si="73"/>
        <v>0.33989052343482756</v>
      </c>
      <c r="U25" s="518">
        <f t="shared" si="73"/>
        <v>0.65740264196259968</v>
      </c>
      <c r="V25" s="1336">
        <f t="shared" si="73"/>
        <v>1.7623931623931681</v>
      </c>
      <c r="W25" s="518">
        <f t="shared" si="73"/>
        <v>0.72741299502828627</v>
      </c>
      <c r="X25" s="518">
        <f t="shared" si="73"/>
        <v>0.62966769441589765</v>
      </c>
      <c r="Y25" s="518">
        <f t="shared" si="73"/>
        <v>0.38251366120218555</v>
      </c>
      <c r="Z25" s="518">
        <f t="shared" si="73"/>
        <v>0.98361495135688948</v>
      </c>
      <c r="AA25" s="1336">
        <f t="shared" si="73"/>
        <v>2.7184565477206752</v>
      </c>
      <c r="AB25" s="518">
        <f t="shared" si="73"/>
        <v>1.2240437158469948</v>
      </c>
      <c r="AC25" s="518">
        <f t="shared" si="73"/>
        <v>1.1906794127688627</v>
      </c>
      <c r="AD25" s="518">
        <f t="shared" si="73"/>
        <v>1.5712580975110819</v>
      </c>
      <c r="AE25" s="518">
        <f t="shared" si="73"/>
        <v>0.43965223320831809</v>
      </c>
      <c r="AF25" s="1336">
        <f t="shared" si="73"/>
        <v>4.4211692517470587</v>
      </c>
      <c r="AG25" s="518">
        <f t="shared" si="73"/>
        <v>1.8269689737470132</v>
      </c>
      <c r="AH25" s="518">
        <f t="shared" si="73"/>
        <v>1.6573521894700947</v>
      </c>
      <c r="AI25" s="518">
        <f t="shared" si="73"/>
        <v>1.4222449327201492</v>
      </c>
      <c r="AJ25" s="518">
        <f t="shared" si="73"/>
        <v>1.8126064735945504</v>
      </c>
      <c r="AK25" s="1336">
        <f t="shared" si="73"/>
        <v>6.7155994550408638</v>
      </c>
      <c r="AL25" s="518">
        <f t="shared" si="73"/>
        <v>1.1688532969841567</v>
      </c>
      <c r="AM25" s="518">
        <f t="shared" si="73"/>
        <v>3.0376362397820138</v>
      </c>
      <c r="AN25" s="518">
        <f t="shared" si="73"/>
        <v>2.5876061120543281</v>
      </c>
      <c r="AO25" s="518">
        <f t="shared" si="73"/>
        <v>2.8548332198774675</v>
      </c>
      <c r="AP25" s="1336">
        <f t="shared" si="73"/>
        <v>9.6625255275697732</v>
      </c>
      <c r="AQ25" s="518">
        <f t="shared" si="73"/>
        <v>2.5103084000681557</v>
      </c>
      <c r="AR25" s="518">
        <f t="shared" si="73"/>
        <v>1.3350374914792089</v>
      </c>
      <c r="AS25" s="518">
        <f t="shared" si="73"/>
        <v>0.19042752512348521</v>
      </c>
      <c r="AT25" s="518">
        <f t="shared" si="73"/>
        <v>1.6297117516629591</v>
      </c>
      <c r="AU25" s="1336">
        <f t="shared" si="73"/>
        <v>5.66172713336739</v>
      </c>
      <c r="AV25" s="518">
        <f t="shared" si="74" ref="AV25:AZ25">AV643</f>
        <v>0.52405322415558264</v>
      </c>
      <c r="AW25" s="518">
        <f t="shared" si="74"/>
        <v>-0.93708439897698548</v>
      </c>
      <c r="AX25" s="518">
        <f t="shared" si="74"/>
        <v>0.19996593425310771</v>
      </c>
      <c r="AY25" s="518">
        <f t="shared" si="74"/>
        <v>1.3960143076136924</v>
      </c>
      <c r="AZ25" s="1336">
        <f t="shared" si="74"/>
        <v>1.1831033895418286</v>
      </c>
      <c r="BA25" s="518">
        <f t="shared" si="75" ref="BA25:BI25">BA643</f>
        <v>0.75059625212947279</v>
      </c>
      <c r="BB25" s="518">
        <f t="shared" si="75"/>
        <v>0.5721342190427553</v>
      </c>
      <c r="BC25" s="518">
        <f t="shared" si="75"/>
        <v>1.8908936170212782</v>
      </c>
      <c r="BD25" s="518">
        <f t="shared" si="75"/>
        <v>3.3657872340425632</v>
      </c>
      <c r="BE25" s="1336">
        <f t="shared" si="75"/>
        <v>6.5783829787234049</v>
      </c>
      <c r="BF25" s="518">
        <f>BF643</f>
        <v>3.9407457857994208</v>
      </c>
      <c r="BG25" s="518">
        <f>BG643</f>
        <v>2.4833163091590027</v>
      </c>
      <c r="BH25" s="811">
        <f>BH643</f>
        <v>3.971068754254619</v>
      </c>
      <c r="BI25" s="519">
        <f t="shared" ca="1" si="75"/>
        <v>2.7899714313065687</v>
      </c>
      <c r="BJ25" s="1337">
        <f ca="1" t="shared" si="76" ref="BJ25:BJ26">BJ643</f>
        <v>13.179971347609799</v>
      </c>
      <c r="BK25" s="519">
        <f ca="1" t="shared" si="77" ref="BK25:BR26">BK643</f>
        <v>3.4488521875836851</v>
      </c>
      <c r="BL25" s="519">
        <f t="shared" ca="1" si="77"/>
        <v>2.4217355525659281</v>
      </c>
      <c r="BM25" s="519">
        <f t="shared" ca="1" si="77"/>
        <v>2.0999202873443239</v>
      </c>
      <c r="BN25" s="519">
        <f t="shared" ca="1" si="77"/>
        <v>3.7282634414925906</v>
      </c>
      <c r="BO25" s="1337">
        <f t="shared" ca="1" si="77"/>
        <v>11.698771468986532</v>
      </c>
      <c r="BP25" s="1337">
        <f t="shared" ca="1" si="77"/>
        <v>12.618709823758035</v>
      </c>
      <c r="BQ25" s="1337">
        <f t="shared" ca="1" si="77"/>
        <v>13.330449834265808</v>
      </c>
      <c r="BR25" s="1337">
        <f t="shared" ca="1" si="77"/>
        <v>14.078988831897378</v>
      </c>
      <c r="BS25" s="648"/>
    </row>
    <row r="26" spans="1:71" s="675" customFormat="1" ht="15">
      <c r="A26" s="525" t="str">
        <f>A644</f>
        <v xml:space="preserve">Consensus Estimates - Adjusted Earnings Per Share </v>
      </c>
      <c r="B26" s="526"/>
      <c r="C26" s="1338"/>
      <c r="D26" s="1338"/>
      <c r="E26" s="1338"/>
      <c r="F26" s="1338"/>
      <c r="G26" s="1338"/>
      <c r="H26" s="528"/>
      <c r="I26" s="528"/>
      <c r="J26" s="528"/>
      <c r="K26" s="528"/>
      <c r="L26" s="1338"/>
      <c r="M26" s="528"/>
      <c r="N26" s="528"/>
      <c r="O26" s="528"/>
      <c r="P26" s="528"/>
      <c r="Q26" s="1338"/>
      <c r="R26" s="528"/>
      <c r="S26" s="528"/>
      <c r="T26" s="528"/>
      <c r="U26" s="528"/>
      <c r="V26" s="1338"/>
      <c r="W26" s="528"/>
      <c r="X26" s="528"/>
      <c r="Y26" s="528"/>
      <c r="Z26" s="528"/>
      <c r="AA26" s="1338"/>
      <c r="AB26" s="528"/>
      <c r="AC26" s="528"/>
      <c r="AD26" s="528"/>
      <c r="AE26" s="528"/>
      <c r="AF26" s="1338"/>
      <c r="AG26" s="528"/>
      <c r="AH26" s="528"/>
      <c r="AI26" s="528"/>
      <c r="AJ26" s="528"/>
      <c r="AK26" s="1338"/>
      <c r="AL26" s="528"/>
      <c r="AM26" s="528"/>
      <c r="AN26" s="528"/>
      <c r="AO26" s="528"/>
      <c r="AP26" s="1338"/>
      <c r="AQ26" s="528"/>
      <c r="AR26" s="528"/>
      <c r="AS26" s="528"/>
      <c r="AT26" s="528"/>
      <c r="AU26" s="1338"/>
      <c r="AV26" s="528"/>
      <c r="AW26" s="528"/>
      <c r="AX26" s="528"/>
      <c r="AY26" s="528"/>
      <c r="AZ26" s="1338"/>
      <c r="BA26" s="528"/>
      <c r="BB26" s="528"/>
      <c r="BC26" s="528"/>
      <c r="BD26" s="528"/>
      <c r="BE26" s="1338"/>
      <c r="BF26" s="528"/>
      <c r="BG26" s="528"/>
      <c r="BH26" s="812"/>
      <c r="BI26" s="528" t="str">
        <f ca="1">BI644</f>
        <v>N/A</v>
      </c>
      <c r="BJ26" s="1338" t="str">
        <f t="shared" ca="1" si="76"/>
        <v>N/A</v>
      </c>
      <c r="BK26" s="528" t="str">
        <f t="shared" ca="1" si="77"/>
        <v>N/A</v>
      </c>
      <c r="BL26" s="528" t="str">
        <f t="shared" ca="1" si="77"/>
        <v>N/A</v>
      </c>
      <c r="BM26" s="528" t="str">
        <f t="shared" ca="1" si="77"/>
        <v>N/A</v>
      </c>
      <c r="BN26" s="528" t="str">
        <f t="shared" ca="1" si="77"/>
        <v>N/A</v>
      </c>
      <c r="BO26" s="1338" t="str">
        <f t="shared" ca="1" si="77"/>
        <v>N/A</v>
      </c>
      <c r="BP26" s="1338" t="str">
        <f t="shared" ca="1" si="77"/>
        <v>N/A</v>
      </c>
      <c r="BQ26" s="1338" t="str">
        <f t="shared" ca="1" si="77"/>
        <v>N/A</v>
      </c>
      <c r="BR26" s="1338" t="str">
        <f t="shared" ca="1" si="77"/>
        <v>N/A</v>
      </c>
      <c r="BS26" s="648"/>
    </row>
    <row r="27" spans="1:71" s="669" customFormat="1" ht="15">
      <c r="A27" s="107" t="s">
        <v>568</v>
      </c>
      <c r="B27" s="108"/>
      <c r="C27" s="1325"/>
      <c r="D27" s="1325">
        <f>D25/C25-1</f>
        <v>0.02376755808321418</v>
      </c>
      <c r="E27" s="1325">
        <f>E25/D25-1</f>
        <v>-0.010022218245150816</v>
      </c>
      <c r="F27" s="1325">
        <f>F25/E25-1</f>
        <v>-0.068931609412452244</v>
      </c>
      <c r="G27" s="1325">
        <f>G25/F25-1</f>
        <v>0.30057535756314913</v>
      </c>
      <c r="H27" s="726"/>
      <c r="I27" s="726"/>
      <c r="J27" s="726"/>
      <c r="K27" s="726"/>
      <c r="L27" s="1325">
        <f t="shared" si="78" ref="L27:AT27">L25/G25-1</f>
        <v>0.11545585452042473</v>
      </c>
      <c r="M27" s="726">
        <f t="shared" si="78"/>
        <v>-0.069557629406340249</v>
      </c>
      <c r="N27" s="726">
        <f t="shared" si="78"/>
        <v>0.2508442737684573</v>
      </c>
      <c r="O27" s="726">
        <f t="shared" si="78"/>
        <v>-0.052775712509097183</v>
      </c>
      <c r="P27" s="726">
        <f t="shared" si="78"/>
        <v>-0.10051668223182941</v>
      </c>
      <c r="Q27" s="1325">
        <f t="shared" si="78"/>
        <v>-0.0010555865585765156</v>
      </c>
      <c r="R27" s="726">
        <f t="shared" si="78"/>
        <v>-0.11831715718959546</v>
      </c>
      <c r="S27" s="726">
        <f t="shared" si="78"/>
        <v>-0.47058743831292627</v>
      </c>
      <c r="T27" s="726">
        <f t="shared" si="78"/>
        <v>-0.28052638391858753</v>
      </c>
      <c r="U27" s="726">
        <f t="shared" si="78"/>
        <v>0.16816310864481698</v>
      </c>
      <c r="V27" s="1325">
        <f t="shared" si="78"/>
        <v>-0.18081251871090631</v>
      </c>
      <c r="W27" s="726">
        <f t="shared" si="78"/>
        <v>0.6494977094851393</v>
      </c>
      <c r="X27" s="726">
        <f t="shared" si="78"/>
        <v>0.92990344684515014</v>
      </c>
      <c r="Y27" s="726">
        <f t="shared" si="78"/>
        <v>0.12540254825766217</v>
      </c>
      <c r="Z27" s="726">
        <f t="shared" si="78"/>
        <v>0.49621387042257781</v>
      </c>
      <c r="AA27" s="1325">
        <f t="shared" si="78"/>
        <v>0.54248019439048489</v>
      </c>
      <c r="AB27" s="726">
        <f t="shared" si="78"/>
        <v>0.68273556317123041</v>
      </c>
      <c r="AC27" s="726">
        <f t="shared" si="78"/>
        <v>0.89096474748220911</v>
      </c>
      <c r="AD27" s="726">
        <f t="shared" si="78"/>
        <v>3.1077175977789739</v>
      </c>
      <c r="AE27" s="726">
        <f t="shared" si="78"/>
        <v>-0.55302404401049299</v>
      </c>
      <c r="AF27" s="1325">
        <f t="shared" si="78"/>
        <v>0.62635273881940279</v>
      </c>
      <c r="AG27" s="726">
        <f t="shared" si="78"/>
        <v>0.49256840265938995</v>
      </c>
      <c r="AH27" s="726">
        <f t="shared" si="78"/>
        <v>0.39193822593775174</v>
      </c>
      <c r="AI27" s="726">
        <f t="shared" si="78"/>
        <v>-0.094836847636281973</v>
      </c>
      <c r="AJ27" s="726">
        <f t="shared" si="78"/>
        <v>3.1228187569234809</v>
      </c>
      <c r="AK27" s="1325">
        <f t="shared" si="78"/>
        <v>0.51896457082866565</v>
      </c>
      <c r="AL27" s="726">
        <f t="shared" si="78"/>
        <v>-0.36022268917522848</v>
      </c>
      <c r="AM27" s="726">
        <f t="shared" si="78"/>
        <v>0.83282482690250492</v>
      </c>
      <c r="AN27" s="726">
        <f t="shared" si="78"/>
        <v>0.81938149507436742</v>
      </c>
      <c r="AO27" s="726">
        <f t="shared" si="78"/>
        <v>0.57498787600382673</v>
      </c>
      <c r="AP27" s="1325">
        <f t="shared" si="78"/>
        <v>0.43881802246512591</v>
      </c>
      <c r="AQ27" s="726">
        <f t="shared" si="78"/>
        <v>1.147667638483961</v>
      </c>
      <c r="AR27" s="726">
        <f t="shared" si="78"/>
        <v>-0.56050119695207035</v>
      </c>
      <c r="AS27" s="726">
        <f t="shared" si="78"/>
        <v>-0.92640783918526814</v>
      </c>
      <c r="AT27" s="726">
        <f t="shared" si="78"/>
        <v>-0.42913941861272442</v>
      </c>
      <c r="AU27" s="1325">
        <f t="shared" si="79" ref="AU27:AZ27">AU25/AP25-1</f>
        <v>-0.41405307368006783</v>
      </c>
      <c r="AV27" s="726">
        <f t="shared" si="79"/>
        <v>-0.79123950501804696</v>
      </c>
      <c r="AW27" s="726">
        <f t="shared" si="79"/>
        <v>-1.7019161671173031</v>
      </c>
      <c r="AX27" s="726">
        <f t="shared" si="79"/>
        <v>0.050089445438295854</v>
      </c>
      <c r="AY27" s="726">
        <f t="shared" si="79"/>
        <v>-0.14339802349145592</v>
      </c>
      <c r="AZ27" s="1325">
        <f t="shared" si="79"/>
        <v>-0.79103489771359548</v>
      </c>
      <c r="BA27" s="726">
        <f t="shared" si="80" ref="BA27:BO27">BA25/AV25-1</f>
        <v>0.43229011392673611</v>
      </c>
      <c r="BB27" s="726">
        <f t="shared" si="80"/>
        <v>-1.6105471606051216</v>
      </c>
      <c r="BC27" s="726">
        <f t="shared" si="80"/>
        <v>8.4560787270289328</v>
      </c>
      <c r="BD27" s="726">
        <f t="shared" si="80"/>
        <v>1.410997663624197</v>
      </c>
      <c r="BE27" s="1325">
        <f t="shared" si="80"/>
        <v>4.5602773492779569</v>
      </c>
      <c r="BF27" s="726">
        <f>BF25/BA25-1</f>
        <v>4.250153827199858</v>
      </c>
      <c r="BG27" s="726">
        <f>BG25/BB25-1</f>
        <v>3.3404435996047734</v>
      </c>
      <c r="BH27" s="808">
        <f>BH25/BC25-1</f>
        <v>1.100101623120521</v>
      </c>
      <c r="BI27" s="98">
        <f t="shared" ca="1" si="80"/>
        <v>-0.17107908572236052</v>
      </c>
      <c r="BJ27" s="1326">
        <f t="shared" ca="1" si="80"/>
        <v>1.0035275219211228</v>
      </c>
      <c r="BK27" s="98">
        <f t="shared" ca="1" si="80"/>
        <v>-0.12482246380578188</v>
      </c>
      <c r="BL27" s="98">
        <f t="shared" ca="1" si="80"/>
        <v>-0.024797790102675021</v>
      </c>
      <c r="BM27" s="98">
        <f t="shared" ca="1" si="80"/>
        <v>-0.47119518263327453</v>
      </c>
      <c r="BN27" s="98">
        <f t="shared" ca="1" si="80"/>
        <v>0.33630882368806603</v>
      </c>
      <c r="BO27" s="1326">
        <f t="shared" ca="1" si="80"/>
        <v>-0.11238263267483384</v>
      </c>
      <c r="BP27" s="1325">
        <f ca="1">BP25/BO25-1</f>
        <v>0.078635466741979076</v>
      </c>
      <c r="BQ27" s="1325">
        <f ca="1">BQ25/BP25-1</f>
        <v>0.056403548417266469</v>
      </c>
      <c r="BR27" s="1326">
        <f ca="1">BR25/BQ25-1</f>
        <v>0.05615256851328887</v>
      </c>
      <c r="BS27" s="648"/>
    </row>
    <row r="28" spans="1:71" s="676" customFormat="1" ht="15">
      <c r="A28" s="395"/>
      <c r="B28" s="396"/>
      <c r="C28" s="1339"/>
      <c r="D28" s="1339"/>
      <c r="E28" s="1339"/>
      <c r="F28" s="1339"/>
      <c r="G28" s="1339"/>
      <c r="H28" s="381"/>
      <c r="I28" s="381"/>
      <c r="J28" s="381"/>
      <c r="K28" s="381"/>
      <c r="L28" s="1339"/>
      <c r="M28" s="381"/>
      <c r="N28" s="381"/>
      <c r="O28" s="381"/>
      <c r="P28" s="381"/>
      <c r="Q28" s="1339"/>
      <c r="R28" s="381"/>
      <c r="S28" s="381"/>
      <c r="T28" s="381"/>
      <c r="U28" s="381"/>
      <c r="V28" s="1339"/>
      <c r="W28" s="381"/>
      <c r="X28" s="381"/>
      <c r="Y28" s="381"/>
      <c r="Z28" s="381"/>
      <c r="AA28" s="1339"/>
      <c r="AB28" s="381"/>
      <c r="AC28" s="381"/>
      <c r="AD28" s="381"/>
      <c r="AE28" s="381"/>
      <c r="AF28" s="1339"/>
      <c r="AG28" s="381"/>
      <c r="AH28" s="381"/>
      <c r="AI28" s="381"/>
      <c r="AJ28" s="381"/>
      <c r="AK28" s="1339"/>
      <c r="AL28" s="381"/>
      <c r="AM28" s="381"/>
      <c r="AN28" s="381"/>
      <c r="AO28" s="381"/>
      <c r="AP28" s="1339"/>
      <c r="AQ28" s="381"/>
      <c r="AR28" s="381"/>
      <c r="AS28" s="381"/>
      <c r="AT28" s="381"/>
      <c r="AU28" s="1339"/>
      <c r="AV28" s="381"/>
      <c r="AW28" s="381"/>
      <c r="AX28" s="381"/>
      <c r="AY28" s="381"/>
      <c r="AZ28" s="1339"/>
      <c r="BA28" s="381"/>
      <c r="BB28" s="381"/>
      <c r="BC28" s="381"/>
      <c r="BD28" s="381"/>
      <c r="BE28" s="1339"/>
      <c r="BF28" s="381"/>
      <c r="BG28" s="381"/>
      <c r="BH28" s="813"/>
      <c r="BI28" s="909"/>
      <c r="BJ28" s="1340"/>
      <c r="BK28" s="909"/>
      <c r="BL28" s="909"/>
      <c r="BM28" s="909"/>
      <c r="BN28" s="909"/>
      <c r="BO28" s="1340"/>
      <c r="BP28" s="1339"/>
      <c r="BQ28" s="1339"/>
      <c r="BR28" s="1340"/>
      <c r="BS28" s="648"/>
    </row>
    <row r="29" spans="1:71" s="668" customFormat="1" ht="15">
      <c r="A29" s="991" t="s">
        <v>635</v>
      </c>
      <c r="B29" s="991"/>
      <c r="C29" s="1035"/>
      <c r="D29" s="1035"/>
      <c r="E29" s="1035"/>
      <c r="F29" s="1035"/>
      <c r="G29" s="1035"/>
      <c r="H29" s="1035"/>
      <c r="I29" s="1035"/>
      <c r="J29" s="1035"/>
      <c r="K29" s="1035"/>
      <c r="L29" s="1035"/>
      <c r="M29" s="1035"/>
      <c r="N29" s="1035"/>
      <c r="O29" s="1035"/>
      <c r="P29" s="1035"/>
      <c r="Q29" s="1035"/>
      <c r="R29" s="1035"/>
      <c r="S29" s="1035"/>
      <c r="T29" s="1035"/>
      <c r="U29" s="1035"/>
      <c r="V29" s="1035"/>
      <c r="W29" s="1035"/>
      <c r="X29" s="1035"/>
      <c r="Y29" s="1035"/>
      <c r="Z29" s="1035"/>
      <c r="AA29" s="1035"/>
      <c r="AB29" s="1035"/>
      <c r="AC29" s="1035"/>
      <c r="AD29" s="1035"/>
      <c r="AE29" s="1035"/>
      <c r="AF29" s="1035"/>
      <c r="AG29" s="1035"/>
      <c r="AH29" s="1035"/>
      <c r="AI29" s="1035"/>
      <c r="AJ29" s="1035"/>
      <c r="AK29" s="1035"/>
      <c r="AL29" s="1035"/>
      <c r="AM29" s="1035"/>
      <c r="AN29" s="1035"/>
      <c r="AO29" s="1035"/>
      <c r="AP29" s="1035"/>
      <c r="AQ29" s="1035"/>
      <c r="AR29" s="1035"/>
      <c r="AS29" s="1035"/>
      <c r="AT29" s="1035"/>
      <c r="AU29" s="1035"/>
      <c r="AV29" s="1035"/>
      <c r="AW29" s="1035"/>
      <c r="AX29" s="1035"/>
      <c r="AY29" s="1035"/>
      <c r="AZ29" s="1035"/>
      <c r="BA29" s="1035"/>
      <c r="BB29" s="1035"/>
      <c r="BC29" s="1035"/>
      <c r="BD29" s="1035"/>
      <c r="BE29" s="1035"/>
      <c r="BF29" s="1035"/>
      <c r="BG29" s="1035"/>
      <c r="BH29" s="1036"/>
      <c r="BI29" s="1037"/>
      <c r="BJ29" s="1037"/>
      <c r="BK29" s="1037"/>
      <c r="BL29" s="1037"/>
      <c r="BM29" s="1037"/>
      <c r="BN29" s="1037"/>
      <c r="BO29" s="1037"/>
      <c r="BP29" s="1035"/>
      <c r="BQ29" s="1035"/>
      <c r="BR29" s="1037"/>
      <c r="BS29" s="648"/>
    </row>
    <row r="30" spans="1:71" s="668" customFormat="1" ht="15" hidden="1" outlineLevel="1">
      <c r="A30" s="991" t="s">
        <v>356</v>
      </c>
      <c r="B30" s="991"/>
      <c r="C30" s="1035"/>
      <c r="D30" s="1035"/>
      <c r="E30" s="1035"/>
      <c r="F30" s="1035"/>
      <c r="G30" s="1035"/>
      <c r="H30" s="1035"/>
      <c r="I30" s="1035"/>
      <c r="J30" s="1035"/>
      <c r="K30" s="1035"/>
      <c r="L30" s="1035"/>
      <c r="M30" s="1035"/>
      <c r="N30" s="1035"/>
      <c r="O30" s="1035"/>
      <c r="P30" s="1035"/>
      <c r="Q30" s="1035"/>
      <c r="R30" s="1035"/>
      <c r="S30" s="1035"/>
      <c r="T30" s="1035"/>
      <c r="U30" s="1035"/>
      <c r="V30" s="1035"/>
      <c r="W30" s="1035"/>
      <c r="X30" s="1035"/>
      <c r="Y30" s="1035"/>
      <c r="Z30" s="1035"/>
      <c r="AA30" s="1035"/>
      <c r="AB30" s="1035"/>
      <c r="AC30" s="1035"/>
      <c r="AD30" s="1035"/>
      <c r="AE30" s="1035"/>
      <c r="AF30" s="1035"/>
      <c r="AG30" s="1035"/>
      <c r="AH30" s="1035"/>
      <c r="AI30" s="1035"/>
      <c r="AJ30" s="1035"/>
      <c r="AK30" s="1035"/>
      <c r="AL30" s="1035"/>
      <c r="AM30" s="1035"/>
      <c r="AN30" s="1035"/>
      <c r="AO30" s="1035"/>
      <c r="AP30" s="1035"/>
      <c r="AQ30" s="1035"/>
      <c r="AR30" s="1035"/>
      <c r="AS30" s="1035"/>
      <c r="AT30" s="1035"/>
      <c r="AU30" s="1035"/>
      <c r="AV30" s="1035"/>
      <c r="AW30" s="1035"/>
      <c r="AX30" s="1035"/>
      <c r="AY30" s="1035"/>
      <c r="AZ30" s="1035"/>
      <c r="BA30" s="1035"/>
      <c r="BB30" s="1035"/>
      <c r="BC30" s="1035"/>
      <c r="BD30" s="1035"/>
      <c r="BE30" s="1035"/>
      <c r="BF30" s="1035"/>
      <c r="BG30" s="1035"/>
      <c r="BH30" s="1036"/>
      <c r="BI30" s="1037"/>
      <c r="BJ30" s="1037"/>
      <c r="BK30" s="1037"/>
      <c r="BL30" s="1037"/>
      <c r="BM30" s="1037"/>
      <c r="BN30" s="1037"/>
      <c r="BO30" s="1037"/>
      <c r="BP30" s="1035"/>
      <c r="BQ30" s="1035"/>
      <c r="BR30" s="1037"/>
      <c r="BS30" s="648"/>
    </row>
    <row r="31" spans="1:71" s="668" customFormat="1" ht="15" hidden="1" outlineLevel="2">
      <c r="A31" s="25" t="s">
        <v>496</v>
      </c>
      <c r="B31" s="394"/>
      <c r="C31" s="1322"/>
      <c r="D31" s="1320">
        <f t="shared" si="81" ref="D31:K31">C33</f>
        <v>3440.30</v>
      </c>
      <c r="E31" s="1320">
        <f t="shared" si="81"/>
        <v>3612.20</v>
      </c>
      <c r="F31" s="1320">
        <f t="shared" si="81"/>
        <v>3790.80</v>
      </c>
      <c r="G31" s="1320">
        <f t="shared" si="81"/>
        <v>3944.80</v>
      </c>
      <c r="H31" s="1021">
        <f t="shared" si="81"/>
        <v>3990.30</v>
      </c>
      <c r="I31" s="1021">
        <f t="shared" si="81"/>
        <v>3982.90</v>
      </c>
      <c r="J31" s="1021">
        <f t="shared" si="81"/>
        <v>4064.30</v>
      </c>
      <c r="K31" s="1021">
        <f t="shared" si="81"/>
        <v>4081.80</v>
      </c>
      <c r="L31" s="1320">
        <f>G33</f>
        <v>3990.30</v>
      </c>
      <c r="M31" s="1021">
        <f>K33</f>
        <v>4030.90</v>
      </c>
      <c r="N31" s="1021">
        <f>M33</f>
        <v>4046.90</v>
      </c>
      <c r="O31" s="1021">
        <f>N33</f>
        <v>4127.80</v>
      </c>
      <c r="P31" s="1021">
        <f>O33</f>
        <v>4150</v>
      </c>
      <c r="Q31" s="1320">
        <f>L33</f>
        <v>4030.90</v>
      </c>
      <c r="R31" s="1021">
        <f>P33</f>
        <v>4111.3999999999996</v>
      </c>
      <c r="S31" s="1021">
        <f>R33</f>
        <v>4145</v>
      </c>
      <c r="T31" s="1021">
        <f>S33</f>
        <v>4257.30</v>
      </c>
      <c r="U31" s="1021">
        <f>T33</f>
        <v>4291.1000000000004</v>
      </c>
      <c r="V31" s="1320">
        <f>Q33</f>
        <v>4111.3999999999996</v>
      </c>
      <c r="W31" s="1021">
        <f>U33</f>
        <v>4263.1000000000004</v>
      </c>
      <c r="X31" s="1021">
        <f>W33</f>
        <v>4255.3999999999996</v>
      </c>
      <c r="Y31" s="1021">
        <f>X33</f>
        <v>4356.30</v>
      </c>
      <c r="Z31" s="1021">
        <f>Y33</f>
        <v>4396.1000000000004</v>
      </c>
      <c r="AA31" s="1320">
        <f>V33</f>
        <v>4263.1000000000004</v>
      </c>
      <c r="AB31" s="1021">
        <f>Z33</f>
        <v>4365.70</v>
      </c>
      <c r="AC31" s="1021">
        <f>AB33</f>
        <v>4286.20</v>
      </c>
      <c r="AD31" s="1021">
        <f>AC33</f>
        <v>4387.3999999999996</v>
      </c>
      <c r="AE31" s="1021">
        <f>AD33</f>
        <v>4418.8999999999996</v>
      </c>
      <c r="AF31" s="1320">
        <f>AA33</f>
        <v>4365.70</v>
      </c>
      <c r="AG31" s="1021">
        <f>AE33</f>
        <v>4382.20</v>
      </c>
      <c r="AH31" s="1021">
        <f>AG33</f>
        <v>4402.1000000000004</v>
      </c>
      <c r="AI31" s="1021">
        <f>AH33</f>
        <v>4510.20</v>
      </c>
      <c r="AJ31" s="1021">
        <f>AI33</f>
        <v>4567.6000000000004</v>
      </c>
      <c r="AK31" s="1320">
        <f>AF33</f>
        <v>4382.20</v>
      </c>
      <c r="AL31" s="1021">
        <f>AJ33</f>
        <v>4547.80</v>
      </c>
      <c r="AM31" s="1021">
        <f>AL33</f>
        <v>4574.50</v>
      </c>
      <c r="AN31" s="1021">
        <f>AM33</f>
        <v>4790.50</v>
      </c>
      <c r="AO31" s="1021">
        <f>AN33</f>
        <v>4905.80</v>
      </c>
      <c r="AP31" s="1320">
        <f>AK33</f>
        <v>4547.80</v>
      </c>
      <c r="AQ31" s="1021">
        <f>AO33</f>
        <v>4915.1000000000004</v>
      </c>
      <c r="AR31" s="1021">
        <f>AQ33</f>
        <v>5026.70</v>
      </c>
      <c r="AS31" s="1021">
        <f>AR33</f>
        <v>5211.70</v>
      </c>
      <c r="AT31" s="1021">
        <f>AS33</f>
        <v>5282.40</v>
      </c>
      <c r="AU31" s="1320">
        <f>AP33</f>
        <v>4915.1000000000004</v>
      </c>
      <c r="AV31" s="1021">
        <f>AT33</f>
        <v>5288.50</v>
      </c>
      <c r="AW31" s="1021">
        <f>AV33</f>
        <v>5345.90</v>
      </c>
      <c r="AX31" s="1021">
        <f>AW33</f>
        <v>5485</v>
      </c>
      <c r="AY31" s="1021">
        <f>AX33</f>
        <v>5558</v>
      </c>
      <c r="AZ31" s="1320">
        <f>AU33</f>
        <v>5288.50</v>
      </c>
      <c r="BA31" s="1021">
        <f>AY33</f>
        <v>5558.10</v>
      </c>
      <c r="BB31" s="1021">
        <f>BA33</f>
        <v>5637.30</v>
      </c>
      <c r="BC31" s="1021">
        <f>BB33</f>
        <v>5843.10</v>
      </c>
      <c r="BD31" s="1021">
        <f>BC33</f>
        <v>5956.20</v>
      </c>
      <c r="BE31" s="1320">
        <f>AZ33</f>
        <v>5558.10</v>
      </c>
      <c r="BF31" s="1021">
        <f>BD33</f>
        <v>5968.60</v>
      </c>
      <c r="BG31" s="1021">
        <f>BF33</f>
        <v>6075.70</v>
      </c>
      <c r="BH31" s="1022">
        <f>BG33</f>
        <v>6311.80</v>
      </c>
      <c r="BI31" s="1023">
        <f>BH33</f>
        <v>6475</v>
      </c>
      <c r="BJ31" s="1321">
        <f>BE33</f>
        <v>5968.60</v>
      </c>
      <c r="BK31" s="1023">
        <f>BI33</f>
        <v>6604.50</v>
      </c>
      <c r="BL31" s="1023">
        <f>BK33</f>
        <v>6736.5900000000001</v>
      </c>
      <c r="BM31" s="1023">
        <f>BL33</f>
        <v>6871.3218000000006</v>
      </c>
      <c r="BN31" s="1023">
        <f>BM33</f>
        <v>7008.7482360000004</v>
      </c>
      <c r="BO31" s="1321">
        <f>BJ33</f>
        <v>6604.50</v>
      </c>
      <c r="BP31" s="1322">
        <f>BO33</f>
        <v>7148.9232007200008</v>
      </c>
      <c r="BQ31" s="1322">
        <f>BP33</f>
        <v>7291.9016647344006</v>
      </c>
      <c r="BR31" s="1321">
        <f>BQ33</f>
        <v>7437.7396980290887</v>
      </c>
      <c r="BS31" s="648"/>
    </row>
    <row r="32" spans="1:71" s="665" customFormat="1" ht="15" hidden="1" outlineLevel="2">
      <c r="A32" s="1000" t="s">
        <v>594</v>
      </c>
      <c r="B32" s="260"/>
      <c r="C32" s="1324"/>
      <c r="D32" s="1323">
        <f t="shared" si="82" ref="D32:AI32">D33-D31</f>
        <v>171.89999999999964</v>
      </c>
      <c r="E32" s="1323">
        <f t="shared" si="82"/>
        <v>178.60000000000036</v>
      </c>
      <c r="F32" s="1323">
        <f t="shared" si="82"/>
        <v>154</v>
      </c>
      <c r="G32" s="1323">
        <f t="shared" si="82"/>
        <v>45.50</v>
      </c>
      <c r="H32" s="1027">
        <f t="shared" si="82"/>
        <v>-7.4000000000000909</v>
      </c>
      <c r="I32" s="1027">
        <f t="shared" si="82"/>
        <v>81.400000000000091</v>
      </c>
      <c r="J32" s="1027">
        <f t="shared" si="82"/>
        <v>17.50</v>
      </c>
      <c r="K32" s="1027">
        <f t="shared" si="82"/>
        <v>-50.900000000000091</v>
      </c>
      <c r="L32" s="1323">
        <f t="shared" si="82"/>
        <v>40.599999999999909</v>
      </c>
      <c r="M32" s="1027">
        <f t="shared" si="82"/>
        <v>16</v>
      </c>
      <c r="N32" s="1027">
        <f t="shared" si="82"/>
        <v>80.900000000000091</v>
      </c>
      <c r="O32" s="1027">
        <f t="shared" si="82"/>
        <v>22.199999999999818</v>
      </c>
      <c r="P32" s="1027">
        <f t="shared" si="82"/>
        <v>-38.600000000000364</v>
      </c>
      <c r="Q32" s="1323">
        <f t="shared" si="82"/>
        <v>80.499999999999545</v>
      </c>
      <c r="R32" s="1027">
        <f t="shared" si="82"/>
        <v>33.600000000000364</v>
      </c>
      <c r="S32" s="1027">
        <f t="shared" si="82"/>
        <v>112.30000000000018</v>
      </c>
      <c r="T32" s="1027">
        <f t="shared" si="82"/>
        <v>33.800000000000182</v>
      </c>
      <c r="U32" s="1027">
        <f t="shared" si="82"/>
        <v>-28</v>
      </c>
      <c r="V32" s="1323">
        <f t="shared" si="82"/>
        <v>151.70000000000073</v>
      </c>
      <c r="W32" s="1027">
        <f t="shared" si="82"/>
        <v>-7.7000000000007276</v>
      </c>
      <c r="X32" s="1027">
        <f t="shared" si="82"/>
        <v>100.90000000000055</v>
      </c>
      <c r="Y32" s="1027">
        <f t="shared" si="82"/>
        <v>39.800000000000182</v>
      </c>
      <c r="Z32" s="1027">
        <f t="shared" si="82"/>
        <v>-30.400000000000546</v>
      </c>
      <c r="AA32" s="1323">
        <f t="shared" si="82"/>
        <v>102.59999999999945</v>
      </c>
      <c r="AB32" s="1027">
        <f t="shared" si="82"/>
        <v>-79.50</v>
      </c>
      <c r="AC32" s="1027">
        <f t="shared" si="82"/>
        <v>101.19999999999982</v>
      </c>
      <c r="AD32" s="1027">
        <f t="shared" si="82"/>
        <v>31.50</v>
      </c>
      <c r="AE32" s="1027">
        <f t="shared" si="82"/>
        <v>-36.699999999999818</v>
      </c>
      <c r="AF32" s="1323">
        <f t="shared" si="82"/>
        <v>16.50</v>
      </c>
      <c r="AG32" s="1027">
        <f t="shared" si="82"/>
        <v>19.900000000000546</v>
      </c>
      <c r="AH32" s="1027">
        <f t="shared" si="82"/>
        <v>108.09999999999945</v>
      </c>
      <c r="AI32" s="1027">
        <f t="shared" si="82"/>
        <v>57.400000000000546</v>
      </c>
      <c r="AJ32" s="1027">
        <f t="shared" si="83" ref="AJ32:AU32">AJ33-AJ31</f>
        <v>-19.800000000000182</v>
      </c>
      <c r="AK32" s="1323">
        <f t="shared" si="83"/>
        <v>165.60000000000036</v>
      </c>
      <c r="AL32" s="1027">
        <f t="shared" si="83"/>
        <v>26.699999999999818</v>
      </c>
      <c r="AM32" s="1027">
        <f t="shared" si="83"/>
        <v>216</v>
      </c>
      <c r="AN32" s="1027">
        <f t="shared" si="83"/>
        <v>115.30000000000018</v>
      </c>
      <c r="AO32" s="1027">
        <f t="shared" si="83"/>
        <v>9.3000000000001819</v>
      </c>
      <c r="AP32" s="1323">
        <f t="shared" si="83"/>
        <v>367.30000000000018</v>
      </c>
      <c r="AQ32" s="1027">
        <f t="shared" si="83"/>
        <v>111.59999999999945</v>
      </c>
      <c r="AR32" s="1027">
        <f t="shared" si="83"/>
        <v>185</v>
      </c>
      <c r="AS32" s="1027">
        <f t="shared" si="83"/>
        <v>70.699999999999818</v>
      </c>
      <c r="AT32" s="1027">
        <f t="shared" si="83"/>
        <v>6.1000000000003638</v>
      </c>
      <c r="AU32" s="1323">
        <f t="shared" si="83"/>
        <v>373.39999999999964</v>
      </c>
      <c r="AV32" s="1027">
        <f t="shared" si="84" ref="AV32:AZ32">AV33-AV31</f>
        <v>57.399999999999636</v>
      </c>
      <c r="AW32" s="1027">
        <f t="shared" si="84"/>
        <v>139.10000000000036</v>
      </c>
      <c r="AX32" s="1027">
        <f t="shared" si="84"/>
        <v>73</v>
      </c>
      <c r="AY32" s="1027">
        <f t="shared" si="84"/>
        <v>0.1000000000003638</v>
      </c>
      <c r="AZ32" s="1323">
        <f t="shared" si="84"/>
        <v>269.60000000000036</v>
      </c>
      <c r="BA32" s="1027">
        <f t="shared" si="85" ref="BA32:BR32">BA33-BA31</f>
        <v>79.199999999999818</v>
      </c>
      <c r="BB32" s="1027">
        <f t="shared" si="85"/>
        <v>205.80000000000018</v>
      </c>
      <c r="BC32" s="1027">
        <f t="shared" si="85"/>
        <v>113.09999999999945</v>
      </c>
      <c r="BD32" s="1027">
        <f t="shared" si="85"/>
        <v>12.400000000000546</v>
      </c>
      <c r="BE32" s="1323">
        <f t="shared" si="85"/>
        <v>410.50</v>
      </c>
      <c r="BF32" s="1027">
        <f>BF33-BF31</f>
        <v>107.09999999999945</v>
      </c>
      <c r="BG32" s="1027">
        <f>BG33-BG31</f>
        <v>236.10000000000036</v>
      </c>
      <c r="BH32" s="1028">
        <f>BH33-BH31</f>
        <v>163.19999999999982</v>
      </c>
      <c r="BI32" s="1029">
        <f t="shared" si="85"/>
        <v>129.50</v>
      </c>
      <c r="BJ32" s="1324">
        <f t="shared" si="85"/>
        <v>635.89999999999964</v>
      </c>
      <c r="BK32" s="1029">
        <f t="shared" si="85"/>
        <v>132.09000000000015</v>
      </c>
      <c r="BL32" s="1029">
        <f t="shared" si="85"/>
        <v>134.73180000000048</v>
      </c>
      <c r="BM32" s="1029">
        <f t="shared" si="85"/>
        <v>137.42643599999974</v>
      </c>
      <c r="BN32" s="1029">
        <f t="shared" si="85"/>
        <v>140.17496472000039</v>
      </c>
      <c r="BO32" s="1324">
        <f t="shared" si="85"/>
        <v>544.42320072000075</v>
      </c>
      <c r="BP32" s="1324">
        <f t="shared" si="85"/>
        <v>142.97846401439983</v>
      </c>
      <c r="BQ32" s="1324">
        <f t="shared" si="85"/>
        <v>145.8380332946881</v>
      </c>
      <c r="BR32" s="1324">
        <f t="shared" si="85"/>
        <v>148.75479396058199</v>
      </c>
      <c r="BS32" s="648"/>
    </row>
    <row r="33" spans="1:71" s="668" customFormat="1" ht="15" hidden="1" outlineLevel="2">
      <c r="A33" s="25" t="s">
        <v>497</v>
      </c>
      <c r="B33" s="394"/>
      <c r="C33" s="1320">
        <f t="shared" si="86" ref="C33:AU33">C206</f>
        <v>3440.30</v>
      </c>
      <c r="D33" s="1320">
        <f t="shared" si="86"/>
        <v>3612.20</v>
      </c>
      <c r="E33" s="1320">
        <f t="shared" si="86"/>
        <v>3790.80</v>
      </c>
      <c r="F33" s="1320">
        <f t="shared" si="86"/>
        <v>3944.80</v>
      </c>
      <c r="G33" s="1320">
        <f t="shared" si="86"/>
        <v>3990.30</v>
      </c>
      <c r="H33" s="1021">
        <f t="shared" si="86"/>
        <v>3982.90</v>
      </c>
      <c r="I33" s="1021">
        <f t="shared" si="86"/>
        <v>4064.30</v>
      </c>
      <c r="J33" s="1021">
        <f t="shared" si="86"/>
        <v>4081.80</v>
      </c>
      <c r="K33" s="1021">
        <f t="shared" si="86"/>
        <v>4030.90</v>
      </c>
      <c r="L33" s="1320">
        <f t="shared" si="86"/>
        <v>4030.90</v>
      </c>
      <c r="M33" s="1021">
        <f t="shared" si="86"/>
        <v>4046.90</v>
      </c>
      <c r="N33" s="1021">
        <f t="shared" si="86"/>
        <v>4127.80</v>
      </c>
      <c r="O33" s="1021">
        <f t="shared" si="86"/>
        <v>4150</v>
      </c>
      <c r="P33" s="1021">
        <f t="shared" si="86"/>
        <v>4111.3999999999996</v>
      </c>
      <c r="Q33" s="1320">
        <f t="shared" si="86"/>
        <v>4111.3999999999996</v>
      </c>
      <c r="R33" s="1021">
        <f t="shared" si="86"/>
        <v>4145</v>
      </c>
      <c r="S33" s="1021">
        <f t="shared" si="86"/>
        <v>4257.30</v>
      </c>
      <c r="T33" s="1021">
        <f t="shared" si="86"/>
        <v>4291.1000000000004</v>
      </c>
      <c r="U33" s="1021">
        <f t="shared" si="86"/>
        <v>4263.1000000000004</v>
      </c>
      <c r="V33" s="1320">
        <f t="shared" si="86"/>
        <v>4263.1000000000004</v>
      </c>
      <c r="W33" s="1021">
        <f t="shared" si="86"/>
        <v>4255.3999999999996</v>
      </c>
      <c r="X33" s="1021">
        <f t="shared" si="86"/>
        <v>4356.30</v>
      </c>
      <c r="Y33" s="1021">
        <f t="shared" si="86"/>
        <v>4396.1000000000004</v>
      </c>
      <c r="Z33" s="1021">
        <f t="shared" si="86"/>
        <v>4365.70</v>
      </c>
      <c r="AA33" s="1320">
        <f t="shared" si="86"/>
        <v>4365.70</v>
      </c>
      <c r="AB33" s="1021">
        <f t="shared" si="86"/>
        <v>4286.20</v>
      </c>
      <c r="AC33" s="1021">
        <f t="shared" si="86"/>
        <v>4387.3999999999996</v>
      </c>
      <c r="AD33" s="1021">
        <f t="shared" si="86"/>
        <v>4418.8999999999996</v>
      </c>
      <c r="AE33" s="1021">
        <f t="shared" si="86"/>
        <v>4382.20</v>
      </c>
      <c r="AF33" s="1320">
        <f t="shared" si="86"/>
        <v>4382.20</v>
      </c>
      <c r="AG33" s="1021">
        <f t="shared" si="86"/>
        <v>4402.1000000000004</v>
      </c>
      <c r="AH33" s="1021">
        <f t="shared" si="86"/>
        <v>4510.20</v>
      </c>
      <c r="AI33" s="1021">
        <f t="shared" si="86"/>
        <v>4567.6000000000004</v>
      </c>
      <c r="AJ33" s="1021">
        <f t="shared" si="86"/>
        <v>4547.80</v>
      </c>
      <c r="AK33" s="1320">
        <f t="shared" si="86"/>
        <v>4547.80</v>
      </c>
      <c r="AL33" s="1021">
        <f t="shared" si="86"/>
        <v>4574.50</v>
      </c>
      <c r="AM33" s="1021">
        <f t="shared" si="86"/>
        <v>4790.50</v>
      </c>
      <c r="AN33" s="1021">
        <f t="shared" si="86"/>
        <v>4905.80</v>
      </c>
      <c r="AO33" s="1021">
        <f t="shared" si="86"/>
        <v>4915.1000000000004</v>
      </c>
      <c r="AP33" s="1320">
        <f t="shared" si="86"/>
        <v>4915.1000000000004</v>
      </c>
      <c r="AQ33" s="1021">
        <f t="shared" si="86"/>
        <v>5026.70</v>
      </c>
      <c r="AR33" s="1021">
        <f t="shared" si="86"/>
        <v>5211.70</v>
      </c>
      <c r="AS33" s="1021">
        <f t="shared" si="86"/>
        <v>5282.40</v>
      </c>
      <c r="AT33" s="1021">
        <f t="shared" si="86"/>
        <v>5288.50</v>
      </c>
      <c r="AU33" s="1320">
        <f t="shared" si="86"/>
        <v>5288.50</v>
      </c>
      <c r="AV33" s="1021">
        <f t="shared" si="87" ref="AV33:BA33">AV206</f>
        <v>5345.90</v>
      </c>
      <c r="AW33" s="1021">
        <f t="shared" si="87"/>
        <v>5485</v>
      </c>
      <c r="AX33" s="1021">
        <f t="shared" si="87"/>
        <v>5558</v>
      </c>
      <c r="AY33" s="1021">
        <f t="shared" si="87"/>
        <v>5558.10</v>
      </c>
      <c r="AZ33" s="1320">
        <f t="shared" si="87"/>
        <v>5558.10</v>
      </c>
      <c r="BA33" s="1021">
        <f t="shared" si="87"/>
        <v>5637.30</v>
      </c>
      <c r="BB33" s="1021">
        <f t="shared" si="88" ref="BB33:BG33">BB206</f>
        <v>5843.10</v>
      </c>
      <c r="BC33" s="1021">
        <f t="shared" si="88"/>
        <v>5956.20</v>
      </c>
      <c r="BD33" s="1021">
        <f t="shared" si="88"/>
        <v>5968.60</v>
      </c>
      <c r="BE33" s="1320">
        <f t="shared" si="88"/>
        <v>5968.60</v>
      </c>
      <c r="BF33" s="1021">
        <f t="shared" si="88"/>
        <v>6075.70</v>
      </c>
      <c r="BG33" s="1021">
        <f t="shared" si="88"/>
        <v>6311.80</v>
      </c>
      <c r="BH33" s="1022">
        <f>BH206</f>
        <v>6475</v>
      </c>
      <c r="BI33" s="1023">
        <f>BH33*(1+BI34)</f>
        <v>6604.50</v>
      </c>
      <c r="BJ33" s="1321">
        <f>BI33</f>
        <v>6604.50</v>
      </c>
      <c r="BK33" s="1023">
        <f>BI33*(1+BK34)</f>
        <v>6736.5900000000001</v>
      </c>
      <c r="BL33" s="1023">
        <f>BK33*(1+BL34)</f>
        <v>6871.3218000000006</v>
      </c>
      <c r="BM33" s="1023">
        <f>BL33*(1+BM34)</f>
        <v>7008.7482360000004</v>
      </c>
      <c r="BN33" s="1023">
        <f>BM33*(1+BN34)</f>
        <v>7148.9232007200008</v>
      </c>
      <c r="BO33" s="1321">
        <f>BN33</f>
        <v>7148.9232007200008</v>
      </c>
      <c r="BP33" s="1322">
        <f>BO33*(1+BP35)</f>
        <v>7291.9016647344006</v>
      </c>
      <c r="BQ33" s="1322">
        <f>BP33*(1+BQ35)</f>
        <v>7437.7396980290887</v>
      </c>
      <c r="BR33" s="1321">
        <f>BQ33*(1+BR35)</f>
        <v>7586.4944919896707</v>
      </c>
      <c r="BS33" s="648"/>
    </row>
    <row r="34" spans="1:71" s="669" customFormat="1" ht="15" hidden="1" outlineLevel="2">
      <c r="A34" s="107" t="s">
        <v>505</v>
      </c>
      <c r="B34" s="108"/>
      <c r="C34" s="1325"/>
      <c r="D34" s="1325"/>
      <c r="E34" s="1325"/>
      <c r="F34" s="1325"/>
      <c r="G34" s="1325"/>
      <c r="H34" s="726">
        <f>H33/G33-1</f>
        <v>-0.0018544971556023748</v>
      </c>
      <c r="I34" s="726">
        <f>I33/H33-1</f>
        <v>0.020437369755705648</v>
      </c>
      <c r="J34" s="726">
        <f>J33/I33-1</f>
        <v>0.004305784513938482</v>
      </c>
      <c r="K34" s="726">
        <f>K33/J33-1</f>
        <v>-0.012469988730462123</v>
      </c>
      <c r="L34" s="1325"/>
      <c r="M34" s="726">
        <f>M33/K33-1</f>
        <v>0.0039693368726587686</v>
      </c>
      <c r="N34" s="726">
        <f>N33/M33-1</f>
        <v>0.019990610096617178</v>
      </c>
      <c r="O34" s="726">
        <f>O33/N33-1</f>
        <v>0.0053781675468771439</v>
      </c>
      <c r="P34" s="726">
        <f>P33/O33-1</f>
        <v>-0.009301204819277209</v>
      </c>
      <c r="Q34" s="1325"/>
      <c r="R34" s="726">
        <f>R33/P33-1</f>
        <v>0.0081723986963078143</v>
      </c>
      <c r="S34" s="726">
        <f>S33/R33-1</f>
        <v>0.027092882991556211</v>
      </c>
      <c r="T34" s="726">
        <f>T33/S33-1</f>
        <v>0.0079393042538697944</v>
      </c>
      <c r="U34" s="726">
        <f>U33/T33-1</f>
        <v>-0.0065251334156742891</v>
      </c>
      <c r="V34" s="1325"/>
      <c r="W34" s="726">
        <f>W33/U33-1</f>
        <v>-0.0018061973681126053</v>
      </c>
      <c r="X34" s="726">
        <f>X33/W33-1</f>
        <v>0.023711049490059866</v>
      </c>
      <c r="Y34" s="726">
        <f>Y33/X33-1</f>
        <v>0.0091361935587539467</v>
      </c>
      <c r="Z34" s="726">
        <f>Z33/Y33-1</f>
        <v>-0.0069152203089103415</v>
      </c>
      <c r="AA34" s="1325"/>
      <c r="AB34" s="726">
        <f>AB33/Z33-1</f>
        <v>-0.018210138122179753</v>
      </c>
      <c r="AC34" s="726">
        <f>AC33/AB33-1</f>
        <v>0.023610657458821294</v>
      </c>
      <c r="AD34" s="726">
        <f>AD33/AC33-1</f>
        <v>0.0071796508182522256</v>
      </c>
      <c r="AE34" s="726">
        <f>AE33/AD33-1</f>
        <v>-0.0083052343343366086</v>
      </c>
      <c r="AF34" s="1325"/>
      <c r="AG34" s="726">
        <f>AG33/AE33-1</f>
        <v>0.0045410980785907107</v>
      </c>
      <c r="AH34" s="726">
        <f>AH33/AG33-1</f>
        <v>0.024556461688739262</v>
      </c>
      <c r="AI34" s="726">
        <f>AI33/AH33-1</f>
        <v>0.012726708349962479</v>
      </c>
      <c r="AJ34" s="726">
        <f>AJ33/AI33-1</f>
        <v>-0.0043348804623872805</v>
      </c>
      <c r="AK34" s="1325"/>
      <c r="AL34" s="726">
        <f>AL33/AJ33-1</f>
        <v>0.0058709705791810674</v>
      </c>
      <c r="AM34" s="726">
        <f>AM33/AL33-1</f>
        <v>0.047218275221335704</v>
      </c>
      <c r="AN34" s="726">
        <f>AN33/AM33-1</f>
        <v>0.024068468844588242</v>
      </c>
      <c r="AO34" s="726">
        <f>AO33/AN33-1</f>
        <v>0.0018957152757961282</v>
      </c>
      <c r="AP34" s="1325"/>
      <c r="AQ34" s="726">
        <f>AQ33/AO33-1</f>
        <v>0.022705540070395269</v>
      </c>
      <c r="AR34" s="726">
        <f>AR33/AQ33-1</f>
        <v>0.036803469473014161</v>
      </c>
      <c r="AS34" s="726">
        <f>AS33/AR33-1</f>
        <v>0.013565631176007731</v>
      </c>
      <c r="AT34" s="726">
        <f>AT33/AS33-1</f>
        <v>0.0011547781311525007</v>
      </c>
      <c r="AU34" s="1325"/>
      <c r="AV34" s="726">
        <f>AV33/AT33-1</f>
        <v>0.01085373924553279</v>
      </c>
      <c r="AW34" s="726">
        <f>AW33/AV33-1</f>
        <v>0.026019940515161322</v>
      </c>
      <c r="AX34" s="726">
        <f>AX33/AW33-1</f>
        <v>0.013309024612579767</v>
      </c>
      <c r="AY34" s="726">
        <f>AY33/AX33-1</f>
        <v>1.799208348329806E-05</v>
      </c>
      <c r="AZ34" s="1325"/>
      <c r="BA34" s="726">
        <f>BA33/AY33-1</f>
        <v>0.014249473741026586</v>
      </c>
      <c r="BB34" s="726">
        <f>BB33/BA33-1</f>
        <v>0.036506838380075513</v>
      </c>
      <c r="BC34" s="726">
        <f>BC33/BB33-1</f>
        <v>0.019356163680238181</v>
      </c>
      <c r="BD34" s="726">
        <f>BD33/BC33-1</f>
        <v>0.0020818642758806405</v>
      </c>
      <c r="BE34" s="1325"/>
      <c r="BF34" s="726">
        <f>BF33/BD33-1</f>
        <v>0.017943906443722124</v>
      </c>
      <c r="BG34" s="726">
        <f>BG33/BF33-1</f>
        <v>0.038859719867669673</v>
      </c>
      <c r="BH34" s="808">
        <f>BH33/BG33-1</f>
        <v>0.025856332583415131</v>
      </c>
      <c r="BI34" s="1215">
        <v>0.02</v>
      </c>
      <c r="BJ34" s="1326"/>
      <c r="BK34" s="1215">
        <v>0.02</v>
      </c>
      <c r="BL34" s="1215">
        <v>0.02</v>
      </c>
      <c r="BM34" s="1215">
        <v>0.02</v>
      </c>
      <c r="BN34" s="1215">
        <v>0.02</v>
      </c>
      <c r="BO34" s="1326"/>
      <c r="BP34" s="1325"/>
      <c r="BQ34" s="1325"/>
      <c r="BR34" s="1326"/>
      <c r="BS34" s="648"/>
    </row>
    <row r="35" spans="1:71" s="669" customFormat="1" ht="15" hidden="1" outlineLevel="2">
      <c r="A35" s="107" t="s">
        <v>506</v>
      </c>
      <c r="B35" s="108"/>
      <c r="C35" s="1325"/>
      <c r="D35" s="1325">
        <f>D33/C33-1</f>
        <v>0.04996657268261484</v>
      </c>
      <c r="E35" s="1325">
        <f>E33/D33-1</f>
        <v>0.049443552405736169</v>
      </c>
      <c r="F35" s="1325">
        <f>F33/E33-1</f>
        <v>0.040624670254299833</v>
      </c>
      <c r="G35" s="1325">
        <f>G33/F33-1</f>
        <v>0.011534171567633367</v>
      </c>
      <c r="H35" s="726"/>
      <c r="I35" s="726"/>
      <c r="J35" s="726"/>
      <c r="K35" s="726"/>
      <c r="L35" s="1325">
        <f t="shared" si="89" ref="L35:AU35">L33/G33-1</f>
        <v>0.010174673583439819</v>
      </c>
      <c r="M35" s="726">
        <f t="shared" si="89"/>
        <v>0.016068693665419742</v>
      </c>
      <c r="N35" s="726">
        <f t="shared" si="89"/>
        <v>0.015623846664862384</v>
      </c>
      <c r="O35" s="726">
        <f t="shared" si="89"/>
        <v>0.016708314959086534</v>
      </c>
      <c r="P35" s="726">
        <f t="shared" si="89"/>
        <v>0.019970726140563944</v>
      </c>
      <c r="Q35" s="1325">
        <f t="shared" si="89"/>
        <v>0.019970726140563944</v>
      </c>
      <c r="R35" s="726">
        <f t="shared" si="89"/>
        <v>0.024240776890953608</v>
      </c>
      <c r="S35" s="726">
        <f t="shared" si="89"/>
        <v>0.031372644023450746</v>
      </c>
      <c r="T35" s="726">
        <f t="shared" si="89"/>
        <v>0.03400000000000003</v>
      </c>
      <c r="U35" s="726">
        <f t="shared" si="89"/>
        <v>0.03689740720922341</v>
      </c>
      <c r="V35" s="1325">
        <f t="shared" si="89"/>
        <v>0.03689740720922341</v>
      </c>
      <c r="W35" s="726">
        <f t="shared" si="89"/>
        <v>0.026634499396863687</v>
      </c>
      <c r="X35" s="726">
        <f t="shared" si="89"/>
        <v>0.023254175181453007</v>
      </c>
      <c r="Y35" s="726">
        <f t="shared" si="89"/>
        <v>0.024469250308778667</v>
      </c>
      <c r="Z35" s="726">
        <f t="shared" si="89"/>
        <v>0.024066993502380729</v>
      </c>
      <c r="AA35" s="1325">
        <f t="shared" si="89"/>
        <v>0.024066993502380729</v>
      </c>
      <c r="AB35" s="726">
        <f t="shared" si="89"/>
        <v>0.0072378624806128666</v>
      </c>
      <c r="AC35" s="726">
        <f t="shared" si="89"/>
        <v>0.0071390859215387792</v>
      </c>
      <c r="AD35" s="726">
        <f t="shared" si="89"/>
        <v>0.0051864152316825063</v>
      </c>
      <c r="AE35" s="726">
        <f t="shared" si="89"/>
        <v>0.0037794626291316469</v>
      </c>
      <c r="AF35" s="1325">
        <f t="shared" si="89"/>
        <v>0.0037794626291316469</v>
      </c>
      <c r="AG35" s="726">
        <f t="shared" si="89"/>
        <v>0.027040268769539688</v>
      </c>
      <c r="AH35" s="726">
        <f t="shared" si="89"/>
        <v>0.027989241920043817</v>
      </c>
      <c r="AI35" s="726">
        <f t="shared" si="89"/>
        <v>0.033650908597162354</v>
      </c>
      <c r="AJ35" s="726">
        <f t="shared" si="89"/>
        <v>0.037789238282141424</v>
      </c>
      <c r="AK35" s="1325">
        <f t="shared" si="89"/>
        <v>0.037789238282141424</v>
      </c>
      <c r="AL35" s="726">
        <f t="shared" si="89"/>
        <v>0.039163126689534478</v>
      </c>
      <c r="AM35" s="726">
        <f t="shared" si="89"/>
        <v>0.062148020043456986</v>
      </c>
      <c r="AN35" s="726">
        <f t="shared" si="89"/>
        <v>0.074043261231281132</v>
      </c>
      <c r="AO35" s="726">
        <f t="shared" si="89"/>
        <v>0.080764325607986409</v>
      </c>
      <c r="AP35" s="1325">
        <f t="shared" si="89"/>
        <v>0.080764325607986409</v>
      </c>
      <c r="AQ35" s="726">
        <f t="shared" si="89"/>
        <v>0.0988523335883702</v>
      </c>
      <c r="AR35" s="726">
        <f t="shared" si="89"/>
        <v>0.087924016282225237</v>
      </c>
      <c r="AS35" s="726">
        <f t="shared" si="89"/>
        <v>0.076766276652125987</v>
      </c>
      <c r="AT35" s="726">
        <f t="shared" si="89"/>
        <v>0.075969970092164774</v>
      </c>
      <c r="AU35" s="1325">
        <f t="shared" si="89"/>
        <v>0.075969970092164774</v>
      </c>
      <c r="AV35" s="726">
        <f t="shared" si="90" ref="AV35:AZ35">AV33/AQ33-1</f>
        <v>0.06350090516641127</v>
      </c>
      <c r="AW35" s="726">
        <f t="shared" si="90"/>
        <v>0.052439702975996427</v>
      </c>
      <c r="AX35" s="726">
        <f t="shared" si="90"/>
        <v>0.052173254581250994</v>
      </c>
      <c r="AY35" s="726">
        <f t="shared" si="90"/>
        <v>0.050978538337903112</v>
      </c>
      <c r="AZ35" s="1325">
        <f t="shared" si="90"/>
        <v>0.050978538337903112</v>
      </c>
      <c r="BA35" s="726">
        <f t="shared" si="91" ref="BA35:BO35">BA33/AV33-1</f>
        <v>0.054509063020258708</v>
      </c>
      <c r="BB35" s="726">
        <f t="shared" si="91"/>
        <v>0.065287146763901571</v>
      </c>
      <c r="BC35" s="726">
        <f t="shared" si="91"/>
        <v>0.071644476430370529</v>
      </c>
      <c r="BD35" s="726">
        <f t="shared" si="91"/>
        <v>0.073856173872366426</v>
      </c>
      <c r="BE35" s="1325">
        <f t="shared" si="91"/>
        <v>0.073856173872366426</v>
      </c>
      <c r="BF35" s="726">
        <f>BF33/BA33-1</f>
        <v>0.077767725684281475</v>
      </c>
      <c r="BG35" s="726">
        <f>BG33/BB33-1</f>
        <v>0.080214269822525663</v>
      </c>
      <c r="BH35" s="808">
        <f>BH33/BC33-1</f>
        <v>0.087102515026359129</v>
      </c>
      <c r="BI35" s="98">
        <f t="shared" si="91"/>
        <v>0.10654089736286565</v>
      </c>
      <c r="BJ35" s="1326">
        <f t="shared" si="91"/>
        <v>0.10654089736286565</v>
      </c>
      <c r="BK35" s="98">
        <f t="shared" si="91"/>
        <v>0.10877594351268183</v>
      </c>
      <c r="BL35" s="98">
        <f t="shared" si="91"/>
        <v>0.088646946988180986</v>
      </c>
      <c r="BM35" s="98">
        <f t="shared" si="91"/>
        <v>0.082432159999999977</v>
      </c>
      <c r="BN35" s="98">
        <f t="shared" si="91"/>
        <v>0.082432160000000199</v>
      </c>
      <c r="BO35" s="1326">
        <f t="shared" si="91"/>
        <v>0.082432160000000199</v>
      </c>
      <c r="BP35" s="1341">
        <v>0.02</v>
      </c>
      <c r="BQ35" s="1341">
        <v>0.02</v>
      </c>
      <c r="BR35" s="1342">
        <v>0.02</v>
      </c>
      <c r="BS35" s="648"/>
    </row>
    <row r="36" spans="1:71" s="668" customFormat="1" ht="15" hidden="1" outlineLevel="2">
      <c r="A36" s="25" t="s">
        <v>500</v>
      </c>
      <c r="B36" s="394"/>
      <c r="C36" s="1322"/>
      <c r="D36" s="1320">
        <f t="shared" si="92" ref="D36:K36">AVERAGE(D33,D31)</f>
        <v>3526.25</v>
      </c>
      <c r="E36" s="1320">
        <f t="shared" si="92"/>
        <v>3701.50</v>
      </c>
      <c r="F36" s="1320">
        <f t="shared" si="92"/>
        <v>3867.80</v>
      </c>
      <c r="G36" s="1320">
        <f t="shared" si="92"/>
        <v>3967.55</v>
      </c>
      <c r="H36" s="1021">
        <f t="shared" si="92"/>
        <v>3986.6000000000004</v>
      </c>
      <c r="I36" s="1021">
        <f t="shared" si="92"/>
        <v>4023.6000000000004</v>
      </c>
      <c r="J36" s="1021">
        <f t="shared" si="92"/>
        <v>4073.05</v>
      </c>
      <c r="K36" s="1021">
        <f t="shared" si="92"/>
        <v>4056.3500000000004</v>
      </c>
      <c r="L36" s="1320">
        <f>SUM(H36*H$3,I36*I$3,J36*J$3,K36*K$3)/L$3</f>
        <v>4035.1956164383564</v>
      </c>
      <c r="M36" s="1021">
        <f>AVERAGE(M33,M31)</f>
        <v>4038.90</v>
      </c>
      <c r="N36" s="1021">
        <f>AVERAGE(N33,N31)</f>
        <v>4087.3500000000004</v>
      </c>
      <c r="O36" s="1021">
        <f>AVERAGE(O33,O31)</f>
        <v>4138.8999999999996</v>
      </c>
      <c r="P36" s="1021">
        <f>AVERAGE(P33,P31)</f>
        <v>4130.70</v>
      </c>
      <c r="Q36" s="1320">
        <f>SUM(M36*M$3,N36*N$3,O36*O$3,P36*P$3)/Q$3</f>
        <v>4099.3234246575348</v>
      </c>
      <c r="R36" s="1021">
        <f>AVERAGE(R33,R31)</f>
        <v>4128.20</v>
      </c>
      <c r="S36" s="1021">
        <f>AVERAGE(S33,S31)</f>
        <v>4201.1499999999996</v>
      </c>
      <c r="T36" s="1021">
        <f>AVERAGE(T33,T31)</f>
        <v>4274.2000000000007</v>
      </c>
      <c r="U36" s="1021">
        <f>AVERAGE(U33,U31)</f>
        <v>4277.1000000000004</v>
      </c>
      <c r="V36" s="1320">
        <f>SUM(R36*R$3,S36*S$3,T36*T$3,U36*U$3)/V$3</f>
        <v>4220.4657103825139</v>
      </c>
      <c r="W36" s="1021">
        <f>AVERAGE(W33,W31)</f>
        <v>4259.25</v>
      </c>
      <c r="X36" s="1021">
        <f>AVERAGE(X33,X31)</f>
        <v>4305.8500000000004</v>
      </c>
      <c r="Y36" s="1021">
        <f>AVERAGE(Y33,Y31)</f>
        <v>4376.2000000000007</v>
      </c>
      <c r="Z36" s="1021">
        <f>AVERAGE(Z33,Z31)</f>
        <v>4380.8999999999996</v>
      </c>
      <c r="AA36" s="1320">
        <f>SUM(W36*W$3,X36*X$3,Y36*Y$3,Z36*Z$3)/AA$3</f>
        <v>4331.0083561643842</v>
      </c>
      <c r="AB36" s="1021">
        <f>AVERAGE(AB33,AB31)</f>
        <v>4325.95</v>
      </c>
      <c r="AC36" s="1021">
        <f>AVERAGE(AC33,AC31)</f>
        <v>4336.7999999999993</v>
      </c>
      <c r="AD36" s="1021">
        <f>AVERAGE(AD33,AD31)</f>
        <v>4403.1499999999996</v>
      </c>
      <c r="AE36" s="1021">
        <f>AVERAGE(AE33,AE31)</f>
        <v>4400.5499999999993</v>
      </c>
      <c r="AF36" s="1320">
        <f>SUM(AB36*AB$3,AC36*AC$3,AD36*AD$3,AE36*AE$3)/AF$3</f>
        <v>4366.9169863013694</v>
      </c>
      <c r="AG36" s="1021">
        <f>AVERAGE(AG33,AG31)</f>
        <v>4392.1499999999996</v>
      </c>
      <c r="AH36" s="1021">
        <f>AVERAGE(AH33,AH31)</f>
        <v>4456.1499999999996</v>
      </c>
      <c r="AI36" s="1021">
        <f>AVERAGE(AI33,AI31)</f>
        <v>4538.8999999999996</v>
      </c>
      <c r="AJ36" s="1021">
        <f>AVERAGE(AJ33,AJ31)</f>
        <v>4557.7000000000007</v>
      </c>
      <c r="AK36" s="1320">
        <f>SUM(AG36*AG$3,AH36*AH$3,AI36*AI$3,AJ36*AJ$3)/AK$3</f>
        <v>4486.8228767123292</v>
      </c>
      <c r="AL36" s="1021">
        <f>AVERAGE(AL33,AL31)</f>
        <v>4561.1499999999996</v>
      </c>
      <c r="AM36" s="1021">
        <f>AVERAGE(AM33,AM31)</f>
        <v>4682.50</v>
      </c>
      <c r="AN36" s="1021">
        <f>AVERAGE(AN33,AN31)</f>
        <v>4848.1499999999996</v>
      </c>
      <c r="AO36" s="1021">
        <f>AVERAGE(AO33,AO31)</f>
        <v>4910.4500000000007</v>
      </c>
      <c r="AP36" s="1320">
        <f>SUM(AL36*AL$3,AM36*AM$3,AN36*AN$3,AO36*AO$3)/AP$3</f>
        <v>4751.2659836065577</v>
      </c>
      <c r="AQ36" s="1021">
        <f>AVERAGE(AQ33,AQ31)</f>
        <v>4970.8999999999996</v>
      </c>
      <c r="AR36" s="1021">
        <f>AVERAGE(AR33,AR31)</f>
        <v>5119.20</v>
      </c>
      <c r="AS36" s="1021">
        <f>AVERAGE(AS33,AS31)</f>
        <v>5247.0499999999993</v>
      </c>
      <c r="AT36" s="1021">
        <f>AVERAGE(AT33,AT31)</f>
        <v>5285.4499999999998</v>
      </c>
      <c r="AU36" s="1320">
        <f>SUM(AQ36*AQ$3,AR36*AR$3,AS36*AS$3,AT36*AT$3)/AU$3</f>
        <v>5156.762191780821</v>
      </c>
      <c r="AV36" s="1021">
        <f>AVERAGE(AV33,AV31)</f>
        <v>5317.20</v>
      </c>
      <c r="AW36" s="1021">
        <f>AVERAGE(AW33,AW31)</f>
        <v>5415.4499999999998</v>
      </c>
      <c r="AX36" s="1021">
        <f>AVERAGE(AX33,AX31)</f>
        <v>5521.50</v>
      </c>
      <c r="AY36" s="1021">
        <f>AVERAGE(AY33,AY31)</f>
        <v>5558.0500000000002</v>
      </c>
      <c r="AZ36" s="1320">
        <f>SUM(AV36*AV$3,AW36*AW$3,AX36*AX$3,AY36*AY$3)/AZ$3</f>
        <v>5453.8973972602744</v>
      </c>
      <c r="BA36" s="1021">
        <f>AVERAGE(BA33,BA31)</f>
        <v>5597.7000000000007</v>
      </c>
      <c r="BB36" s="1021">
        <f>AVERAGE(BB33,BB31)</f>
        <v>5740.2000000000007</v>
      </c>
      <c r="BC36" s="1021">
        <f>AVERAGE(BC33,BC31)</f>
        <v>5899.6499999999996</v>
      </c>
      <c r="BD36" s="1021">
        <f>AVERAGE(BD33,BD31)</f>
        <v>5962.40</v>
      </c>
      <c r="BE36" s="1320">
        <f>SUM(BA36*BA$3,BB36*BB$3,BC36*BC$3,BD36*BD$3)/BE$3</f>
        <v>5801.2597260273969</v>
      </c>
      <c r="BF36" s="1021">
        <f>AVERAGE(BF33,BF31)</f>
        <v>6022.1499999999996</v>
      </c>
      <c r="BG36" s="1021">
        <f>AVERAGE(BG33,BG31)</f>
        <v>6193.75</v>
      </c>
      <c r="BH36" s="1022">
        <f>AVERAGE(BH33,BH31)</f>
        <v>6393.40</v>
      </c>
      <c r="BI36" s="1023">
        <f>AVERAGE(BI33,BI31)</f>
        <v>6539.75</v>
      </c>
      <c r="BJ36" s="1321">
        <f>SUM(BF36*BF$3,BG36*BG$3,BH36*BH$3,BI36*BI$3)/BJ$3</f>
        <v>6288.2423497267755</v>
      </c>
      <c r="BK36" s="1023">
        <f>AVERAGE(BK33,BK31)</f>
        <v>6670.5450000000001</v>
      </c>
      <c r="BL36" s="1023">
        <f>AVERAGE(BL33,BL31)</f>
        <v>6803.9559000000008</v>
      </c>
      <c r="BM36" s="1023">
        <f>AVERAGE(BM33,BM31)</f>
        <v>6940.0350180000005</v>
      </c>
      <c r="BN36" s="1023">
        <f>AVERAGE(BN33,BN31)</f>
        <v>7078.8357183600001</v>
      </c>
      <c r="BO36" s="1321">
        <f>SUM(BK36*BK$3,BL36*BL$3,BM36*BM$3,BN36*BN$3)/BO$3</f>
        <v>6874.6442319044381</v>
      </c>
      <c r="BP36" s="1322">
        <f>AVERAGE(BP33,BP31)</f>
        <v>7220.4124327272002</v>
      </c>
      <c r="BQ36" s="1322">
        <f>AVERAGE(BQ33,BQ31)</f>
        <v>7364.8206813817451</v>
      </c>
      <c r="BR36" s="1321">
        <f>AVERAGE(BR33,BR31)</f>
        <v>7512.1170950093801</v>
      </c>
      <c r="BS36" s="648"/>
    </row>
    <row r="37" spans="1:71" s="669" customFormat="1" ht="7.5" customHeight="1" hidden="1" outlineLevel="2">
      <c r="A37" s="107"/>
      <c r="B37" s="108"/>
      <c r="C37" s="1325"/>
      <c r="D37" s="1325"/>
      <c r="E37" s="1325"/>
      <c r="F37" s="1325"/>
      <c r="G37" s="1325"/>
      <c r="H37" s="726"/>
      <c r="I37" s="726"/>
      <c r="J37" s="726"/>
      <c r="K37" s="726"/>
      <c r="L37" s="1325"/>
      <c r="M37" s="726"/>
      <c r="N37" s="726"/>
      <c r="O37" s="726"/>
      <c r="P37" s="726"/>
      <c r="Q37" s="1325"/>
      <c r="R37" s="726"/>
      <c r="S37" s="726"/>
      <c r="T37" s="726"/>
      <c r="U37" s="726"/>
      <c r="V37" s="1325"/>
      <c r="W37" s="726"/>
      <c r="X37" s="726"/>
      <c r="Y37" s="726"/>
      <c r="Z37" s="726"/>
      <c r="AA37" s="1325"/>
      <c r="AB37" s="726"/>
      <c r="AC37" s="726"/>
      <c r="AD37" s="726"/>
      <c r="AE37" s="726"/>
      <c r="AF37" s="1325"/>
      <c r="AG37" s="726"/>
      <c r="AH37" s="726"/>
      <c r="AI37" s="726"/>
      <c r="AJ37" s="726"/>
      <c r="AK37" s="1325"/>
      <c r="AL37" s="726"/>
      <c r="AM37" s="726"/>
      <c r="AN37" s="726"/>
      <c r="AO37" s="726"/>
      <c r="AP37" s="1325"/>
      <c r="AQ37" s="726"/>
      <c r="AR37" s="726"/>
      <c r="AS37" s="726"/>
      <c r="AT37" s="726"/>
      <c r="AU37" s="1325"/>
      <c r="AV37" s="726"/>
      <c r="AW37" s="726"/>
      <c r="AX37" s="726"/>
      <c r="AY37" s="726"/>
      <c r="AZ37" s="1325"/>
      <c r="BA37" s="726"/>
      <c r="BB37" s="726"/>
      <c r="BC37" s="726"/>
      <c r="BD37" s="726"/>
      <c r="BE37" s="1325"/>
      <c r="BF37" s="726"/>
      <c r="BG37" s="726"/>
      <c r="BH37" s="808"/>
      <c r="BI37" s="98"/>
      <c r="BJ37" s="1326"/>
      <c r="BK37" s="98"/>
      <c r="BL37" s="98"/>
      <c r="BM37" s="98"/>
      <c r="BN37" s="98"/>
      <c r="BO37" s="1326"/>
      <c r="BP37" s="1325"/>
      <c r="BQ37" s="1325"/>
      <c r="BR37" s="1326"/>
      <c r="BS37" s="648"/>
    </row>
    <row r="38" spans="1:71" s="676" customFormat="1" ht="15" hidden="1" outlineLevel="2">
      <c r="A38" s="395" t="s">
        <v>507</v>
      </c>
      <c r="B38" s="396"/>
      <c r="C38" s="1343">
        <v>0.50</v>
      </c>
      <c r="D38" s="1343">
        <v>0.50</v>
      </c>
      <c r="E38" s="1343">
        <v>0.50</v>
      </c>
      <c r="F38" s="1343">
        <v>0.50</v>
      </c>
      <c r="G38" s="1343">
        <v>0.50</v>
      </c>
      <c r="H38" s="1219">
        <v>0.50</v>
      </c>
      <c r="I38" s="1219">
        <v>0.50</v>
      </c>
      <c r="J38" s="1219">
        <v>0.50</v>
      </c>
      <c r="K38" s="1219">
        <v>0.50</v>
      </c>
      <c r="L38" s="1343">
        <v>0.50</v>
      </c>
      <c r="M38" s="1219">
        <v>0.50</v>
      </c>
      <c r="N38" s="1219">
        <v>0.50</v>
      </c>
      <c r="O38" s="1219">
        <v>0.50</v>
      </c>
      <c r="P38" s="1219">
        <v>0.50</v>
      </c>
      <c r="Q38" s="1343">
        <v>0.50</v>
      </c>
      <c r="R38" s="1219">
        <v>0.50</v>
      </c>
      <c r="S38" s="1219">
        <v>0.50</v>
      </c>
      <c r="T38" s="1219">
        <v>0.50</v>
      </c>
      <c r="U38" s="1219">
        <v>0.50</v>
      </c>
      <c r="V38" s="1343">
        <v>0.50</v>
      </c>
      <c r="W38" s="1219">
        <v>0.50</v>
      </c>
      <c r="X38" s="1219">
        <v>0.50</v>
      </c>
      <c r="Y38" s="1219">
        <v>0.50</v>
      </c>
      <c r="Z38" s="1219">
        <v>0.50</v>
      </c>
      <c r="AA38" s="1343">
        <v>0.50</v>
      </c>
      <c r="AB38" s="1219">
        <v>0.50</v>
      </c>
      <c r="AC38" s="1219">
        <v>0.50</v>
      </c>
      <c r="AD38" s="1219">
        <v>0.50</v>
      </c>
      <c r="AE38" s="1219">
        <v>0.50</v>
      </c>
      <c r="AF38" s="1343">
        <v>0.50</v>
      </c>
      <c r="AG38" s="1219">
        <v>0.50</v>
      </c>
      <c r="AH38" s="1219">
        <v>0.50</v>
      </c>
      <c r="AI38" s="1219">
        <v>0.50</v>
      </c>
      <c r="AJ38" s="1219">
        <v>0.50</v>
      </c>
      <c r="AK38" s="1343">
        <v>0.50</v>
      </c>
      <c r="AL38" s="1219">
        <v>0.50</v>
      </c>
      <c r="AM38" s="1219">
        <v>0.50</v>
      </c>
      <c r="AN38" s="1219">
        <v>0.50</v>
      </c>
      <c r="AO38" s="1219">
        <v>0.50</v>
      </c>
      <c r="AP38" s="1343">
        <v>0.50</v>
      </c>
      <c r="AQ38" s="1219">
        <v>0.50</v>
      </c>
      <c r="AR38" s="1219">
        <v>0.50</v>
      </c>
      <c r="AS38" s="1219">
        <v>0.50</v>
      </c>
      <c r="AT38" s="1219">
        <v>0.50</v>
      </c>
      <c r="AU38" s="1343">
        <v>0.50</v>
      </c>
      <c r="AV38" s="1219">
        <v>0.50</v>
      </c>
      <c r="AW38" s="1219">
        <v>0.50</v>
      </c>
      <c r="AX38" s="1219">
        <v>0.50</v>
      </c>
      <c r="AY38" s="1219">
        <v>0.50</v>
      </c>
      <c r="AZ38" s="1343">
        <v>0.50</v>
      </c>
      <c r="BA38" s="1219">
        <v>0.50</v>
      </c>
      <c r="BB38" s="1219">
        <v>0.50</v>
      </c>
      <c r="BC38" s="1219">
        <v>0.50</v>
      </c>
      <c r="BD38" s="1219">
        <v>0.50</v>
      </c>
      <c r="BE38" s="1343">
        <v>0.50</v>
      </c>
      <c r="BF38" s="1219">
        <v>0.50</v>
      </c>
      <c r="BG38" s="1219">
        <v>0.50</v>
      </c>
      <c r="BH38" s="1220">
        <v>0.50</v>
      </c>
      <c r="BI38" s="1221">
        <v>0.50</v>
      </c>
      <c r="BJ38" s="1340">
        <f>AVERAGE(BF38,BG38,BH38,BI38)</f>
        <v>0.50</v>
      </c>
      <c r="BK38" s="1221">
        <v>0.50</v>
      </c>
      <c r="BL38" s="1221">
        <v>0.50</v>
      </c>
      <c r="BM38" s="1221">
        <v>0.50</v>
      </c>
      <c r="BN38" s="1221">
        <v>0.50</v>
      </c>
      <c r="BO38" s="1340">
        <f>AVERAGE(BK38,BL38,BM38,BN38)</f>
        <v>0.50</v>
      </c>
      <c r="BP38" s="1343">
        <v>0.50</v>
      </c>
      <c r="BQ38" s="1343">
        <v>0.50</v>
      </c>
      <c r="BR38" s="1344">
        <v>0.50</v>
      </c>
      <c r="BS38" s="648"/>
    </row>
    <row r="39" spans="1:71" s="669" customFormat="1" ht="7.5" customHeight="1" hidden="1" outlineLevel="2">
      <c r="A39" s="107"/>
      <c r="B39" s="108"/>
      <c r="C39" s="1325"/>
      <c r="D39" s="1325"/>
      <c r="E39" s="1325"/>
      <c r="F39" s="1325"/>
      <c r="G39" s="1325"/>
      <c r="H39" s="726"/>
      <c r="I39" s="726"/>
      <c r="J39" s="726"/>
      <c r="K39" s="726"/>
      <c r="L39" s="1325"/>
      <c r="M39" s="726"/>
      <c r="N39" s="726"/>
      <c r="O39" s="726"/>
      <c r="P39" s="726"/>
      <c r="Q39" s="1325"/>
      <c r="R39" s="726"/>
      <c r="S39" s="726"/>
      <c r="T39" s="726"/>
      <c r="U39" s="726"/>
      <c r="V39" s="1325"/>
      <c r="W39" s="726"/>
      <c r="X39" s="726"/>
      <c r="Y39" s="726"/>
      <c r="Z39" s="726"/>
      <c r="AA39" s="1325"/>
      <c r="AB39" s="726"/>
      <c r="AC39" s="726"/>
      <c r="AD39" s="726"/>
      <c r="AE39" s="726"/>
      <c r="AF39" s="1325"/>
      <c r="AG39" s="726"/>
      <c r="AH39" s="726"/>
      <c r="AI39" s="726"/>
      <c r="AJ39" s="726"/>
      <c r="AK39" s="1325"/>
      <c r="AL39" s="726"/>
      <c r="AM39" s="726"/>
      <c r="AN39" s="726"/>
      <c r="AO39" s="726"/>
      <c r="AP39" s="1325"/>
      <c r="AQ39" s="726"/>
      <c r="AR39" s="726"/>
      <c r="AS39" s="726"/>
      <c r="AT39" s="726"/>
      <c r="AU39" s="1325"/>
      <c r="AV39" s="726"/>
      <c r="AW39" s="726"/>
      <c r="AX39" s="726"/>
      <c r="AY39" s="726"/>
      <c r="AZ39" s="1325"/>
      <c r="BA39" s="726"/>
      <c r="BB39" s="726"/>
      <c r="BC39" s="726"/>
      <c r="BD39" s="726"/>
      <c r="BE39" s="1325"/>
      <c r="BF39" s="726"/>
      <c r="BG39" s="726"/>
      <c r="BH39" s="808"/>
      <c r="BI39" s="98"/>
      <c r="BJ39" s="1326"/>
      <c r="BK39" s="98"/>
      <c r="BL39" s="98"/>
      <c r="BM39" s="98"/>
      <c r="BN39" s="98"/>
      <c r="BO39" s="1326"/>
      <c r="BP39" s="1325"/>
      <c r="BQ39" s="1325"/>
      <c r="BR39" s="1326"/>
      <c r="BS39" s="648"/>
    </row>
    <row r="40" spans="1:71" s="668" customFormat="1" ht="15" hidden="1" outlineLevel="2">
      <c r="A40" s="25" t="s">
        <v>492</v>
      </c>
      <c r="B40" s="394"/>
      <c r="C40" s="1322"/>
      <c r="D40" s="1320">
        <f t="shared" si="93" ref="D40:K40">C42</f>
        <v>4299.20</v>
      </c>
      <c r="E40" s="1320">
        <f t="shared" si="93"/>
        <v>4480.1000000000004</v>
      </c>
      <c r="F40" s="1320">
        <f t="shared" si="93"/>
        <v>4648.50</v>
      </c>
      <c r="G40" s="1320">
        <f t="shared" si="93"/>
        <v>4790.3999999999996</v>
      </c>
      <c r="H40" s="1021">
        <f t="shared" si="93"/>
        <v>4841.8999999999996</v>
      </c>
      <c r="I40" s="1021">
        <f t="shared" si="93"/>
        <v>4911.80</v>
      </c>
      <c r="J40" s="1021">
        <f t="shared" si="93"/>
        <v>4872.70</v>
      </c>
      <c r="K40" s="1021">
        <f t="shared" si="93"/>
        <v>4784.6000000000004</v>
      </c>
      <c r="L40" s="1320">
        <f>G42</f>
        <v>4841.8999999999996</v>
      </c>
      <c r="M40" s="1021">
        <f>K42</f>
        <v>4725.50</v>
      </c>
      <c r="N40" s="1021">
        <f>M42</f>
        <v>4765.6000000000004</v>
      </c>
      <c r="O40" s="1021">
        <f>N42</f>
        <v>4753.6000000000004</v>
      </c>
      <c r="P40" s="1021">
        <f>O42</f>
        <v>4739.8999999999996</v>
      </c>
      <c r="Q40" s="1320">
        <f>L42</f>
        <v>4725.50</v>
      </c>
      <c r="R40" s="1021">
        <f>P42</f>
        <v>4737.1000000000004</v>
      </c>
      <c r="S40" s="1021">
        <f>R42</f>
        <v>4865.3999999999996</v>
      </c>
      <c r="T40" s="1021">
        <f>S42</f>
        <v>4937.6000000000004</v>
      </c>
      <c r="U40" s="1021">
        <f>T42</f>
        <v>4980.1000000000004</v>
      </c>
      <c r="V40" s="1320">
        <f>Q42</f>
        <v>4737.1000000000004</v>
      </c>
      <c r="W40" s="1021">
        <f>U42</f>
        <v>5045.3999999999996</v>
      </c>
      <c r="X40" s="1021">
        <f>W42</f>
        <v>5228.30</v>
      </c>
      <c r="Y40" s="1021">
        <f>X42</f>
        <v>5350.30</v>
      </c>
      <c r="Z40" s="1021">
        <f>Y42</f>
        <v>5515.30</v>
      </c>
      <c r="AA40" s="1320">
        <f>V42</f>
        <v>5045.3999999999996</v>
      </c>
      <c r="AB40" s="1021">
        <f>Z42</f>
        <v>5670.70</v>
      </c>
      <c r="AC40" s="1021">
        <f>AB42</f>
        <v>5909.10</v>
      </c>
      <c r="AD40" s="1021">
        <f>AC42</f>
        <v>6107.40</v>
      </c>
      <c r="AE40" s="1021">
        <f>AD42</f>
        <v>6249.30</v>
      </c>
      <c r="AF40" s="1320">
        <f>AA42</f>
        <v>5670.70</v>
      </c>
      <c r="AG40" s="1021">
        <f>AE42</f>
        <v>6358.30</v>
      </c>
      <c r="AH40" s="1021">
        <f>AG42</f>
        <v>6609.10</v>
      </c>
      <c r="AI40" s="1021">
        <f>AH42</f>
        <v>6783.70</v>
      </c>
      <c r="AJ40" s="1021">
        <f>AI42</f>
        <v>6903.80</v>
      </c>
      <c r="AK40" s="1320">
        <f>AF42</f>
        <v>6358.30</v>
      </c>
      <c r="AL40" s="1021">
        <f>AJ42</f>
        <v>6994.30</v>
      </c>
      <c r="AM40" s="1021">
        <f>AL42</f>
        <v>7164.60</v>
      </c>
      <c r="AN40" s="1021">
        <f>AM42</f>
        <v>7362.50</v>
      </c>
      <c r="AO40" s="1021">
        <f>AN42</f>
        <v>7527.10</v>
      </c>
      <c r="AP40" s="1320">
        <f>AK42</f>
        <v>6994.30</v>
      </c>
      <c r="AQ40" s="1021">
        <f>AO42</f>
        <v>7617</v>
      </c>
      <c r="AR40" s="1021">
        <f>AQ42</f>
        <v>7863.50</v>
      </c>
      <c r="AS40" s="1021">
        <f>AR42</f>
        <v>8014.20</v>
      </c>
      <c r="AT40" s="1021">
        <f>AS42</f>
        <v>7973.60</v>
      </c>
      <c r="AU40" s="1320">
        <f>AP42</f>
        <v>7617</v>
      </c>
      <c r="AV40" s="1021">
        <f>AT42</f>
        <v>7879</v>
      </c>
      <c r="AW40" s="1021">
        <f>AV42</f>
        <v>7758.40</v>
      </c>
      <c r="AX40" s="1021">
        <f>AW42</f>
        <v>7619.50</v>
      </c>
      <c r="AY40" s="1021">
        <f>AX42</f>
        <v>7600.30</v>
      </c>
      <c r="AZ40" s="1320">
        <f>AU42</f>
        <v>7879</v>
      </c>
      <c r="BA40" s="1021">
        <f>AY42</f>
        <v>7766.30</v>
      </c>
      <c r="BB40" s="1021">
        <f>BA42</f>
        <v>8172.90</v>
      </c>
      <c r="BC40" s="1021">
        <f>BB42</f>
        <v>8437.7999999999993</v>
      </c>
      <c r="BD40" s="1021">
        <f>BC42</f>
        <v>8363.2999999999993</v>
      </c>
      <c r="BE40" s="1320">
        <f>AZ42</f>
        <v>7766.30</v>
      </c>
      <c r="BF40" s="1021">
        <f>BD42</f>
        <v>8335.50</v>
      </c>
      <c r="BG40" s="1021">
        <f>BF42</f>
        <v>8592.90</v>
      </c>
      <c r="BH40" s="1022">
        <f>BG42</f>
        <v>8964.7999999999993</v>
      </c>
      <c r="BI40" s="1023">
        <f>BH42</f>
        <v>9415.60</v>
      </c>
      <c r="BJ40" s="1321">
        <f>BE42</f>
        <v>8335.50</v>
      </c>
      <c r="BK40" s="1023">
        <f>BI42</f>
        <v>9603.9120000000003</v>
      </c>
      <c r="BL40" s="1023">
        <f>BK42</f>
        <v>9795.990240000001</v>
      </c>
      <c r="BM40" s="1023">
        <f>BL42</f>
        <v>9991.9100448000008</v>
      </c>
      <c r="BN40" s="1023">
        <f>BM42</f>
        <v>10191.748245696001</v>
      </c>
      <c r="BO40" s="1321">
        <f>BJ42</f>
        <v>9603.9120000000003</v>
      </c>
      <c r="BP40" s="1322">
        <f>BO42</f>
        <v>10395.583210609921</v>
      </c>
      <c r="BQ40" s="1322">
        <f>BP42</f>
        <v>10603.49487482212</v>
      </c>
      <c r="BR40" s="1321">
        <f>BQ42</f>
        <v>10815.564772318563</v>
      </c>
      <c r="BS40" s="648"/>
    </row>
    <row r="41" spans="1:71" s="665" customFormat="1" ht="15" hidden="1" outlineLevel="2">
      <c r="A41" s="1000" t="s">
        <v>593</v>
      </c>
      <c r="B41" s="260"/>
      <c r="C41" s="1324"/>
      <c r="D41" s="1323">
        <f t="shared" si="94" ref="D41:AI41">D42-D40</f>
        <v>180.90000000000055</v>
      </c>
      <c r="E41" s="1323">
        <f t="shared" si="94"/>
        <v>168.39999999999964</v>
      </c>
      <c r="F41" s="1323">
        <f t="shared" si="94"/>
        <v>141.89999999999964</v>
      </c>
      <c r="G41" s="1323">
        <f t="shared" si="94"/>
        <v>51.50</v>
      </c>
      <c r="H41" s="1027">
        <f t="shared" si="94"/>
        <v>69.900000000000546</v>
      </c>
      <c r="I41" s="1027">
        <f t="shared" si="94"/>
        <v>-39.100000000000364</v>
      </c>
      <c r="J41" s="1027">
        <f t="shared" si="94"/>
        <v>-88.099999999999454</v>
      </c>
      <c r="K41" s="1027">
        <f t="shared" si="94"/>
        <v>-59.100000000000364</v>
      </c>
      <c r="L41" s="1323">
        <f t="shared" si="94"/>
        <v>-116.39999999999964</v>
      </c>
      <c r="M41" s="1027">
        <f t="shared" si="94"/>
        <v>40.100000000000364</v>
      </c>
      <c r="N41" s="1027">
        <f t="shared" si="94"/>
        <v>-12</v>
      </c>
      <c r="O41" s="1027">
        <f t="shared" si="94"/>
        <v>-13.700000000000728</v>
      </c>
      <c r="P41" s="1027">
        <f t="shared" si="94"/>
        <v>-2.7999999999992724</v>
      </c>
      <c r="Q41" s="1323">
        <f t="shared" si="94"/>
        <v>11.600000000000364</v>
      </c>
      <c r="R41" s="1027">
        <f t="shared" si="94"/>
        <v>128.29999999999927</v>
      </c>
      <c r="S41" s="1027">
        <f t="shared" si="94"/>
        <v>72.200000000000728</v>
      </c>
      <c r="T41" s="1027">
        <f t="shared" si="94"/>
        <v>42.50</v>
      </c>
      <c r="U41" s="1027">
        <f t="shared" si="94"/>
        <v>65.299999999999272</v>
      </c>
      <c r="V41" s="1323">
        <f t="shared" si="94"/>
        <v>308.29999999999927</v>
      </c>
      <c r="W41" s="1027">
        <f t="shared" si="94"/>
        <v>182.90000000000055</v>
      </c>
      <c r="X41" s="1027">
        <f t="shared" si="94"/>
        <v>122</v>
      </c>
      <c r="Y41" s="1027">
        <f t="shared" si="94"/>
        <v>165</v>
      </c>
      <c r="Z41" s="1027">
        <f t="shared" si="94"/>
        <v>155.39999999999964</v>
      </c>
      <c r="AA41" s="1323">
        <f t="shared" si="94"/>
        <v>625.30000000000018</v>
      </c>
      <c r="AB41" s="1027">
        <f t="shared" si="94"/>
        <v>238.40000000000055</v>
      </c>
      <c r="AC41" s="1027">
        <f t="shared" si="94"/>
        <v>198.29999999999927</v>
      </c>
      <c r="AD41" s="1027">
        <f t="shared" si="94"/>
        <v>141.90000000000055</v>
      </c>
      <c r="AE41" s="1027">
        <f t="shared" si="94"/>
        <v>109</v>
      </c>
      <c r="AF41" s="1323">
        <f t="shared" si="94"/>
        <v>687.60000000000036</v>
      </c>
      <c r="AG41" s="1027">
        <f t="shared" si="94"/>
        <v>250.80000000000018</v>
      </c>
      <c r="AH41" s="1027">
        <f t="shared" si="94"/>
        <v>174.59999999999945</v>
      </c>
      <c r="AI41" s="1027">
        <f t="shared" si="94"/>
        <v>120.10000000000036</v>
      </c>
      <c r="AJ41" s="1027">
        <f t="shared" si="95" ref="AJ41:AU41">AJ42-AJ40</f>
        <v>90.50</v>
      </c>
      <c r="AK41" s="1323">
        <f t="shared" si="95"/>
        <v>636</v>
      </c>
      <c r="AL41" s="1027">
        <f t="shared" si="95"/>
        <v>170.30000000000018</v>
      </c>
      <c r="AM41" s="1027">
        <f t="shared" si="95"/>
        <v>197.89999999999964</v>
      </c>
      <c r="AN41" s="1027">
        <f t="shared" si="95"/>
        <v>164.60000000000036</v>
      </c>
      <c r="AO41" s="1027">
        <f t="shared" si="95"/>
        <v>89.899999999999636</v>
      </c>
      <c r="AP41" s="1323">
        <f t="shared" si="95"/>
        <v>622.69999999999982</v>
      </c>
      <c r="AQ41" s="1027">
        <f t="shared" si="95"/>
        <v>246.50</v>
      </c>
      <c r="AR41" s="1027">
        <f t="shared" si="95"/>
        <v>150.69999999999982</v>
      </c>
      <c r="AS41" s="1027">
        <f t="shared" si="95"/>
        <v>-40.599999999999454</v>
      </c>
      <c r="AT41" s="1027">
        <f t="shared" si="95"/>
        <v>-94.600000000000364</v>
      </c>
      <c r="AU41" s="1323">
        <f t="shared" si="95"/>
        <v>262</v>
      </c>
      <c r="AV41" s="1027">
        <f t="shared" si="96" ref="AV41:AZ41">AV42-AV40</f>
        <v>-120.60000000000036</v>
      </c>
      <c r="AW41" s="1027">
        <f t="shared" si="96"/>
        <v>-138.89999999999964</v>
      </c>
      <c r="AX41" s="1027">
        <f t="shared" si="96"/>
        <v>-19.199999999999818</v>
      </c>
      <c r="AY41" s="1027">
        <f t="shared" si="96"/>
        <v>166</v>
      </c>
      <c r="AZ41" s="1323">
        <f t="shared" si="96"/>
        <v>-112.69999999999982</v>
      </c>
      <c r="BA41" s="1027">
        <f t="shared" si="97" ref="BA41:BR41">BA42-BA40</f>
        <v>406.59999999999945</v>
      </c>
      <c r="BB41" s="1027">
        <f t="shared" si="97"/>
        <v>264.89999999999964</v>
      </c>
      <c r="BC41" s="1027">
        <f t="shared" si="97"/>
        <v>-74.50</v>
      </c>
      <c r="BD41" s="1027">
        <f t="shared" si="97"/>
        <v>-27.799999999999272</v>
      </c>
      <c r="BE41" s="1323">
        <f t="shared" si="97"/>
        <v>569.19999999999982</v>
      </c>
      <c r="BF41" s="1027">
        <f>BF42-BF40</f>
        <v>257.39999999999964</v>
      </c>
      <c r="BG41" s="1027">
        <f>BG42-BG40</f>
        <v>371.89999999999964</v>
      </c>
      <c r="BH41" s="1028">
        <f>BH42-BH40</f>
        <v>450.80000000000109</v>
      </c>
      <c r="BI41" s="1029">
        <f t="shared" si="97"/>
        <v>188.3119999999999</v>
      </c>
      <c r="BJ41" s="1324">
        <f t="shared" si="97"/>
        <v>1268.4120000000003</v>
      </c>
      <c r="BK41" s="1029">
        <f t="shared" si="97"/>
        <v>192.07824000000073</v>
      </c>
      <c r="BL41" s="1029">
        <f t="shared" si="97"/>
        <v>195.91980479999984</v>
      </c>
      <c r="BM41" s="1029">
        <f t="shared" si="97"/>
        <v>199.83820089599976</v>
      </c>
      <c r="BN41" s="1029">
        <f t="shared" si="97"/>
        <v>203.83496491391998</v>
      </c>
      <c r="BO41" s="1324">
        <f t="shared" si="97"/>
        <v>791.67121060992031</v>
      </c>
      <c r="BP41" s="1324">
        <f t="shared" si="97"/>
        <v>207.91166421219896</v>
      </c>
      <c r="BQ41" s="1324">
        <f t="shared" si="97"/>
        <v>212.06989749644345</v>
      </c>
      <c r="BR41" s="1324">
        <f t="shared" si="97"/>
        <v>216.31129544637224</v>
      </c>
      <c r="BS41" s="648"/>
    </row>
    <row r="42" spans="1:71" s="668" customFormat="1" ht="15" hidden="1" outlineLevel="2">
      <c r="A42" s="25" t="s">
        <v>493</v>
      </c>
      <c r="B42" s="394"/>
      <c r="C42" s="1320">
        <f t="shared" si="98" ref="C42:AU42">C203</f>
        <v>4299.20</v>
      </c>
      <c r="D42" s="1320">
        <f t="shared" si="98"/>
        <v>4480.1000000000004</v>
      </c>
      <c r="E42" s="1320">
        <f t="shared" si="98"/>
        <v>4648.50</v>
      </c>
      <c r="F42" s="1320">
        <f t="shared" si="98"/>
        <v>4790.3999999999996</v>
      </c>
      <c r="G42" s="1320">
        <f t="shared" si="98"/>
        <v>4841.8999999999996</v>
      </c>
      <c r="H42" s="1021">
        <f t="shared" si="98"/>
        <v>4911.80</v>
      </c>
      <c r="I42" s="1021">
        <f t="shared" si="98"/>
        <v>4872.70</v>
      </c>
      <c r="J42" s="1021">
        <f t="shared" si="98"/>
        <v>4784.6000000000004</v>
      </c>
      <c r="K42" s="1021">
        <f t="shared" si="98"/>
        <v>4725.50</v>
      </c>
      <c r="L42" s="1320">
        <f t="shared" si="98"/>
        <v>4725.50</v>
      </c>
      <c r="M42" s="1021">
        <f t="shared" si="98"/>
        <v>4765.6000000000004</v>
      </c>
      <c r="N42" s="1021">
        <f t="shared" si="98"/>
        <v>4753.6000000000004</v>
      </c>
      <c r="O42" s="1021">
        <f t="shared" si="98"/>
        <v>4739.8999999999996</v>
      </c>
      <c r="P42" s="1021">
        <f t="shared" si="98"/>
        <v>4737.1000000000004</v>
      </c>
      <c r="Q42" s="1320">
        <f t="shared" si="98"/>
        <v>4737.1000000000004</v>
      </c>
      <c r="R42" s="1021">
        <f t="shared" si="98"/>
        <v>4865.3999999999996</v>
      </c>
      <c r="S42" s="1021">
        <f t="shared" si="98"/>
        <v>4937.6000000000004</v>
      </c>
      <c r="T42" s="1021">
        <f t="shared" si="98"/>
        <v>4980.1000000000004</v>
      </c>
      <c r="U42" s="1021">
        <f t="shared" si="98"/>
        <v>5045.3999999999996</v>
      </c>
      <c r="V42" s="1320">
        <f t="shared" si="98"/>
        <v>5045.3999999999996</v>
      </c>
      <c r="W42" s="1021">
        <f t="shared" si="98"/>
        <v>5228.30</v>
      </c>
      <c r="X42" s="1021">
        <f t="shared" si="98"/>
        <v>5350.30</v>
      </c>
      <c r="Y42" s="1021">
        <f t="shared" si="98"/>
        <v>5515.30</v>
      </c>
      <c r="Z42" s="1021">
        <f t="shared" si="98"/>
        <v>5670.70</v>
      </c>
      <c r="AA42" s="1320">
        <f t="shared" si="98"/>
        <v>5670.70</v>
      </c>
      <c r="AB42" s="1021">
        <f t="shared" si="98"/>
        <v>5909.10</v>
      </c>
      <c r="AC42" s="1021">
        <f t="shared" si="98"/>
        <v>6107.40</v>
      </c>
      <c r="AD42" s="1021">
        <f t="shared" si="98"/>
        <v>6249.30</v>
      </c>
      <c r="AE42" s="1021">
        <f t="shared" si="98"/>
        <v>6358.30</v>
      </c>
      <c r="AF42" s="1320">
        <f t="shared" si="98"/>
        <v>6358.30</v>
      </c>
      <c r="AG42" s="1021">
        <f t="shared" si="98"/>
        <v>6609.10</v>
      </c>
      <c r="AH42" s="1021">
        <f t="shared" si="98"/>
        <v>6783.70</v>
      </c>
      <c r="AI42" s="1021">
        <f t="shared" si="98"/>
        <v>6903.80</v>
      </c>
      <c r="AJ42" s="1021">
        <f t="shared" si="98"/>
        <v>6994.30</v>
      </c>
      <c r="AK42" s="1320">
        <f t="shared" si="98"/>
        <v>6994.30</v>
      </c>
      <c r="AL42" s="1021">
        <f t="shared" si="98"/>
        <v>7164.60</v>
      </c>
      <c r="AM42" s="1021">
        <f t="shared" si="98"/>
        <v>7362.50</v>
      </c>
      <c r="AN42" s="1021">
        <f t="shared" si="98"/>
        <v>7527.10</v>
      </c>
      <c r="AO42" s="1021">
        <f t="shared" si="98"/>
        <v>7617</v>
      </c>
      <c r="AP42" s="1320">
        <f t="shared" si="98"/>
        <v>7617</v>
      </c>
      <c r="AQ42" s="1021">
        <f t="shared" si="98"/>
        <v>7863.50</v>
      </c>
      <c r="AR42" s="1021">
        <f t="shared" si="98"/>
        <v>8014.20</v>
      </c>
      <c r="AS42" s="1021">
        <f t="shared" si="98"/>
        <v>7973.60</v>
      </c>
      <c r="AT42" s="1021">
        <f t="shared" si="98"/>
        <v>7879</v>
      </c>
      <c r="AU42" s="1320">
        <f t="shared" si="98"/>
        <v>7879</v>
      </c>
      <c r="AV42" s="1021">
        <f t="shared" si="99" ref="AV42:BA42">AV203</f>
        <v>7758.40</v>
      </c>
      <c r="AW42" s="1021">
        <f t="shared" si="99"/>
        <v>7619.50</v>
      </c>
      <c r="AX42" s="1021">
        <f t="shared" si="99"/>
        <v>7600.30</v>
      </c>
      <c r="AY42" s="1021">
        <f t="shared" si="99"/>
        <v>7766.30</v>
      </c>
      <c r="AZ42" s="1320">
        <f t="shared" si="99"/>
        <v>7766.30</v>
      </c>
      <c r="BA42" s="1021">
        <f t="shared" si="99"/>
        <v>8172.90</v>
      </c>
      <c r="BB42" s="1021">
        <f t="shared" si="100" ref="BB42:BG42">BB203</f>
        <v>8437.7999999999993</v>
      </c>
      <c r="BC42" s="1021">
        <f t="shared" si="100"/>
        <v>8363.2999999999993</v>
      </c>
      <c r="BD42" s="1021">
        <f t="shared" si="100"/>
        <v>8335.50</v>
      </c>
      <c r="BE42" s="1320">
        <f t="shared" si="100"/>
        <v>8335.50</v>
      </c>
      <c r="BF42" s="1021">
        <f t="shared" si="100"/>
        <v>8592.90</v>
      </c>
      <c r="BG42" s="1021">
        <f t="shared" si="100"/>
        <v>8964.7999999999993</v>
      </c>
      <c r="BH42" s="1022">
        <f>BH203</f>
        <v>9415.60</v>
      </c>
      <c r="BI42" s="1023">
        <f>BH42*(1+BI43)</f>
        <v>9603.9120000000003</v>
      </c>
      <c r="BJ42" s="1321">
        <f>BI42</f>
        <v>9603.9120000000003</v>
      </c>
      <c r="BK42" s="1023">
        <f>BI42*(1+BK43)</f>
        <v>9795.990240000001</v>
      </c>
      <c r="BL42" s="1023">
        <f>BK42*(1+BL43)</f>
        <v>9991.9100448000008</v>
      </c>
      <c r="BM42" s="1023">
        <f>BL42*(1+BM43)</f>
        <v>10191.748245696001</v>
      </c>
      <c r="BN42" s="1023">
        <f>BM42*(1+BN43)</f>
        <v>10395.583210609921</v>
      </c>
      <c r="BO42" s="1321">
        <f>BN42</f>
        <v>10395.583210609921</v>
      </c>
      <c r="BP42" s="1322">
        <f>BO42*(1+BP44)</f>
        <v>10603.49487482212</v>
      </c>
      <c r="BQ42" s="1322">
        <f>BP42*(1+BQ44)</f>
        <v>10815.564772318563</v>
      </c>
      <c r="BR42" s="1321">
        <f>BQ42*(1+BR44)</f>
        <v>11031.876067764935</v>
      </c>
      <c r="BS42" s="648"/>
    </row>
    <row r="43" spans="1:71" s="669" customFormat="1" ht="15" hidden="1" outlineLevel="2">
      <c r="A43" s="107" t="s">
        <v>501</v>
      </c>
      <c r="B43" s="108"/>
      <c r="C43" s="1325"/>
      <c r="D43" s="1325"/>
      <c r="E43" s="1325"/>
      <c r="F43" s="1325"/>
      <c r="G43" s="1325"/>
      <c r="H43" s="726">
        <f>H42/G42-1</f>
        <v>0.014436481546500346</v>
      </c>
      <c r="I43" s="726">
        <f>I42/H42-1</f>
        <v>-0.0079604218412802075</v>
      </c>
      <c r="J43" s="726">
        <f>J42/I42-1</f>
        <v>-0.018080325076446191</v>
      </c>
      <c r="K43" s="726">
        <f>K42/J42-1</f>
        <v>-0.012352129749613416</v>
      </c>
      <c r="L43" s="1325"/>
      <c r="M43" s="726">
        <f>M42/K42-1</f>
        <v>0.0084858745106337619</v>
      </c>
      <c r="N43" s="726">
        <f>N42/M42-1</f>
        <v>-0.0025180459963068946</v>
      </c>
      <c r="O43" s="726">
        <f>O42/N42-1</f>
        <v>-0.0028820262537867514</v>
      </c>
      <c r="P43" s="726">
        <f>P42/O42-1</f>
        <v>-0.0005907297622310681</v>
      </c>
      <c r="Q43" s="1325"/>
      <c r="R43" s="726">
        <f>R42/P42-1</f>
        <v>0.02708408097781323</v>
      </c>
      <c r="S43" s="726">
        <f>S42/R42-1</f>
        <v>0.014839478768446712</v>
      </c>
      <c r="T43" s="726">
        <f>T42/S42-1</f>
        <v>0.0086074206092028316</v>
      </c>
      <c r="U43" s="726">
        <f>U42/T42-1</f>
        <v>0.013112186502278966</v>
      </c>
      <c r="V43" s="1325"/>
      <c r="W43" s="726">
        <f>W42/U42-1</f>
        <v>0.036250842351448931</v>
      </c>
      <c r="X43" s="726">
        <f>X42/W42-1</f>
        <v>0.023334544689478376</v>
      </c>
      <c r="Y43" s="726">
        <f>Y42/X42-1</f>
        <v>0.030839392183615866</v>
      </c>
      <c r="Z43" s="726">
        <f>Z42/Y42-1</f>
        <v>0.028176164487879074</v>
      </c>
      <c r="AA43" s="1325"/>
      <c r="AB43" s="726">
        <f>AB42/Z42-1</f>
        <v>0.042040665173611824</v>
      </c>
      <c r="AC43" s="726">
        <f>AC42/AB42-1</f>
        <v>0.033558409910138476</v>
      </c>
      <c r="AD43" s="726">
        <f>AD42/AC42-1</f>
        <v>0.023234109441006012</v>
      </c>
      <c r="AE43" s="726">
        <f>AE42/AD42-1</f>
        <v>0.017441953498791962</v>
      </c>
      <c r="AF43" s="1325"/>
      <c r="AG43" s="726">
        <f>AG42/AE42-1</f>
        <v>0.039444505606844649</v>
      </c>
      <c r="AH43" s="726">
        <f>AH42/AG42-1</f>
        <v>0.026418120470260709</v>
      </c>
      <c r="AI43" s="726">
        <f>AI42/AH42-1</f>
        <v>0.017704202721228857</v>
      </c>
      <c r="AJ43" s="726">
        <f>AJ42/AI42-1</f>
        <v>0.013108722732408262</v>
      </c>
      <c r="AK43" s="1325"/>
      <c r="AL43" s="726">
        <f>AL42/AJ42-1</f>
        <v>0.024348397981213354</v>
      </c>
      <c r="AM43" s="726">
        <f>AM42/AL42-1</f>
        <v>0.027621918878932394</v>
      </c>
      <c r="AN43" s="726">
        <f>AN42/AM42-1</f>
        <v>0.022356536502546653</v>
      </c>
      <c r="AO43" s="726">
        <f>AO42/AN42-1</f>
        <v>0.011943510781044386</v>
      </c>
      <c r="AP43" s="1325"/>
      <c r="AQ43" s="726">
        <f>AQ42/AO42-1</f>
        <v>0.032361822239726834</v>
      </c>
      <c r="AR43" s="726">
        <f>AR42/AQ42-1</f>
        <v>0.019164494181979963</v>
      </c>
      <c r="AS43" s="726">
        <f>AS42/AR42-1</f>
        <v>-0.0050660078360909022</v>
      </c>
      <c r="AT43" s="726">
        <f>AT42/AS42-1</f>
        <v>-0.011864151700612058</v>
      </c>
      <c r="AU43" s="1325"/>
      <c r="AV43" s="726">
        <f>AV42/AT42-1</f>
        <v>-0.015306510978550625</v>
      </c>
      <c r="AW43" s="726">
        <f>AW42/AV42-1</f>
        <v>-0.017903175912559299</v>
      </c>
      <c r="AX43" s="726">
        <f>AX42/AW42-1</f>
        <v>-0.0025198503838834707</v>
      </c>
      <c r="AY43" s="726">
        <f>AY42/AX42-1</f>
        <v>0.021841243108824626</v>
      </c>
      <c r="AZ43" s="1325"/>
      <c r="BA43" s="726">
        <f>BA42/AY42-1</f>
        <v>0.05235440299756644</v>
      </c>
      <c r="BB43" s="726">
        <f>BB42/BA42-1</f>
        <v>0.032411995742025468</v>
      </c>
      <c r="BC43" s="726">
        <f>BC42/BB42-1</f>
        <v>-0.0088293156984048382</v>
      </c>
      <c r="BD43" s="726">
        <f>BD42/BC42-1</f>
        <v>-0.0033240467279661567</v>
      </c>
      <c r="BE43" s="1325"/>
      <c r="BF43" s="726">
        <f>BF42/BD42-1</f>
        <v>0.03087997120748609</v>
      </c>
      <c r="BG43" s="726">
        <f>BG42/BF42-1</f>
        <v>0.043279917140895297</v>
      </c>
      <c r="BH43" s="808">
        <f>BH42/BG42-1</f>
        <v>0.050285561306443016</v>
      </c>
      <c r="BI43" s="1215">
        <v>0.02</v>
      </c>
      <c r="BJ43" s="1326"/>
      <c r="BK43" s="1215">
        <v>0.02</v>
      </c>
      <c r="BL43" s="1215">
        <v>0.02</v>
      </c>
      <c r="BM43" s="1215">
        <v>0.02</v>
      </c>
      <c r="BN43" s="1215">
        <v>0.02</v>
      </c>
      <c r="BO43" s="1326"/>
      <c r="BP43" s="1325"/>
      <c r="BQ43" s="1325"/>
      <c r="BR43" s="1326"/>
      <c r="BS43" s="648"/>
    </row>
    <row r="44" spans="1:71" s="669" customFormat="1" ht="15" hidden="1" outlineLevel="2">
      <c r="A44" s="107" t="s">
        <v>502</v>
      </c>
      <c r="B44" s="108"/>
      <c r="C44" s="1325"/>
      <c r="D44" s="1325">
        <f>D42/C42-1</f>
        <v>0.042077595831782721</v>
      </c>
      <c r="E44" s="1325">
        <f>E42/D42-1</f>
        <v>0.037588446686457777</v>
      </c>
      <c r="F44" s="1325">
        <f>F42/E42-1</f>
        <v>0.030525976121329457</v>
      </c>
      <c r="G44" s="1325">
        <f>G42/F42-1</f>
        <v>0.010750668002672104</v>
      </c>
      <c r="H44" s="726"/>
      <c r="I44" s="726"/>
      <c r="J44" s="726"/>
      <c r="K44" s="726"/>
      <c r="L44" s="1325">
        <f t="shared" si="101" ref="L44:AU44">L42/G42-1</f>
        <v>-0.024040149528077759</v>
      </c>
      <c r="M44" s="726">
        <f t="shared" si="101"/>
        <v>-0.029765055580438959</v>
      </c>
      <c r="N44" s="726">
        <f t="shared" si="101"/>
        <v>-0.024442300983027798</v>
      </c>
      <c r="O44" s="726">
        <f t="shared" si="101"/>
        <v>-0.009342473770012294</v>
      </c>
      <c r="P44" s="726">
        <f t="shared" si="101"/>
        <v>0.00245476669135547</v>
      </c>
      <c r="Q44" s="1325">
        <f t="shared" si="101"/>
        <v>0.00245476669135547</v>
      </c>
      <c r="R44" s="726">
        <f t="shared" si="101"/>
        <v>0.020941749202618709</v>
      </c>
      <c r="S44" s="726">
        <f t="shared" si="101"/>
        <v>0.038707505890272609</v>
      </c>
      <c r="T44" s="726">
        <f t="shared" si="101"/>
        <v>0.050676174602839907</v>
      </c>
      <c r="U44" s="726">
        <f t="shared" si="101"/>
        <v>0.065082012201557848</v>
      </c>
      <c r="V44" s="1325">
        <f t="shared" si="101"/>
        <v>0.065082012201557848</v>
      </c>
      <c r="W44" s="726">
        <f t="shared" si="101"/>
        <v>0.074587906441402785</v>
      </c>
      <c r="X44" s="726">
        <f t="shared" si="101"/>
        <v>0.083583117303953403</v>
      </c>
      <c r="Y44" s="726">
        <f t="shared" si="101"/>
        <v>0.10746772153169615</v>
      </c>
      <c r="Z44" s="726">
        <f t="shared" si="101"/>
        <v>0.12393467316763784</v>
      </c>
      <c r="AA44" s="1325">
        <f t="shared" si="101"/>
        <v>0.12393467316763784</v>
      </c>
      <c r="AB44" s="726">
        <f t="shared" si="101"/>
        <v>0.13021441003767964</v>
      </c>
      <c r="AC44" s="726">
        <f t="shared" si="101"/>
        <v>0.14150608377100338</v>
      </c>
      <c r="AD44" s="726">
        <f t="shared" si="101"/>
        <v>0.13308432904828393</v>
      </c>
      <c r="AE44" s="726">
        <f t="shared" si="101"/>
        <v>0.12125487153261516</v>
      </c>
      <c r="AF44" s="1325">
        <f t="shared" si="101"/>
        <v>0.12125487153261516</v>
      </c>
      <c r="AG44" s="726">
        <f t="shared" si="101"/>
        <v>0.11846135621329812</v>
      </c>
      <c r="AH44" s="726">
        <f t="shared" si="101"/>
        <v>0.11073451878049578</v>
      </c>
      <c r="AI44" s="726">
        <f t="shared" si="101"/>
        <v>0.1047317299537549</v>
      </c>
      <c r="AJ44" s="726">
        <f t="shared" si="101"/>
        <v>0.10002673670635231</v>
      </c>
      <c r="AK44" s="1325">
        <f t="shared" si="101"/>
        <v>0.10002673670635231</v>
      </c>
      <c r="AL44" s="726">
        <f t="shared" si="101"/>
        <v>0.084050778472106735</v>
      </c>
      <c r="AM44" s="726">
        <f t="shared" si="101"/>
        <v>0.085322169317629148</v>
      </c>
      <c r="AN44" s="726">
        <f t="shared" si="101"/>
        <v>0.090283611923868134</v>
      </c>
      <c r="AO44" s="726">
        <f t="shared" si="101"/>
        <v>0.089029638419856116</v>
      </c>
      <c r="AP44" s="1325">
        <f t="shared" si="101"/>
        <v>0.089029638419856116</v>
      </c>
      <c r="AQ44" s="726">
        <f t="shared" si="101"/>
        <v>0.097549060659352982</v>
      </c>
      <c r="AR44" s="726">
        <f t="shared" si="101"/>
        <v>0.088516129032258029</v>
      </c>
      <c r="AS44" s="726">
        <f t="shared" si="101"/>
        <v>0.059318994034887274</v>
      </c>
      <c r="AT44" s="726">
        <f t="shared" si="101"/>
        <v>0.034396744124983503</v>
      </c>
      <c r="AU44" s="1325">
        <f t="shared" si="101"/>
        <v>0.034396744124983503</v>
      </c>
      <c r="AV44" s="726">
        <f t="shared" si="102" ref="AV44:AZ44">AV42/AQ42-1</f>
        <v>-0.013365549691613188</v>
      </c>
      <c r="AW44" s="726">
        <f t="shared" si="102"/>
        <v>-0.049250081106036792</v>
      </c>
      <c r="AX44" s="726">
        <f t="shared" si="102"/>
        <v>-0.046816996087087448</v>
      </c>
      <c r="AY44" s="726">
        <f t="shared" si="102"/>
        <v>-0.014303845665693538</v>
      </c>
      <c r="AZ44" s="1325">
        <f t="shared" si="102"/>
        <v>-0.014303845665693538</v>
      </c>
      <c r="BA44" s="726">
        <f t="shared" si="103" ref="BA44:BO44">BA42/AV42-1</f>
        <v>0.053425964116312619</v>
      </c>
      <c r="BB44" s="726">
        <f t="shared" si="103"/>
        <v>0.10739549839228291</v>
      </c>
      <c r="BC44" s="726">
        <f t="shared" si="103"/>
        <v>0.10039077404839269</v>
      </c>
      <c r="BD44" s="726">
        <f t="shared" si="103"/>
        <v>0.073291013738846056</v>
      </c>
      <c r="BE44" s="1325">
        <f t="shared" si="103"/>
        <v>0.073291013738846056</v>
      </c>
      <c r="BF44" s="726">
        <f>BF42/BA42-1</f>
        <v>0.051389347722350598</v>
      </c>
      <c r="BG44" s="726">
        <f>BG42/BB42-1</f>
        <v>0.062457038564554646</v>
      </c>
      <c r="BH44" s="808">
        <f>BH42/BC42-1</f>
        <v>0.125823538555355</v>
      </c>
      <c r="BI44" s="98">
        <f t="shared" si="103"/>
        <v>0.15216987583228359</v>
      </c>
      <c r="BJ44" s="1326">
        <f t="shared" si="103"/>
        <v>0.15216987583228359</v>
      </c>
      <c r="BK44" s="98">
        <f t="shared" si="103"/>
        <v>0.1400098034423769</v>
      </c>
      <c r="BL44" s="98">
        <f t="shared" si="103"/>
        <v>0.11457143994288788</v>
      </c>
      <c r="BM44" s="98">
        <f t="shared" si="103"/>
        <v>0.082432159999999977</v>
      </c>
      <c r="BN44" s="98">
        <f t="shared" si="103"/>
        <v>0.082432159999999977</v>
      </c>
      <c r="BO44" s="1326">
        <f t="shared" si="103"/>
        <v>0.082432159999999977</v>
      </c>
      <c r="BP44" s="1341">
        <v>0.02</v>
      </c>
      <c r="BQ44" s="1341">
        <v>0.02</v>
      </c>
      <c r="BR44" s="1342">
        <v>0.02</v>
      </c>
      <c r="BS44" s="648"/>
    </row>
    <row r="45" spans="1:71" s="668" customFormat="1" ht="15" hidden="1" outlineLevel="2">
      <c r="A45" s="25" t="s">
        <v>498</v>
      </c>
      <c r="B45" s="394"/>
      <c r="C45" s="1322"/>
      <c r="D45" s="1320">
        <f t="shared" si="104" ref="D45:K45">AVERAGE(D42,D40)</f>
        <v>4389.6499999999996</v>
      </c>
      <c r="E45" s="1320">
        <f t="shared" si="104"/>
        <v>4564.30</v>
      </c>
      <c r="F45" s="1320">
        <f t="shared" si="104"/>
        <v>4719.45</v>
      </c>
      <c r="G45" s="1320">
        <f t="shared" si="104"/>
        <v>4816.1499999999996</v>
      </c>
      <c r="H45" s="1021">
        <f t="shared" si="104"/>
        <v>4876.8500000000004</v>
      </c>
      <c r="I45" s="1021">
        <f t="shared" si="104"/>
        <v>4892.25</v>
      </c>
      <c r="J45" s="1021">
        <f t="shared" si="104"/>
        <v>4828.6499999999996</v>
      </c>
      <c r="K45" s="1021">
        <f t="shared" si="104"/>
        <v>4755.05</v>
      </c>
      <c r="L45" s="1320">
        <f>SUM(H45*H$3,I45*I$3,J45*J$3,K45*K$3)/L$3</f>
        <v>4837.8401369863013</v>
      </c>
      <c r="M45" s="1021">
        <f>AVERAGE(M42,M40)</f>
        <v>4745.55</v>
      </c>
      <c r="N45" s="1021">
        <f>AVERAGE(N42,N40)</f>
        <v>4759.6000000000004</v>
      </c>
      <c r="O45" s="1021">
        <f>AVERAGE(O42,O40)</f>
        <v>4746.75</v>
      </c>
      <c r="P45" s="1021">
        <f>AVERAGE(P42,P40)</f>
        <v>4738.50</v>
      </c>
      <c r="Q45" s="1320">
        <f>SUM(M45*M$3,N45*N$3,O45*O$3,P45*P$3)/Q$3</f>
        <v>4747.5783561643839</v>
      </c>
      <c r="R45" s="1021">
        <f>AVERAGE(R42,R40)</f>
        <v>4801.25</v>
      </c>
      <c r="S45" s="1021">
        <f>AVERAGE(S42,S40)</f>
        <v>4901.50</v>
      </c>
      <c r="T45" s="1021">
        <f>AVERAGE(T42,T40)</f>
        <v>4958.8500000000004</v>
      </c>
      <c r="U45" s="1021">
        <f>AVERAGE(U42,U40)</f>
        <v>5012.75</v>
      </c>
      <c r="V45" s="1320">
        <f>SUM(R45*R$3,S45*S$3,T45*T$3,U45*U$3)/V$3</f>
        <v>4918.9547814207644</v>
      </c>
      <c r="W45" s="1021">
        <f>AVERAGE(W42,W40)</f>
        <v>5136.8500000000004</v>
      </c>
      <c r="X45" s="1021">
        <f>AVERAGE(X42,X40)</f>
        <v>5289.30</v>
      </c>
      <c r="Y45" s="1021">
        <f>AVERAGE(Y42,Y40)</f>
        <v>5432.80</v>
      </c>
      <c r="Z45" s="1021">
        <f>AVERAGE(Z42,Z40)</f>
        <v>5593</v>
      </c>
      <c r="AA45" s="1320">
        <f>SUM(W45*W$3,X45*X$3,Y45*Y$3,Z45*Z$3)/AA$3</f>
        <v>5364.4284931506854</v>
      </c>
      <c r="AB45" s="1021">
        <f>AVERAGE(AB42,AB40)</f>
        <v>5789.90</v>
      </c>
      <c r="AC45" s="1021">
        <f>AVERAGE(AC42,AC40)</f>
        <v>6008.25</v>
      </c>
      <c r="AD45" s="1021">
        <f>AVERAGE(AD42,AD40)</f>
        <v>6178.3500000000004</v>
      </c>
      <c r="AE45" s="1021">
        <f>AVERAGE(AE42,AE40)</f>
        <v>6303.80</v>
      </c>
      <c r="AF45" s="1320">
        <f>SUM(AB45*AB$3,AC45*AC$3,AD45*AD$3,AE45*AE$3)/AF$3</f>
        <v>6071.7795890410971</v>
      </c>
      <c r="AG45" s="1021">
        <f>AVERAGE(AG42,AG40)</f>
        <v>6483.7000000000007</v>
      </c>
      <c r="AH45" s="1021">
        <f>AVERAGE(AH42,AH40)</f>
        <v>6696.40</v>
      </c>
      <c r="AI45" s="1021">
        <f>AVERAGE(AI42,AI40)</f>
        <v>6843.75</v>
      </c>
      <c r="AJ45" s="1021">
        <f>AVERAGE(AJ42,AJ40)</f>
        <v>6949.0500000000002</v>
      </c>
      <c r="AK45" s="1320">
        <f>SUM(AG45*AG$3,AH45*AH$3,AI45*AI$3,AJ45*AJ$3)/AK$3</f>
        <v>6744.7753424657531</v>
      </c>
      <c r="AL45" s="1021">
        <f>AVERAGE(AL42,AL40)</f>
        <v>7079.4500000000007</v>
      </c>
      <c r="AM45" s="1021">
        <f>AVERAGE(AM42,AM40)</f>
        <v>7263.5500000000002</v>
      </c>
      <c r="AN45" s="1021">
        <f>AVERAGE(AN42,AN40)</f>
        <v>7444.80</v>
      </c>
      <c r="AO45" s="1021">
        <f>AVERAGE(AO42,AO40)</f>
        <v>7572.0500000000002</v>
      </c>
      <c r="AP45" s="1320">
        <f>SUM(AL45*AL$3,AM45*AM$3,AN45*AN$3,AO45*AO$3)/AP$3</f>
        <v>7340.8830601092905</v>
      </c>
      <c r="AQ45" s="1021">
        <f>AVERAGE(AQ42,AQ40)</f>
        <v>7740.25</v>
      </c>
      <c r="AR45" s="1021">
        <f>AVERAGE(AR42,AR40)</f>
        <v>7938.8500000000004</v>
      </c>
      <c r="AS45" s="1021">
        <f>AVERAGE(AS42,AS40)</f>
        <v>7993.90</v>
      </c>
      <c r="AT45" s="1021">
        <f>AVERAGE(AT42,AT40)</f>
        <v>7926.30</v>
      </c>
      <c r="AU45" s="1320">
        <f>SUM(AQ45*AQ$3,AR45*AR$3,AS45*AS$3,AT45*AT$3)/AU$3</f>
        <v>7900.5924657534242</v>
      </c>
      <c r="AV45" s="1021">
        <f>AVERAGE(AV42,AV40)</f>
        <v>7818.70</v>
      </c>
      <c r="AW45" s="1021">
        <f>AVERAGE(AW42,AW40)</f>
        <v>7688.9499999999998</v>
      </c>
      <c r="AX45" s="1021">
        <f>AVERAGE(AX42,AX40)</f>
        <v>7609.90</v>
      </c>
      <c r="AY45" s="1021">
        <f>AVERAGE(AY42,AY40)</f>
        <v>7683.30</v>
      </c>
      <c r="AZ45" s="1320">
        <f>SUM(AV45*AV$3,AW45*AW$3,AX45*AX$3,AY45*AY$3)/AZ$3</f>
        <v>7699.5941095890412</v>
      </c>
      <c r="BA45" s="1021">
        <f>AVERAGE(BA42,BA40)</f>
        <v>7969.60</v>
      </c>
      <c r="BB45" s="1021">
        <f>AVERAGE(BB42,BB40)</f>
        <v>8305.3499999999985</v>
      </c>
      <c r="BC45" s="1021">
        <f>AVERAGE(BC42,BC40)</f>
        <v>8400.5499999999993</v>
      </c>
      <c r="BD45" s="1021">
        <f>AVERAGE(BD42,BD40)</f>
        <v>8349.40</v>
      </c>
      <c r="BE45" s="1320">
        <f>SUM(BA45*BA$3,BB45*BB$3,BC45*BC$3,BD45*BD$3)/BE$3</f>
        <v>8257.6609589041091</v>
      </c>
      <c r="BF45" s="1021">
        <f>AVERAGE(BF42,BF40)</f>
        <v>8464.2000000000007</v>
      </c>
      <c r="BG45" s="1021">
        <f>AVERAGE(BG42,BG40)</f>
        <v>8778.8499999999985</v>
      </c>
      <c r="BH45" s="1022">
        <f>AVERAGE(BH42,BH40)</f>
        <v>9190.2000000000007</v>
      </c>
      <c r="BI45" s="1023">
        <f>AVERAGE(BI42,BI40)</f>
        <v>9509.7560000000012</v>
      </c>
      <c r="BJ45" s="1321">
        <f>SUM(BF45*BF$3,BG45*BG$3,BH45*BH$3,BI45*BI$3)/BJ$3</f>
        <v>8987.7418087431688</v>
      </c>
      <c r="BK45" s="1023">
        <f>AVERAGE(BK42,BK40)</f>
        <v>9699.9511200000015</v>
      </c>
      <c r="BL45" s="1023">
        <f>AVERAGE(BL42,BL40)</f>
        <v>9893.9501424000009</v>
      </c>
      <c r="BM45" s="1023">
        <f>AVERAGE(BM42,BM40)</f>
        <v>10091.829145248001</v>
      </c>
      <c r="BN45" s="1023">
        <f>AVERAGE(BN42,BN40)</f>
        <v>10293.665728152961</v>
      </c>
      <c r="BO45" s="1321">
        <f>SUM(BK45*BK$3,BL45*BL$3,BM45*BM$3,BN45*BN$3)/BO$3</f>
        <v>9996.741348250107</v>
      </c>
      <c r="BP45" s="1322">
        <f>AVERAGE(BP42,BP40)</f>
        <v>10499.53904271602</v>
      </c>
      <c r="BQ45" s="1322">
        <f>AVERAGE(BQ42,BQ40)</f>
        <v>10709.529823570341</v>
      </c>
      <c r="BR45" s="1321">
        <f>AVERAGE(BR42,BR40)</f>
        <v>10923.720420041749</v>
      </c>
      <c r="BS45" s="648"/>
    </row>
    <row r="46" spans="1:71" s="669" customFormat="1" ht="7.5" customHeight="1" hidden="1" outlineLevel="2">
      <c r="A46" s="107"/>
      <c r="B46" s="108"/>
      <c r="C46" s="1325"/>
      <c r="D46" s="1325"/>
      <c r="E46" s="1325"/>
      <c r="F46" s="1325"/>
      <c r="G46" s="1325"/>
      <c r="H46" s="726"/>
      <c r="I46" s="726"/>
      <c r="J46" s="726"/>
      <c r="K46" s="726"/>
      <c r="L46" s="1325"/>
      <c r="M46" s="726"/>
      <c r="N46" s="726"/>
      <c r="O46" s="726"/>
      <c r="P46" s="726"/>
      <c r="Q46" s="1325"/>
      <c r="R46" s="726"/>
      <c r="S46" s="726"/>
      <c r="T46" s="726"/>
      <c r="U46" s="726"/>
      <c r="V46" s="1325"/>
      <c r="W46" s="726"/>
      <c r="X46" s="726"/>
      <c r="Y46" s="726"/>
      <c r="Z46" s="726"/>
      <c r="AA46" s="1325"/>
      <c r="AB46" s="726"/>
      <c r="AC46" s="726"/>
      <c r="AD46" s="726"/>
      <c r="AE46" s="726"/>
      <c r="AF46" s="1325"/>
      <c r="AG46" s="726"/>
      <c r="AH46" s="726"/>
      <c r="AI46" s="726"/>
      <c r="AJ46" s="726"/>
      <c r="AK46" s="1325"/>
      <c r="AL46" s="726"/>
      <c r="AM46" s="726"/>
      <c r="AN46" s="726"/>
      <c r="AO46" s="726"/>
      <c r="AP46" s="1325"/>
      <c r="AQ46" s="726"/>
      <c r="AR46" s="726"/>
      <c r="AS46" s="726"/>
      <c r="AT46" s="726"/>
      <c r="AU46" s="1325"/>
      <c r="AV46" s="726"/>
      <c r="AW46" s="726"/>
      <c r="AX46" s="726"/>
      <c r="AY46" s="726"/>
      <c r="AZ46" s="1325"/>
      <c r="BA46" s="726"/>
      <c r="BB46" s="726"/>
      <c r="BC46" s="726"/>
      <c r="BD46" s="726"/>
      <c r="BE46" s="1325"/>
      <c r="BF46" s="726"/>
      <c r="BG46" s="726"/>
      <c r="BH46" s="808"/>
      <c r="BI46" s="98"/>
      <c r="BJ46" s="1326"/>
      <c r="BK46" s="98"/>
      <c r="BL46" s="98"/>
      <c r="BM46" s="98"/>
      <c r="BN46" s="98"/>
      <c r="BO46" s="1326"/>
      <c r="BP46" s="1325"/>
      <c r="BQ46" s="1325"/>
      <c r="BR46" s="1326"/>
      <c r="BS46" s="648"/>
    </row>
    <row r="47" spans="1:71" s="674" customFormat="1" ht="15" hidden="1" outlineLevel="2">
      <c r="A47" s="476" t="s">
        <v>622</v>
      </c>
      <c r="B47" s="477"/>
      <c r="C47" s="1345"/>
      <c r="D47" s="1346">
        <f>(D50*1000)/(D45+(D36*D38))</f>
        <v>1217.3693983609023</v>
      </c>
      <c r="E47" s="1346">
        <f>(E50*1000)/(E45+(E36*E38))</f>
        <v>1201.2065377510696</v>
      </c>
      <c r="F47" s="1346">
        <f>(F50*1000)/(F45+(F36*F38))</f>
        <v>1239.5259530912997</v>
      </c>
      <c r="G47" s="1346">
        <f>(G50*1000)/(G45+(G36*G38))</f>
        <v>1279.8082331790426</v>
      </c>
      <c r="H47" s="481">
        <f>(H50*1000)/(H45+(H38*H36))*(L$3/H$3)</f>
        <v>1353.3571561998885</v>
      </c>
      <c r="I47" s="481">
        <f>(I50*1000)/(I45+(I38*I36))*(L$3/I$3)</f>
        <v>1330.9833828225208</v>
      </c>
      <c r="J47" s="481">
        <f>(J50*1000)/(J45+(J38*J36))*(L$3/J$3)</f>
        <v>1320.2147701672004</v>
      </c>
      <c r="K47" s="481">
        <f>(K50*1000)/(K45+(K38*K36))*(L$3/K$3)</f>
        <v>1307.0374855361695</v>
      </c>
      <c r="L47" s="1346">
        <f>(L50*1000)/(L45+(L36*L38))</f>
        <v>1327.8218069738737</v>
      </c>
      <c r="M47" s="481">
        <f>(M50*1000)/(M45+(M38*M36))*(Q$3/M$3)</f>
        <v>1412.4603761189126</v>
      </c>
      <c r="N47" s="481">
        <f>(N50*1000)/(N45+(N38*N36))*(Q$3/N$3)</f>
        <v>1382.9482011350303</v>
      </c>
      <c r="O47" s="481">
        <f>(O50*1000)/(O45+(O38*O36))*(Q$3/O$3)</f>
        <v>1386.5672317739197</v>
      </c>
      <c r="P47" s="481">
        <f>(P50*1000)/(P45+(P38*P36))*(Q$3/P$3)</f>
        <v>1251.4118445087522</v>
      </c>
      <c r="Q47" s="1346">
        <f>(Q50*1000)/(Q45+(Q36*Q38))</f>
        <v>1357.9187886541984</v>
      </c>
      <c r="R47" s="481">
        <f>(R50*1000)/(R45+(R38*R36))*(V$3/R$3)</f>
        <v>1462.0155347722039</v>
      </c>
      <c r="S47" s="481">
        <f>(S50*1000)/(S45+(S38*S36))*(V$3/S$3)</f>
        <v>1460.4069680600567</v>
      </c>
      <c r="T47" s="481">
        <f>(T50*1000)/(T45+(T38*T36))*(V$3/T$3)</f>
        <v>1452.2212149796408</v>
      </c>
      <c r="U47" s="481">
        <f>(U50*1000)/(U45+(U38*U36))*(V$3/U$3)</f>
        <v>1379.1764221646536</v>
      </c>
      <c r="V47" s="1346">
        <f>(V50*1000)/(V45+(V36*V38))</f>
        <v>1437.9471032120198</v>
      </c>
      <c r="W47" s="481">
        <f>(W50*1000)/(W45+(W38*W36))*(AA$3/W$3)</f>
        <v>1574.2854073750414</v>
      </c>
      <c r="X47" s="481">
        <f>(X50*1000)/(X45+(X38*X36))*(AA$3/X$3)</f>
        <v>1571.7945038813461</v>
      </c>
      <c r="Y47" s="481">
        <f>(Y50*1000)/(Y45+(Y38*Y36))*(AA$3/Y$3)</f>
        <v>1576.7737121086348</v>
      </c>
      <c r="Z47" s="481">
        <f>(Z50*1000)/(Z45+(Z38*Z36))*(AA$3/Z$3)</f>
        <v>1488.1317298940021</v>
      </c>
      <c r="AA47" s="1346">
        <f>(AA50*1000)/(AA45+(AA36*AA38))</f>
        <v>1551.8598253398125</v>
      </c>
      <c r="AB47" s="481">
        <f>(AB50*1000)/(AB45+(AB38*AB36))*(AF$3/AB$3)</f>
        <v>1700.8307617615571</v>
      </c>
      <c r="AC47" s="481">
        <f>(AC50*1000)/(AC45+(AC38*AC36))*(AF$3/AC$3)</f>
        <v>1660.2879426896598</v>
      </c>
      <c r="AD47" s="481">
        <f>(AD50*1000)/(AD45+(AD38*AD36))*(AF$3/AD$3)</f>
        <v>1659.0756298924023</v>
      </c>
      <c r="AE47" s="481">
        <f>(AE50*1000)/(AE45+(AE38*AE36))*(AF$3/AE$3)</f>
        <v>1557.3179814434222</v>
      </c>
      <c r="AF47" s="1346">
        <f>(AF50*1000)/(AF45+(AF36*AF38))</f>
        <v>1642.8720607412431</v>
      </c>
      <c r="AG47" s="481">
        <f>(AG50*1000)/(AG45+(AG38*AG36))*(AK$3/AG$3)</f>
        <v>1759.8203230434476</v>
      </c>
      <c r="AH47" s="481">
        <f>(AH50*1000)/(AH45+(AH38*AH36))*(AK$3/AH$3)</f>
        <v>1696.8492836821229</v>
      </c>
      <c r="AI47" s="481">
        <f>(AI50*1000)/(AI45+(AI38*AI36))*(AK$3/AI$3)</f>
        <v>1687.5300567356667</v>
      </c>
      <c r="AJ47" s="481">
        <f>(AJ50*1000)/(AJ45+(AJ38*AJ36))*(AK$3/AJ$3)</f>
        <v>1684.6118128529872</v>
      </c>
      <c r="AK47" s="1346">
        <f>(AK50*1000)/(AK45+(AK36*AK38))</f>
        <v>1706.2952043590672</v>
      </c>
      <c r="AL47" s="481">
        <f>(AL50*1000)/(AL45+(AL38*AL36))*(AP$3/AL$3)</f>
        <v>1730.1764157141145</v>
      </c>
      <c r="AM47" s="481">
        <f>(AM50*1000)/(AM45+(AM38*AM36))*(AP$3/AM$3)</f>
        <v>1718.8294588969252</v>
      </c>
      <c r="AN47" s="481">
        <f>(AN50*1000)/(AN45+(AN38*AN36))*(AP$3/AN$3)</f>
        <v>1713.9108296670527</v>
      </c>
      <c r="AO47" s="481">
        <f>(AO50*1000)/(AO45+(AO38*AO36))*(AP$3/AO$3)</f>
        <v>1488.1469487624672</v>
      </c>
      <c r="AP47" s="1346">
        <f>(AP50*1000)/(AP45+(AP36*AP38))</f>
        <v>1660.4511240244667</v>
      </c>
      <c r="AQ47" s="481">
        <f>(AQ50*1000)/(AQ45+(AQ38*AQ36))*(AU$3/AQ$3)</f>
        <v>1768.339141140025</v>
      </c>
      <c r="AR47" s="481">
        <f>(AR50*1000)/(AR45+(AR38*AR36))*(AU$3/AR$3)</f>
        <v>1652.8096586105146</v>
      </c>
      <c r="AS47" s="481">
        <f>(AS50*1000)/(AS45+(AS38*AS36))*(AU$3/AS$3)</f>
        <v>1671.1177513666778</v>
      </c>
      <c r="AT47" s="481">
        <f>(AT50*1000)/(AT45+(AT38*AT36))*(AU$3/AT$3)</f>
        <v>1501.854321431279</v>
      </c>
      <c r="AU47" s="1346">
        <f>(AU50*1000)/(AU45+(AU36*AU38))</f>
        <v>1646.9074855927738</v>
      </c>
      <c r="AV47" s="481">
        <f>(AV50*1000)/(AV45+(AV38*AV36))*(AZ$3/AV$3)</f>
        <v>1748.2090911886755</v>
      </c>
      <c r="AW47" s="481">
        <f>(AW50*1000)/(AW45+(AW38*AW36))*(AZ$3/AW$3)</f>
        <v>1733.6100454982216</v>
      </c>
      <c r="AX47" s="481">
        <f>(AX50*1000)/(AX45+(AX38*AX36))*(AZ$3/AX$3)</f>
        <v>1815.206857815084</v>
      </c>
      <c r="AY47" s="481">
        <f>(AY50*1000)/(AY45+(AY38*AY36))*(AZ$3/AY$3)</f>
        <v>1736.5045532422289</v>
      </c>
      <c r="AZ47" s="1346">
        <f>(AZ50*1000)/(AZ45+(AZ36*AZ38))</f>
        <v>1758.4160289014746</v>
      </c>
      <c r="BA47" s="481">
        <f>(BA50*1000)/(BA45+(BA38*BA36))*(BE$3/BA$3)</f>
        <v>2039.1421235182406</v>
      </c>
      <c r="BB47" s="481">
        <f>(BB50*1000)/(BB45+(BB38*BB36))*(BE$3/BB$3)</f>
        <v>1986.1043528546852</v>
      </c>
      <c r="BC47" s="481">
        <f>(BC50*1000)/(BC45+(BC38*BC36))*(BE$3/BC$3)</f>
        <v>1977.0937466632256</v>
      </c>
      <c r="BD47" s="481">
        <f>(BD50*1000)/(BD45+(BD38*BD36))*(BE$3/BD$3)</f>
        <v>1986.5668689405161</v>
      </c>
      <c r="BE47" s="1346">
        <f>(BE50*1000)/(BE45+(BE36*BE38))</f>
        <v>1996.5333719605483</v>
      </c>
      <c r="BF47" s="481">
        <f>(BF50*1000)/(BF45+(BF38*BF36))*(BJ$3/BF$3)</f>
        <v>2242.7203676629069</v>
      </c>
      <c r="BG47" s="481">
        <f>(BG50*1000)/(BG45+(BG38*BG36))*(BJ$3/BG$3)</f>
        <v>2280.5847897452836</v>
      </c>
      <c r="BH47" s="814">
        <f>(BH50*1000)/(BH45+(BH38*BH36))*(BJ$3/BH$3)</f>
        <v>2281.7615524395151</v>
      </c>
      <c r="BI47" s="482">
        <f>BD47*(1+BI48)</f>
        <v>2026.2982063193265</v>
      </c>
      <c r="BJ47" s="1347">
        <f>(BJ50*1000)/(BJ45+(BJ36*BJ38))</f>
        <v>2204.6500221335382</v>
      </c>
      <c r="BK47" s="482">
        <f>BF47*(1+BK48)</f>
        <v>2287.5747750161649</v>
      </c>
      <c r="BL47" s="482">
        <f>BG47*(1+BL48)</f>
        <v>2326.1964855401893</v>
      </c>
      <c r="BM47" s="482">
        <f>BH47*(1+BM48)</f>
        <v>2327.3967834883056</v>
      </c>
      <c r="BN47" s="482">
        <f>BI47*(1+BN48)</f>
        <v>2066.8241704457132</v>
      </c>
      <c r="BO47" s="1347">
        <f>(BO50*1000)/(BO45+(BO36*BO38))</f>
        <v>2249.943630650012</v>
      </c>
      <c r="BP47" s="1345">
        <f>BO47*(1+BP48)</f>
        <v>2294.9425032630124</v>
      </c>
      <c r="BQ47" s="1345">
        <f>BP47*(1+BQ48)</f>
        <v>2340.8413533282728</v>
      </c>
      <c r="BR47" s="1347">
        <f>BQ47*(1+BR48)</f>
        <v>2387.6581803948384</v>
      </c>
      <c r="BS47" s="648"/>
    </row>
    <row r="48" spans="1:71" s="669" customFormat="1" ht="15" hidden="1" outlineLevel="2">
      <c r="A48" s="107" t="s">
        <v>627</v>
      </c>
      <c r="B48" s="108"/>
      <c r="C48" s="1325"/>
      <c r="D48" s="1325"/>
      <c r="E48" s="1325">
        <f>E47/D47-1</f>
        <v>-0.013276874407714523</v>
      </c>
      <c r="F48" s="1325">
        <f>F47/E47-1</f>
        <v>0.031900771545892992</v>
      </c>
      <c r="G48" s="1325">
        <f>G47/F47-1</f>
        <v>0.032498133651241101</v>
      </c>
      <c r="H48" s="726"/>
      <c r="I48" s="726"/>
      <c r="J48" s="726"/>
      <c r="K48" s="726"/>
      <c r="L48" s="1325">
        <f t="shared" si="105" ref="L48:AU48">L47/G47-1</f>
        <v>0.037516225126607683</v>
      </c>
      <c r="M48" s="726">
        <f t="shared" si="105"/>
        <v>0.043671561234420064</v>
      </c>
      <c r="N48" s="726">
        <f t="shared" si="105"/>
        <v>0.03904242455853324</v>
      </c>
      <c r="O48" s="726">
        <f t="shared" si="105"/>
        <v>0.050258839020802748</v>
      </c>
      <c r="P48" s="726">
        <f t="shared" si="105"/>
        <v>-0.042558565950079563</v>
      </c>
      <c r="Q48" s="1325">
        <f t="shared" si="105"/>
        <v>0.022666431235164097</v>
      </c>
      <c r="R48" s="726">
        <f t="shared" si="105"/>
        <v>0.035084282356618424</v>
      </c>
      <c r="S48" s="726">
        <f t="shared" si="105"/>
        <v>0.056009882988714565</v>
      </c>
      <c r="T48" s="726">
        <f t="shared" si="105"/>
        <v>0.047350017872358041</v>
      </c>
      <c r="U48" s="726">
        <f t="shared" si="105"/>
        <v>0.10209634679145618</v>
      </c>
      <c r="V48" s="1325">
        <f t="shared" si="105"/>
        <v>0.058934536605930399</v>
      </c>
      <c r="W48" s="726">
        <f t="shared" si="105"/>
        <v>0.076791162564719517</v>
      </c>
      <c r="X48" s="726">
        <f t="shared" si="105"/>
        <v>0.076271572416045208</v>
      </c>
      <c r="Y48" s="726">
        <f t="shared" si="105"/>
        <v>0.085766889950537051</v>
      </c>
      <c r="Z48" s="726">
        <f t="shared" si="105"/>
        <v>0.079000268550371677</v>
      </c>
      <c r="AA48" s="1325">
        <f t="shared" si="105"/>
        <v>0.079218993434000184</v>
      </c>
      <c r="AB48" s="726">
        <f t="shared" si="105"/>
        <v>0.080382727168587076</v>
      </c>
      <c r="AC48" s="726">
        <f t="shared" si="105"/>
        <v>0.056300895943961038</v>
      </c>
      <c r="AD48" s="726">
        <f t="shared" si="105"/>
        <v>0.052196404057056611</v>
      </c>
      <c r="AE48" s="726">
        <f t="shared" si="105"/>
        <v>0.046492020941149015</v>
      </c>
      <c r="AF48" s="1325">
        <f t="shared" si="105"/>
        <v>0.058647201193897436</v>
      </c>
      <c r="AG48" s="726">
        <f t="shared" si="105"/>
        <v>0.034682793025682779</v>
      </c>
      <c r="AH48" s="726">
        <f t="shared" si="105"/>
        <v>0.022021084447095385</v>
      </c>
      <c r="AI48" s="726">
        <f t="shared" si="105"/>
        <v>0.017150771387745456</v>
      </c>
      <c r="AJ48" s="726">
        <f t="shared" si="105"/>
        <v>0.081739139293557139</v>
      </c>
      <c r="AK48" s="1325">
        <f t="shared" si="105"/>
        <v>0.038605041216178693</v>
      </c>
      <c r="AL48" s="726">
        <f t="shared" si="105"/>
        <v>-0.016844848841196858</v>
      </c>
      <c r="AM48" s="726">
        <f t="shared" si="105"/>
        <v>0.012953522405422913</v>
      </c>
      <c r="AN48" s="726">
        <f t="shared" si="105"/>
        <v>0.015632772184464905</v>
      </c>
      <c r="AO48" s="726">
        <f t="shared" si="105"/>
        <v>-0.11662322595126262</v>
      </c>
      <c r="AP48" s="1325">
        <f t="shared" si="105"/>
        <v>-0.026867613656466172</v>
      </c>
      <c r="AQ48" s="726">
        <f t="shared" si="105"/>
        <v>0.022057129596324554</v>
      </c>
      <c r="AR48" s="726">
        <f t="shared" si="105"/>
        <v>-0.038409744459918294</v>
      </c>
      <c r="AS48" s="726">
        <f t="shared" si="105"/>
        <v>-0.024968089097545332</v>
      </c>
      <c r="AT48" s="726">
        <f t="shared" si="105"/>
        <v>0.0092110343539733019</v>
      </c>
      <c r="AU48" s="1325">
        <f t="shared" si="105"/>
        <v>-0.0081566016823589882</v>
      </c>
      <c r="AV48" s="726">
        <f t="shared" si="106" ref="AV48:BA48">AV47/AQ47-1</f>
        <v>-0.011383591237126622</v>
      </c>
      <c r="AW48" s="726">
        <f t="shared" si="106"/>
        <v>0.048886686054118389</v>
      </c>
      <c r="AX48" s="726">
        <f t="shared" si="106"/>
        <v>0.086223191831076518</v>
      </c>
      <c r="AY48" s="726">
        <f t="shared" si="106"/>
        <v>0.15624034133172549</v>
      </c>
      <c r="AZ48" s="1325">
        <f t="shared" si="106"/>
        <v>0.067707836830048329</v>
      </c>
      <c r="BA48" s="726">
        <f t="shared" si="106"/>
        <v>0.16641775505912082</v>
      </c>
      <c r="BB48" s="726">
        <f t="shared" si="107" ref="BB48:BG48">BB47/AW47-1</f>
        <v>0.1456465414538477</v>
      </c>
      <c r="BC48" s="726">
        <f t="shared" si="107"/>
        <v>0.089183713774087625</v>
      </c>
      <c r="BD48" s="726">
        <f t="shared" si="107"/>
        <v>0.14400325943942716</v>
      </c>
      <c r="BE48" s="1325">
        <f t="shared" si="107"/>
        <v>0.13541581693146387</v>
      </c>
      <c r="BF48" s="726">
        <f t="shared" si="107"/>
        <v>0.099835240416407123</v>
      </c>
      <c r="BG48" s="726">
        <f t="shared" si="107"/>
        <v>0.14827037485081451</v>
      </c>
      <c r="BH48" s="808">
        <f>BH47/BC47-1</f>
        <v>0.15409881614894716</v>
      </c>
      <c r="BI48" s="1215">
        <v>0.02</v>
      </c>
      <c r="BJ48" s="1326">
        <f>BJ47/BE47-1</f>
        <v>0.1042390040135539</v>
      </c>
      <c r="BK48" s="1215">
        <v>0.02</v>
      </c>
      <c r="BL48" s="1215">
        <v>0.02</v>
      </c>
      <c r="BM48" s="1215">
        <v>0.02</v>
      </c>
      <c r="BN48" s="1215">
        <v>0.02</v>
      </c>
      <c r="BO48" s="1326">
        <f>BO47/BJ47-1</f>
        <v>0.020544579893293502</v>
      </c>
      <c r="BP48" s="1341">
        <v>0.02</v>
      </c>
      <c r="BQ48" s="1341">
        <v>0.02</v>
      </c>
      <c r="BR48" s="1342">
        <v>0.02</v>
      </c>
      <c r="BS48" s="648"/>
    </row>
    <row r="49" spans="1:71" s="669" customFormat="1" ht="7.5" customHeight="1" hidden="1" outlineLevel="2">
      <c r="A49" s="107"/>
      <c r="B49" s="108"/>
      <c r="C49" s="1325"/>
      <c r="D49" s="1325"/>
      <c r="E49" s="1325"/>
      <c r="F49" s="1325"/>
      <c r="G49" s="1325"/>
      <c r="H49" s="726"/>
      <c r="I49" s="726"/>
      <c r="J49" s="726"/>
      <c r="K49" s="726"/>
      <c r="L49" s="1325"/>
      <c r="M49" s="726"/>
      <c r="N49" s="726"/>
      <c r="O49" s="726"/>
      <c r="P49" s="726"/>
      <c r="Q49" s="1325"/>
      <c r="R49" s="726"/>
      <c r="S49" s="726"/>
      <c r="T49" s="726"/>
      <c r="U49" s="726"/>
      <c r="V49" s="1325"/>
      <c r="W49" s="726"/>
      <c r="X49" s="726"/>
      <c r="Y49" s="726"/>
      <c r="Z49" s="726"/>
      <c r="AA49" s="1325"/>
      <c r="AB49" s="726"/>
      <c r="AC49" s="726"/>
      <c r="AD49" s="726"/>
      <c r="AE49" s="726"/>
      <c r="AF49" s="1325"/>
      <c r="AG49" s="726"/>
      <c r="AH49" s="726"/>
      <c r="AI49" s="726"/>
      <c r="AJ49" s="726"/>
      <c r="AK49" s="1325"/>
      <c r="AL49" s="726"/>
      <c r="AM49" s="726"/>
      <c r="AN49" s="726"/>
      <c r="AO49" s="726"/>
      <c r="AP49" s="1325"/>
      <c r="AQ49" s="726"/>
      <c r="AR49" s="726"/>
      <c r="AS49" s="726"/>
      <c r="AT49" s="726"/>
      <c r="AU49" s="1325"/>
      <c r="AV49" s="726"/>
      <c r="AW49" s="726"/>
      <c r="AX49" s="726"/>
      <c r="AY49" s="726"/>
      <c r="AZ49" s="1325"/>
      <c r="BA49" s="726"/>
      <c r="BB49" s="726"/>
      <c r="BC49" s="726"/>
      <c r="BD49" s="726"/>
      <c r="BE49" s="1325"/>
      <c r="BF49" s="726"/>
      <c r="BG49" s="726"/>
      <c r="BH49" s="808"/>
      <c r="BI49" s="98"/>
      <c r="BJ49" s="1326"/>
      <c r="BK49" s="98"/>
      <c r="BL49" s="98"/>
      <c r="BM49" s="98"/>
      <c r="BN49" s="98"/>
      <c r="BO49" s="1326"/>
      <c r="BP49" s="1325"/>
      <c r="BQ49" s="1325"/>
      <c r="BR49" s="1326"/>
      <c r="BS49" s="648"/>
    </row>
    <row r="50" spans="1:71" s="668" customFormat="1" ht="15" hidden="1" outlineLevel="2">
      <c r="A50" s="25" t="s">
        <v>595</v>
      </c>
      <c r="B50" s="394"/>
      <c r="C50" s="1320">
        <f t="shared" si="108" ref="C50:AU50">C214</f>
        <v>7391.20</v>
      </c>
      <c r="D50" s="1320">
        <f t="shared" si="108"/>
        <v>7490.20</v>
      </c>
      <c r="E50" s="1320">
        <f t="shared" si="108"/>
        <v>7705.80</v>
      </c>
      <c r="F50" s="1320">
        <f t="shared" si="108"/>
        <v>8247</v>
      </c>
      <c r="G50" s="1320">
        <f t="shared" si="108"/>
        <v>8702.60</v>
      </c>
      <c r="H50" s="1021">
        <f t="shared" si="108"/>
        <v>2292.60</v>
      </c>
      <c r="I50" s="1021">
        <f t="shared" si="108"/>
        <v>2291</v>
      </c>
      <c r="J50" s="1021">
        <f t="shared" si="108"/>
        <v>2284.50</v>
      </c>
      <c r="K50" s="1021">
        <f t="shared" si="108"/>
        <v>2234.6999999999989</v>
      </c>
      <c r="L50" s="1320">
        <f t="shared" si="108"/>
        <v>9102.7999999999993</v>
      </c>
      <c r="M50" s="1021">
        <f t="shared" si="108"/>
        <v>2356.10</v>
      </c>
      <c r="N50" s="1021">
        <f t="shared" si="108"/>
        <v>2345.6999999999998</v>
      </c>
      <c r="O50" s="1021">
        <f t="shared" si="108"/>
        <v>2382.1999999999998</v>
      </c>
      <c r="P50" s="1021">
        <f t="shared" si="108"/>
        <v>2146.1000000000013</v>
      </c>
      <c r="Q50" s="1320">
        <f t="shared" si="108"/>
        <v>9230.10</v>
      </c>
      <c r="R50" s="1021">
        <f t="shared" si="108"/>
        <v>2495.60</v>
      </c>
      <c r="S50" s="1021">
        <f t="shared" si="108"/>
        <v>2542.50</v>
      </c>
      <c r="T50" s="1021">
        <f t="shared" si="108"/>
        <v>2590.3000000000002</v>
      </c>
      <c r="U50" s="1021">
        <f t="shared" si="108"/>
        <v>2479.1999999999998</v>
      </c>
      <c r="V50" s="1320">
        <f t="shared" si="108"/>
        <v>10107.60</v>
      </c>
      <c r="W50" s="1021">
        <f t="shared" si="108"/>
        <v>2820.70</v>
      </c>
      <c r="X50" s="1021">
        <f t="shared" si="108"/>
        <v>2916.40</v>
      </c>
      <c r="Y50" s="1021">
        <f t="shared" si="108"/>
        <v>3028.80</v>
      </c>
      <c r="Z50" s="1021">
        <f t="shared" si="108"/>
        <v>2919.4999999999982</v>
      </c>
      <c r="AA50" s="1320">
        <f t="shared" si="108"/>
        <v>11685.40</v>
      </c>
      <c r="AB50" s="1021">
        <f t="shared" si="108"/>
        <v>3335.30</v>
      </c>
      <c r="AC50" s="1021">
        <f t="shared" si="108"/>
        <v>3384.60</v>
      </c>
      <c r="AD50" s="1021">
        <f t="shared" si="108"/>
        <v>3504.30</v>
      </c>
      <c r="AE50" s="1021">
        <f t="shared" si="108"/>
        <v>3338.0999999999985</v>
      </c>
      <c r="AF50" s="1320">
        <f t="shared" si="108"/>
        <v>13562.299999999999</v>
      </c>
      <c r="AG50" s="1021">
        <f t="shared" si="108"/>
        <v>3766.40</v>
      </c>
      <c r="AH50" s="1021">
        <f t="shared" si="108"/>
        <v>3775.50</v>
      </c>
      <c r="AI50" s="1021">
        <f t="shared" si="108"/>
        <v>3876.30</v>
      </c>
      <c r="AJ50" s="1021">
        <f t="shared" si="108"/>
        <v>3918.2999999999993</v>
      </c>
      <c r="AK50" s="1320">
        <f t="shared" si="108"/>
        <v>15336.50</v>
      </c>
      <c r="AL50" s="1021">
        <f t="shared" si="108"/>
        <v>4026.50</v>
      </c>
      <c r="AM50" s="1021">
        <f t="shared" si="108"/>
        <v>4104.70</v>
      </c>
      <c r="AN50" s="1021">
        <f t="shared" si="108"/>
        <v>4251.70</v>
      </c>
      <c r="AO50" s="1021">
        <f t="shared" si="108"/>
        <v>3750.8999999999996</v>
      </c>
      <c r="AP50" s="1320">
        <f t="shared" si="108"/>
        <v>16133.80</v>
      </c>
      <c r="AQ50" s="1021">
        <f t="shared" si="108"/>
        <v>4458.70</v>
      </c>
      <c r="AR50" s="1021">
        <f t="shared" si="108"/>
        <v>4326.0999999999995</v>
      </c>
      <c r="AS50" s="1021">
        <f t="shared" si="108"/>
        <v>4472.20</v>
      </c>
      <c r="AT50" s="1021">
        <f t="shared" si="108"/>
        <v>4000.9000000000015</v>
      </c>
      <c r="AU50" s="1320">
        <f t="shared" si="108"/>
        <v>17257.900000000001</v>
      </c>
      <c r="AV50" s="1021">
        <f t="shared" si="109" ref="AV50:BA50">AV214</f>
        <v>4516.3999999999996</v>
      </c>
      <c r="AW50" s="1021">
        <f t="shared" si="109"/>
        <v>4493.6000000000004</v>
      </c>
      <c r="AX50" s="1021">
        <f t="shared" si="109"/>
        <v>4744.8999999999996</v>
      </c>
      <c r="AY50" s="1021">
        <f t="shared" si="109"/>
        <v>4579.3000000000011</v>
      </c>
      <c r="AZ50" s="1320">
        <f t="shared" si="109"/>
        <v>18334.20</v>
      </c>
      <c r="BA50" s="1021">
        <f t="shared" si="109"/>
        <v>5414.40</v>
      </c>
      <c r="BB50" s="1021">
        <f t="shared" si="110" ref="BB50:BG50">BB214</f>
        <v>5533.70</v>
      </c>
      <c r="BC50" s="1021">
        <f t="shared" si="110"/>
        <v>5656.30</v>
      </c>
      <c r="BD50" s="1021">
        <f t="shared" si="110"/>
        <v>5673.5000000000036</v>
      </c>
      <c r="BE50" s="1320">
        <f t="shared" si="110"/>
        <v>22277.900000000001</v>
      </c>
      <c r="BF50" s="1021">
        <f t="shared" si="110"/>
        <v>6398.80</v>
      </c>
      <c r="BG50" s="1021">
        <f t="shared" si="110"/>
        <v>6733.90</v>
      </c>
      <c r="BH50" s="1022">
        <f>BH214</f>
        <v>7104.5999999999976</v>
      </c>
      <c r="BI50" s="1023">
        <f>BI47*(BI45+(BI36*BI38))/1000*(BI$3/BJ$3)</f>
        <v>6509.2119953292449</v>
      </c>
      <c r="BJ50" s="1321">
        <f>SUM(BF50,BG50,BH50,BI50)</f>
        <v>26746.511995329245</v>
      </c>
      <c r="BK50" s="1023">
        <f>BK47*(BK45+(BK36*BK38))/1000*(BK$3/BO$3)</f>
        <v>7352.6421550208797</v>
      </c>
      <c r="BL50" s="1023">
        <f>BL47*(BL45+(BL36*BL38))/1000*(BL$3/BO$3)</f>
        <v>7711.0510938322523</v>
      </c>
      <c r="BM50" s="1023">
        <f>BM47*(BM45+(BM36*BM38))/1000*(BM$3/BO$3)</f>
        <v>7955.8066900706208</v>
      </c>
      <c r="BN50" s="1023">
        <f>BN47*(BN45+(BN36*BN38))/1000*(BN$3/BO$3)</f>
        <v>7206.3855861063021</v>
      </c>
      <c r="BO50" s="1321">
        <f>SUM(BK50,BL50,BM50,BN50)</f>
        <v>30225.885525030055</v>
      </c>
      <c r="BP50" s="1322">
        <f>BP47*(BP45+(BP36*BP38))/1000*(BP$3/BP$3)</f>
        <v>32381.054105275605</v>
      </c>
      <c r="BQ50" s="1322">
        <f>BQ47*(BQ45+(BQ36*BQ38))/1000*(BQ$3/BQ$3)</f>
        <v>33689.248691128749</v>
      </c>
      <c r="BR50" s="1321">
        <f>BR47*(BR45+(BR36*BR38))/1000*(BR$3/BR$3)</f>
        <v>35050.294338250344</v>
      </c>
      <c r="BS50" s="648"/>
    </row>
    <row r="51" spans="1:71" s="669" customFormat="1" ht="15" hidden="1" outlineLevel="2">
      <c r="A51" s="107" t="s">
        <v>596</v>
      </c>
      <c r="B51" s="108"/>
      <c r="C51" s="1325"/>
      <c r="D51" s="1325"/>
      <c r="E51" s="1325"/>
      <c r="F51" s="1325"/>
      <c r="G51" s="1325"/>
      <c r="H51" s="726"/>
      <c r="I51" s="726"/>
      <c r="J51" s="726"/>
      <c r="K51" s="726"/>
      <c r="L51" s="1325"/>
      <c r="M51" s="726"/>
      <c r="N51" s="726"/>
      <c r="O51" s="726"/>
      <c r="P51" s="726"/>
      <c r="Q51" s="1325"/>
      <c r="R51" s="726"/>
      <c r="S51" s="725">
        <f t="shared" si="111" ref="S51:AU51">S50/N50-1</f>
        <v>0.083898196700345373</v>
      </c>
      <c r="T51" s="725">
        <f t="shared" si="111"/>
        <v>0.087356225337922977</v>
      </c>
      <c r="U51" s="725">
        <f t="shared" si="111"/>
        <v>0.15521177950701204</v>
      </c>
      <c r="V51" s="1327">
        <f t="shared" si="111"/>
        <v>0.095069392530958474</v>
      </c>
      <c r="W51" s="725">
        <f t="shared" si="111"/>
        <v>0.13026927392210297</v>
      </c>
      <c r="X51" s="725">
        <f t="shared" si="111"/>
        <v>0.14705998033431666</v>
      </c>
      <c r="Y51" s="725">
        <f t="shared" si="111"/>
        <v>0.16928541095625982</v>
      </c>
      <c r="Z51" s="725">
        <f t="shared" si="111"/>
        <v>0.17759761213294545</v>
      </c>
      <c r="AA51" s="1327">
        <f t="shared" si="111"/>
        <v>0.15610036012505435</v>
      </c>
      <c r="AB51" s="725">
        <f t="shared" si="111"/>
        <v>0.18243698372744377</v>
      </c>
      <c r="AC51" s="725">
        <f t="shared" si="111"/>
        <v>0.16054039226443551</v>
      </c>
      <c r="AD51" s="725">
        <f t="shared" si="111"/>
        <v>0.15699286846275751</v>
      </c>
      <c r="AE51" s="725">
        <f t="shared" si="111"/>
        <v>0.14338071587600631</v>
      </c>
      <c r="AF51" s="1327">
        <f t="shared" si="111"/>
        <v>0.16061923425813407</v>
      </c>
      <c r="AG51" s="725">
        <f t="shared" si="111"/>
        <v>0.129253740293227</v>
      </c>
      <c r="AH51" s="725">
        <f t="shared" si="111"/>
        <v>0.11549370678957627</v>
      </c>
      <c r="AI51" s="725">
        <f t="shared" si="111"/>
        <v>0.10615529492337994</v>
      </c>
      <c r="AJ51" s="725">
        <f t="shared" si="111"/>
        <v>0.17381144962703354</v>
      </c>
      <c r="AK51" s="1327">
        <f t="shared" si="111"/>
        <v>0.13081851898276842</v>
      </c>
      <c r="AL51" s="725">
        <f t="shared" si="111"/>
        <v>0.069057986406117156</v>
      </c>
      <c r="AM51" s="725">
        <f t="shared" si="111"/>
        <v>0.087193749172294943</v>
      </c>
      <c r="AN51" s="725">
        <f t="shared" si="111"/>
        <v>0.096844929443025363</v>
      </c>
      <c r="AO51" s="725">
        <f t="shared" si="111"/>
        <v>-0.042722609294847169</v>
      </c>
      <c r="AP51" s="1327">
        <f t="shared" si="111"/>
        <v>0.051987089622795191</v>
      </c>
      <c r="AQ51" s="725">
        <f t="shared" si="111"/>
        <v>0.10733887992052638</v>
      </c>
      <c r="AR51" s="725">
        <f t="shared" si="111"/>
        <v>0.053938168441055367</v>
      </c>
      <c r="AS51" s="725">
        <f t="shared" si="111"/>
        <v>0.051861608297857353</v>
      </c>
      <c r="AT51" s="725">
        <f t="shared" si="111"/>
        <v>0.066650670505745691</v>
      </c>
      <c r="AU51" s="1327">
        <f t="shared" si="111"/>
        <v>0.069673604482515028</v>
      </c>
      <c r="AV51" s="725">
        <f t="shared" si="112" ref="AV51:AZ51">AV50/AQ50-1</f>
        <v>0.012940991768901178</v>
      </c>
      <c r="AW51" s="725">
        <f t="shared" si="112"/>
        <v>0.038718476225700016</v>
      </c>
      <c r="AX51" s="725">
        <f t="shared" si="112"/>
        <v>0.060976700505344095</v>
      </c>
      <c r="AY51" s="725">
        <f t="shared" si="112"/>
        <v>0.14456747231872824</v>
      </c>
      <c r="AZ51" s="1327">
        <f t="shared" si="112"/>
        <v>0.062365641242561276</v>
      </c>
      <c r="BA51" s="725">
        <f t="shared" si="113" ref="BA51:BO51">BA50/AV50-1</f>
        <v>0.19883092728721996</v>
      </c>
      <c r="BB51" s="725">
        <f t="shared" si="113"/>
        <v>0.23146252447925919</v>
      </c>
      <c r="BC51" s="725">
        <f t="shared" si="113"/>
        <v>0.19207991738498187</v>
      </c>
      <c r="BD51" s="725">
        <f t="shared" si="113"/>
        <v>0.23894481689341207</v>
      </c>
      <c r="BE51" s="1327">
        <f t="shared" si="113"/>
        <v>0.21510074069225826</v>
      </c>
      <c r="BF51" s="725">
        <f>BF50/BA50-1</f>
        <v>0.18181146572104034</v>
      </c>
      <c r="BG51" s="725">
        <f>BG50/BB50-1</f>
        <v>0.2168892422791262</v>
      </c>
      <c r="BH51" s="809">
        <f>BH50/BC50-1</f>
        <v>0.25605077524176534</v>
      </c>
      <c r="BI51" s="98">
        <f t="shared" si="113"/>
        <v>0.14730095978306879</v>
      </c>
      <c r="BJ51" s="1326">
        <f t="shared" si="113"/>
        <v>0.20058497413711551</v>
      </c>
      <c r="BK51" s="98">
        <f t="shared" si="113"/>
        <v>0.14906578655699176</v>
      </c>
      <c r="BL51" s="98">
        <f t="shared" si="113"/>
        <v>0.1451092374155023</v>
      </c>
      <c r="BM51" s="98">
        <f t="shared" si="113"/>
        <v>0.11981064241063866</v>
      </c>
      <c r="BN51" s="98">
        <f t="shared" si="113"/>
        <v>0.10710568211287663</v>
      </c>
      <c r="BO51" s="1326">
        <f t="shared" si="113"/>
        <v>0.13008700088850511</v>
      </c>
      <c r="BP51" s="1325">
        <f>BP50/BO50-1</f>
        <v>0.071302082397581179</v>
      </c>
      <c r="BQ51" s="1325">
        <f>BQ50/BP50-1</f>
        <v>0.040400000000000214</v>
      </c>
      <c r="BR51" s="1326">
        <f>BR50/BQ50-1</f>
        <v>0.040399999999999769</v>
      </c>
      <c r="BS51" s="648"/>
    </row>
    <row r="52" spans="1:71" s="669" customFormat="1" ht="7.5" customHeight="1" hidden="1" outlineLevel="2">
      <c r="A52" s="107"/>
      <c r="B52" s="108"/>
      <c r="C52" s="1325"/>
      <c r="D52" s="1325"/>
      <c r="E52" s="1325"/>
      <c r="F52" s="1325"/>
      <c r="G52" s="1325"/>
      <c r="H52" s="726"/>
      <c r="I52" s="726"/>
      <c r="J52" s="726"/>
      <c r="K52" s="726"/>
      <c r="L52" s="1325"/>
      <c r="M52" s="726"/>
      <c r="N52" s="726"/>
      <c r="O52" s="726"/>
      <c r="P52" s="726"/>
      <c r="Q52" s="1325"/>
      <c r="R52" s="726"/>
      <c r="S52" s="726"/>
      <c r="T52" s="726"/>
      <c r="U52" s="726"/>
      <c r="V52" s="1325"/>
      <c r="W52" s="726"/>
      <c r="X52" s="726"/>
      <c r="Y52" s="726"/>
      <c r="Z52" s="726"/>
      <c r="AA52" s="1325"/>
      <c r="AB52" s="726"/>
      <c r="AC52" s="726"/>
      <c r="AD52" s="726"/>
      <c r="AE52" s="726"/>
      <c r="AF52" s="1325"/>
      <c r="AG52" s="726"/>
      <c r="AH52" s="726"/>
      <c r="AI52" s="726"/>
      <c r="AJ52" s="726"/>
      <c r="AK52" s="1325"/>
      <c r="AL52" s="726"/>
      <c r="AM52" s="726"/>
      <c r="AN52" s="726"/>
      <c r="AO52" s="726"/>
      <c r="AP52" s="1325"/>
      <c r="AQ52" s="726"/>
      <c r="AR52" s="726"/>
      <c r="AS52" s="726"/>
      <c r="AT52" s="726"/>
      <c r="AU52" s="1325"/>
      <c r="AV52" s="726"/>
      <c r="AW52" s="726"/>
      <c r="AX52" s="726"/>
      <c r="AY52" s="726"/>
      <c r="AZ52" s="1325"/>
      <c r="BA52" s="726"/>
      <c r="BB52" s="726"/>
      <c r="BC52" s="726"/>
      <c r="BD52" s="726"/>
      <c r="BE52" s="1325"/>
      <c r="BF52" s="726"/>
      <c r="BG52" s="726"/>
      <c r="BH52" s="808"/>
      <c r="BI52" s="98"/>
      <c r="BJ52" s="1326"/>
      <c r="BK52" s="98"/>
      <c r="BL52" s="98"/>
      <c r="BM52" s="98"/>
      <c r="BN52" s="98"/>
      <c r="BO52" s="1326"/>
      <c r="BP52" s="1325"/>
      <c r="BQ52" s="1325"/>
      <c r="BR52" s="1326"/>
      <c r="BS52" s="648"/>
    </row>
    <row r="53" spans="1:71" s="676" customFormat="1" ht="15" hidden="1" outlineLevel="2">
      <c r="A53" s="925" t="s">
        <v>597</v>
      </c>
      <c r="B53" s="396"/>
      <c r="C53" s="1339">
        <f t="shared" si="114" ref="C53:AU53">C55/C50</f>
        <v>1.0031929862539237</v>
      </c>
      <c r="D53" s="1339">
        <f t="shared" si="114"/>
        <v>0.99058770126298368</v>
      </c>
      <c r="E53" s="1339">
        <f t="shared" si="114"/>
        <v>0.98982584546705077</v>
      </c>
      <c r="F53" s="1339">
        <f t="shared" si="114"/>
        <v>0.98264823572208071</v>
      </c>
      <c r="G53" s="1339">
        <f t="shared" si="114"/>
        <v>0.98838278215705644</v>
      </c>
      <c r="H53" s="381">
        <f t="shared" si="114"/>
        <v>0.96100497252028261</v>
      </c>
      <c r="I53" s="381">
        <f t="shared" si="114"/>
        <v>0.978742907027499</v>
      </c>
      <c r="J53" s="381">
        <f t="shared" si="114"/>
        <v>0.97841978551105269</v>
      </c>
      <c r="K53" s="381">
        <f t="shared" si="114"/>
        <v>1.0767888307155329</v>
      </c>
      <c r="L53" s="1339">
        <f t="shared" si="114"/>
        <v>0.99826427033440268</v>
      </c>
      <c r="M53" s="381">
        <f t="shared" si="114"/>
        <v>0.95263358940622223</v>
      </c>
      <c r="N53" s="381">
        <f t="shared" si="114"/>
        <v>0.97045658012533587</v>
      </c>
      <c r="O53" s="381">
        <f t="shared" si="114"/>
        <v>0.95902946855847537</v>
      </c>
      <c r="P53" s="381">
        <f t="shared" si="114"/>
        <v>1.073155957317925</v>
      </c>
      <c r="Q53" s="1339">
        <f t="shared" si="114"/>
        <v>0.98683654564955958</v>
      </c>
      <c r="R53" s="381">
        <f t="shared" si="114"/>
        <v>0.94081583587113327</v>
      </c>
      <c r="S53" s="381">
        <f t="shared" si="114"/>
        <v>0.95311701081612599</v>
      </c>
      <c r="T53" s="381">
        <f t="shared" si="114"/>
        <v>0.95521754236960965</v>
      </c>
      <c r="U53" s="381">
        <f t="shared" si="114"/>
        <v>1.02702484672475</v>
      </c>
      <c r="V53" s="1339">
        <f t="shared" si="114"/>
        <v>0.96874628992045597</v>
      </c>
      <c r="W53" s="381">
        <f t="shared" si="114"/>
        <v>0.93292445137731772</v>
      </c>
      <c r="X53" s="381">
        <f t="shared" si="114"/>
        <v>0.94380057605266765</v>
      </c>
      <c r="Y53" s="381">
        <f t="shared" si="114"/>
        <v>0.93766508188061271</v>
      </c>
      <c r="Z53" s="381">
        <f t="shared" si="114"/>
        <v>1.0116800822058578</v>
      </c>
      <c r="AA53" s="1339">
        <f t="shared" si="114"/>
        <v>0.95654406353227106</v>
      </c>
      <c r="AB53" s="381">
        <f t="shared" si="114"/>
        <v>0.91859802716397321</v>
      </c>
      <c r="AC53" s="381">
        <f t="shared" si="114"/>
        <v>0.95305205932754233</v>
      </c>
      <c r="AD53" s="381">
        <f t="shared" si="114"/>
        <v>0.94689381616870694</v>
      </c>
      <c r="AE53" s="381">
        <f t="shared" si="114"/>
        <v>1.0213894131392114</v>
      </c>
      <c r="AF53" s="1339">
        <f t="shared" si="114"/>
        <v>0.95980770223339706</v>
      </c>
      <c r="AG53" s="381">
        <f t="shared" si="114"/>
        <v>0.93152612574341542</v>
      </c>
      <c r="AH53" s="381">
        <f t="shared" si="114"/>
        <v>0.96400476758045295</v>
      </c>
      <c r="AI53" s="381">
        <f t="shared" si="114"/>
        <v>0.95539560921497302</v>
      </c>
      <c r="AJ53" s="381">
        <f t="shared" si="114"/>
        <v>1.0342750682694029</v>
      </c>
      <c r="AK53" s="1339">
        <f t="shared" si="114"/>
        <v>0.97180582271052718</v>
      </c>
      <c r="AL53" s="381">
        <f t="shared" si="114"/>
        <v>0.95087545014280384</v>
      </c>
      <c r="AM53" s="381">
        <f t="shared" si="114"/>
        <v>0.9547591785026921</v>
      </c>
      <c r="AN53" s="381">
        <f t="shared" si="114"/>
        <v>0.94117647058823528</v>
      </c>
      <c r="AO53" s="381">
        <f t="shared" si="114"/>
        <v>1.0771281559092487</v>
      </c>
      <c r="AP53" s="1339">
        <f t="shared" si="114"/>
        <v>0.97865970819025905</v>
      </c>
      <c r="AQ53" s="381">
        <f t="shared" si="114"/>
        <v>0.91914683652185614</v>
      </c>
      <c r="AR53" s="381">
        <f t="shared" si="114"/>
        <v>0.97554379233027455</v>
      </c>
      <c r="AS53" s="381">
        <f t="shared" si="114"/>
        <v>0.95431778542998968</v>
      </c>
      <c r="AT53" s="381">
        <f t="shared" si="114"/>
        <v>1.0734084830913042</v>
      </c>
      <c r="AU53" s="1339">
        <f t="shared" si="114"/>
        <v>0.97816072639197116</v>
      </c>
      <c r="AV53" s="381">
        <f t="shared" si="115" ref="AV53:BA53">AV55/AV50</f>
        <v>0.95724470817465246</v>
      </c>
      <c r="AW53" s="381">
        <f t="shared" si="115"/>
        <v>0.97171532846715303</v>
      </c>
      <c r="AX53" s="381">
        <f t="shared" si="115"/>
        <v>0.93614196294969332</v>
      </c>
      <c r="AY53" s="381">
        <f t="shared" si="115"/>
        <v>1.0073592033716945</v>
      </c>
      <c r="AZ53" s="1339">
        <f t="shared" si="115"/>
        <v>0.96784697450665969</v>
      </c>
      <c r="BA53" s="381">
        <f t="shared" si="115"/>
        <v>0.89764332151300241</v>
      </c>
      <c r="BB53" s="381">
        <f t="shared" si="116" ref="BB53:BG53">BB55/BB50</f>
        <v>0.94099788568227405</v>
      </c>
      <c r="BC53" s="381">
        <f t="shared" si="116"/>
        <v>0.9571628096105228</v>
      </c>
      <c r="BD53" s="381">
        <f t="shared" si="116"/>
        <v>1.0076319732087773</v>
      </c>
      <c r="BE53" s="1339">
        <f t="shared" si="116"/>
        <v>0.95153492923480221</v>
      </c>
      <c r="BF53" s="381">
        <f t="shared" si="116"/>
        <v>0.91543726948802895</v>
      </c>
      <c r="BG53" s="381">
        <f t="shared" si="116"/>
        <v>0.92270452486671917</v>
      </c>
      <c r="BH53" s="813">
        <f>BH55/BH50</f>
        <v>0.93288855107958257</v>
      </c>
      <c r="BI53" s="1221">
        <v>0.98</v>
      </c>
      <c r="BJ53" s="1340">
        <f>BJ55/BJ50</f>
        <v>0.9376148845053901</v>
      </c>
      <c r="BK53" s="1221">
        <v>0.98</v>
      </c>
      <c r="BL53" s="1221">
        <v>0.90</v>
      </c>
      <c r="BM53" s="1221">
        <v>0.90</v>
      </c>
      <c r="BN53" s="1221">
        <v>0.98</v>
      </c>
      <c r="BO53" s="1340">
        <f>BO55/BO50</f>
        <v>0.93853393206050717</v>
      </c>
      <c r="BP53" s="1343">
        <v>0.98</v>
      </c>
      <c r="BQ53" s="1343">
        <v>0.98</v>
      </c>
      <c r="BR53" s="1344">
        <v>0.98</v>
      </c>
      <c r="BS53" s="648"/>
    </row>
    <row r="54" spans="1:71" s="669" customFormat="1" ht="7.5" customHeight="1" hidden="1" outlineLevel="2">
      <c r="A54" s="107"/>
      <c r="B54" s="108"/>
      <c r="C54" s="1325"/>
      <c r="D54" s="1325"/>
      <c r="E54" s="1325"/>
      <c r="F54" s="1325"/>
      <c r="G54" s="1325"/>
      <c r="H54" s="726"/>
      <c r="I54" s="726"/>
      <c r="J54" s="726"/>
      <c r="K54" s="726"/>
      <c r="L54" s="1325"/>
      <c r="M54" s="726"/>
      <c r="N54" s="726"/>
      <c r="O54" s="726"/>
      <c r="P54" s="726"/>
      <c r="Q54" s="1325"/>
      <c r="R54" s="726"/>
      <c r="S54" s="726"/>
      <c r="T54" s="726"/>
      <c r="U54" s="726"/>
      <c r="V54" s="1325"/>
      <c r="W54" s="726"/>
      <c r="X54" s="726"/>
      <c r="Y54" s="726"/>
      <c r="Z54" s="726"/>
      <c r="AA54" s="1325"/>
      <c r="AB54" s="726"/>
      <c r="AC54" s="726"/>
      <c r="AD54" s="726"/>
      <c r="AE54" s="726"/>
      <c r="AF54" s="1325"/>
      <c r="AG54" s="726"/>
      <c r="AH54" s="726"/>
      <c r="AI54" s="726"/>
      <c r="AJ54" s="726"/>
      <c r="AK54" s="1325"/>
      <c r="AL54" s="726"/>
      <c r="AM54" s="726"/>
      <c r="AN54" s="726"/>
      <c r="AO54" s="726"/>
      <c r="AP54" s="1325"/>
      <c r="AQ54" s="726"/>
      <c r="AR54" s="726"/>
      <c r="AS54" s="726"/>
      <c r="AT54" s="726"/>
      <c r="AU54" s="1325"/>
      <c r="AV54" s="726"/>
      <c r="AW54" s="726"/>
      <c r="AX54" s="726"/>
      <c r="AY54" s="726"/>
      <c r="AZ54" s="1325"/>
      <c r="BA54" s="726"/>
      <c r="BB54" s="726"/>
      <c r="BC54" s="726"/>
      <c r="BD54" s="726"/>
      <c r="BE54" s="1325"/>
      <c r="BF54" s="726"/>
      <c r="BG54" s="726"/>
      <c r="BH54" s="808"/>
      <c r="BI54" s="98"/>
      <c r="BJ54" s="1326"/>
      <c r="BK54" s="98"/>
      <c r="BL54" s="98"/>
      <c r="BM54" s="98"/>
      <c r="BN54" s="98"/>
      <c r="BO54" s="1326"/>
      <c r="BP54" s="1325"/>
      <c r="BQ54" s="1325"/>
      <c r="BR54" s="1326"/>
      <c r="BS54" s="648"/>
    </row>
    <row r="55" spans="1:71" s="668" customFormat="1" ht="15" hidden="1" outlineLevel="2">
      <c r="A55" s="25" t="s">
        <v>598</v>
      </c>
      <c r="B55" s="1005"/>
      <c r="C55" s="1348">
        <f t="shared" si="117" ref="C55:AU55">C230</f>
        <v>7414.80</v>
      </c>
      <c r="D55" s="1348">
        <f t="shared" si="117"/>
        <v>7419.70</v>
      </c>
      <c r="E55" s="1348">
        <f t="shared" si="117"/>
        <v>7627.40</v>
      </c>
      <c r="F55" s="1348">
        <f t="shared" si="117"/>
        <v>8103.90</v>
      </c>
      <c r="G55" s="1348">
        <f t="shared" si="117"/>
        <v>8601.50</v>
      </c>
      <c r="H55" s="1039">
        <f t="shared" si="117"/>
        <v>2203.1999999999998</v>
      </c>
      <c r="I55" s="1039">
        <f t="shared" si="117"/>
        <v>2242.3000000000002</v>
      </c>
      <c r="J55" s="1039">
        <f t="shared" si="117"/>
        <v>2235.1999999999998</v>
      </c>
      <c r="K55" s="1039">
        <f t="shared" si="117"/>
        <v>2406.3000000000002</v>
      </c>
      <c r="L55" s="1348">
        <f t="shared" si="117"/>
        <v>9087</v>
      </c>
      <c r="M55" s="1039">
        <f t="shared" si="117"/>
        <v>2244.50</v>
      </c>
      <c r="N55" s="1039">
        <f t="shared" si="117"/>
        <v>2276.40</v>
      </c>
      <c r="O55" s="1039">
        <f t="shared" si="117"/>
        <v>2284.60</v>
      </c>
      <c r="P55" s="1039">
        <f t="shared" si="117"/>
        <v>2303.1000000000004</v>
      </c>
      <c r="Q55" s="1348">
        <f t="shared" si="117"/>
        <v>9108.60</v>
      </c>
      <c r="R55" s="1039">
        <f t="shared" si="117"/>
        <v>2347.90</v>
      </c>
      <c r="S55" s="1039">
        <f t="shared" si="117"/>
        <v>2423.3000000000002</v>
      </c>
      <c r="T55" s="1039">
        <f t="shared" si="117"/>
        <v>2474.3000000000002</v>
      </c>
      <c r="U55" s="1039">
        <f t="shared" si="117"/>
        <v>2546.1999999999998</v>
      </c>
      <c r="V55" s="1348">
        <f t="shared" si="117"/>
        <v>9791.7000000000007</v>
      </c>
      <c r="W55" s="1039">
        <f t="shared" si="117"/>
        <v>2631.50</v>
      </c>
      <c r="X55" s="1039">
        <f t="shared" si="117"/>
        <v>2752.50</v>
      </c>
      <c r="Y55" s="1039">
        <f t="shared" si="117"/>
        <v>2840</v>
      </c>
      <c r="Z55" s="1039">
        <f t="shared" si="117"/>
        <v>2953.6000000000004</v>
      </c>
      <c r="AA55" s="1348">
        <f t="shared" si="117"/>
        <v>11177.60</v>
      </c>
      <c r="AB55" s="1039">
        <f t="shared" si="117"/>
        <v>3063.80</v>
      </c>
      <c r="AC55" s="1039">
        <f t="shared" si="117"/>
        <v>3225.70</v>
      </c>
      <c r="AD55" s="1039">
        <f t="shared" si="117"/>
        <v>3318.20</v>
      </c>
      <c r="AE55" s="1039">
        <f t="shared" si="117"/>
        <v>3409.50</v>
      </c>
      <c r="AF55" s="1348">
        <f t="shared" si="117"/>
        <v>13017.20</v>
      </c>
      <c r="AG55" s="1039">
        <f t="shared" si="117"/>
        <v>3508.50</v>
      </c>
      <c r="AH55" s="1039">
        <f t="shared" si="117"/>
        <v>3639.60</v>
      </c>
      <c r="AI55" s="1039">
        <f t="shared" si="117"/>
        <v>3703.40</v>
      </c>
      <c r="AJ55" s="1039">
        <f t="shared" si="117"/>
        <v>4052.6000000000004</v>
      </c>
      <c r="AK55" s="1348">
        <f t="shared" si="117"/>
        <v>14904.10</v>
      </c>
      <c r="AL55" s="1039">
        <f t="shared" si="117"/>
        <v>3828.70</v>
      </c>
      <c r="AM55" s="1039">
        <f t="shared" si="117"/>
        <v>3919</v>
      </c>
      <c r="AN55" s="1039">
        <f t="shared" si="117"/>
        <v>4001.60</v>
      </c>
      <c r="AO55" s="1039">
        <f t="shared" si="117"/>
        <v>4040.2000000000007</v>
      </c>
      <c r="AP55" s="1348">
        <f t="shared" si="117"/>
        <v>15789.50</v>
      </c>
      <c r="AQ55" s="1039">
        <f t="shared" si="117"/>
        <v>4098.20</v>
      </c>
      <c r="AR55" s="1039">
        <f t="shared" si="117"/>
        <v>4220.30</v>
      </c>
      <c r="AS55" s="1039">
        <f t="shared" si="117"/>
        <v>4267.8999999999996</v>
      </c>
      <c r="AT55" s="1039">
        <f t="shared" si="117"/>
        <v>4294.6000000000004</v>
      </c>
      <c r="AU55" s="1348">
        <f t="shared" si="117"/>
        <v>16881</v>
      </c>
      <c r="AV55" s="1039">
        <f t="shared" si="118" ref="AV55:BA55">AV230</f>
        <v>4323.30</v>
      </c>
      <c r="AW55" s="1039">
        <f t="shared" si="118"/>
        <v>4366.4999999999991</v>
      </c>
      <c r="AX55" s="1039">
        <f t="shared" si="118"/>
        <v>4441.8999999999996</v>
      </c>
      <c r="AY55" s="1039">
        <f t="shared" si="118"/>
        <v>4613.0000000000018</v>
      </c>
      <c r="AZ55" s="1348">
        <f t="shared" si="118"/>
        <v>17744.700000000001</v>
      </c>
      <c r="BA55" s="1039">
        <f t="shared" si="118"/>
        <v>4860.20</v>
      </c>
      <c r="BB55" s="1039">
        <f t="shared" si="119" ref="BB55:BG55">BB230</f>
        <v>5207.20</v>
      </c>
      <c r="BC55" s="1039">
        <f t="shared" si="119"/>
        <v>5414</v>
      </c>
      <c r="BD55" s="1039">
        <f t="shared" si="119"/>
        <v>5716.8000000000011</v>
      </c>
      <c r="BE55" s="1348">
        <f t="shared" si="119"/>
        <v>21198.200000000001</v>
      </c>
      <c r="BF55" s="1039">
        <f t="shared" si="119"/>
        <v>5857.70</v>
      </c>
      <c r="BG55" s="1039">
        <f t="shared" si="119"/>
        <v>6213.40</v>
      </c>
      <c r="BH55" s="1040">
        <f>BH230</f>
        <v>6627.80</v>
      </c>
      <c r="BI55" s="1023">
        <f>BI50*BI53</f>
        <v>6379.0277554226595</v>
      </c>
      <c r="BJ55" s="1321">
        <f>SUM(BF55,BG55,BH55,BI55)</f>
        <v>25077.927755422661</v>
      </c>
      <c r="BK55" s="1023">
        <f>BK50*BK53</f>
        <v>7205.589311920462</v>
      </c>
      <c r="BL55" s="1023">
        <f>BL50*BL53</f>
        <v>6939.9459844490275</v>
      </c>
      <c r="BM55" s="1023">
        <f>BM50*BM53</f>
        <v>7160.2260210635586</v>
      </c>
      <c r="BN55" s="1023">
        <f>BN50*BN53</f>
        <v>7062.2578743841759</v>
      </c>
      <c r="BO55" s="1321">
        <f>SUM(BK55,BL55,BM55,BN55)</f>
        <v>28368.019191817224</v>
      </c>
      <c r="BP55" s="1322">
        <f>BP50*BP53</f>
        <v>31733.433023170091</v>
      </c>
      <c r="BQ55" s="1322">
        <f>BQ50*BQ53</f>
        <v>33015.463717306171</v>
      </c>
      <c r="BR55" s="1321">
        <f>BR50*BR53</f>
        <v>34349.288451485336</v>
      </c>
      <c r="BS55" s="648"/>
    </row>
    <row r="56" spans="1:71" s="669" customFormat="1" ht="15" hidden="1" outlineLevel="2">
      <c r="A56" s="107" t="s">
        <v>599</v>
      </c>
      <c r="B56" s="108"/>
      <c r="C56" s="1325"/>
      <c r="D56" s="1325"/>
      <c r="E56" s="1325"/>
      <c r="F56" s="1325"/>
      <c r="G56" s="1325"/>
      <c r="H56" s="726"/>
      <c r="I56" s="726"/>
      <c r="J56" s="726"/>
      <c r="K56" s="726"/>
      <c r="L56" s="1325"/>
      <c r="M56" s="726"/>
      <c r="N56" s="726"/>
      <c r="O56" s="726"/>
      <c r="P56" s="726"/>
      <c r="Q56" s="1325"/>
      <c r="R56" s="726"/>
      <c r="S56" s="725">
        <f t="shared" si="120" ref="S56:AU56">S55/N55-1</f>
        <v>0.064531716745738876</v>
      </c>
      <c r="T56" s="725">
        <f t="shared" si="120"/>
        <v>0.083034229186728759</v>
      </c>
      <c r="U56" s="725">
        <f t="shared" si="120"/>
        <v>0.10555338456862473</v>
      </c>
      <c r="V56" s="1327">
        <f t="shared" si="120"/>
        <v>0.074995059613991222</v>
      </c>
      <c r="W56" s="725">
        <f t="shared" si="120"/>
        <v>0.1207887899825375</v>
      </c>
      <c r="X56" s="725">
        <f t="shared" si="120"/>
        <v>0.13584781083646269</v>
      </c>
      <c r="Y56" s="725">
        <f t="shared" si="120"/>
        <v>0.14779937760174588</v>
      </c>
      <c r="Z56" s="725">
        <f t="shared" si="120"/>
        <v>0.16000314193700449</v>
      </c>
      <c r="AA56" s="1327">
        <f t="shared" si="120"/>
        <v>0.1415382415719435</v>
      </c>
      <c r="AB56" s="725">
        <f t="shared" si="120"/>
        <v>0.16427892836785118</v>
      </c>
      <c r="AC56" s="725">
        <f t="shared" si="120"/>
        <v>0.17191643960036318</v>
      </c>
      <c r="AD56" s="725">
        <f t="shared" si="120"/>
        <v>0.16838028169014074</v>
      </c>
      <c r="AE56" s="725">
        <f t="shared" si="120"/>
        <v>0.15435400866738891</v>
      </c>
      <c r="AF56" s="1327">
        <f t="shared" si="120"/>
        <v>0.16457915831663339</v>
      </c>
      <c r="AG56" s="725">
        <f t="shared" si="120"/>
        <v>0.14514655003590304</v>
      </c>
      <c r="AH56" s="725">
        <f t="shared" si="120"/>
        <v>0.12831323433673325</v>
      </c>
      <c r="AI56" s="725">
        <f t="shared" si="120"/>
        <v>0.11608703513953356</v>
      </c>
      <c r="AJ56" s="725">
        <f t="shared" si="120"/>
        <v>0.18862003226279533</v>
      </c>
      <c r="AK56" s="1327">
        <f t="shared" si="120"/>
        <v>0.14495436806686524</v>
      </c>
      <c r="AL56" s="725">
        <f t="shared" si="120"/>
        <v>0.091264072965654863</v>
      </c>
      <c r="AM56" s="725">
        <f t="shared" si="120"/>
        <v>0.076766677656885385</v>
      </c>
      <c r="AN56" s="725">
        <f t="shared" si="120"/>
        <v>0.080520602689420517</v>
      </c>
      <c r="AO56" s="725">
        <f t="shared" si="120"/>
        <v>-0.0030597641020578825</v>
      </c>
      <c r="AP56" s="1327">
        <f t="shared" si="120"/>
        <v>0.059406472044605252</v>
      </c>
      <c r="AQ56" s="725">
        <f t="shared" si="120"/>
        <v>0.070389427220727718</v>
      </c>
      <c r="AR56" s="725">
        <f t="shared" si="120"/>
        <v>0.076881857616738936</v>
      </c>
      <c r="AS56" s="725">
        <f t="shared" si="120"/>
        <v>0.066548380647740935</v>
      </c>
      <c r="AT56" s="725">
        <f t="shared" si="120"/>
        <v>0.062967179842581933</v>
      </c>
      <c r="AU56" s="1327">
        <f t="shared" si="120"/>
        <v>0.069128218119636431</v>
      </c>
      <c r="AV56" s="725">
        <f t="shared" si="121" ref="AV56:AZ56">AV55/AQ55-1</f>
        <v>0.05492655312088246</v>
      </c>
      <c r="AW56" s="725">
        <f t="shared" si="121"/>
        <v>0.034642087055422266</v>
      </c>
      <c r="AX56" s="725">
        <f t="shared" si="121"/>
        <v>0.040769465076501366</v>
      </c>
      <c r="AY56" s="725">
        <f t="shared" si="121"/>
        <v>0.074139617193685448</v>
      </c>
      <c r="AZ56" s="1327">
        <f t="shared" si="121"/>
        <v>0.051164030566909657</v>
      </c>
      <c r="BA56" s="725">
        <f t="shared" si="122" ref="BA56:BO56">BA55/AV55-1</f>
        <v>0.12418754192399306</v>
      </c>
      <c r="BB56" s="725">
        <f t="shared" si="122"/>
        <v>0.19253406618573243</v>
      </c>
      <c r="BC56" s="725">
        <f t="shared" si="122"/>
        <v>0.21884779035998125</v>
      </c>
      <c r="BD56" s="725">
        <f t="shared" si="122"/>
        <v>0.2392802948189896</v>
      </c>
      <c r="BE56" s="1327">
        <f t="shared" si="122"/>
        <v>0.1946214926146963</v>
      </c>
      <c r="BF56" s="725">
        <f>BF55/BA55-1</f>
        <v>0.20523846755277564</v>
      </c>
      <c r="BG56" s="725">
        <f>BG55/BB55-1</f>
        <v>0.19323244738055023</v>
      </c>
      <c r="BH56" s="809">
        <f>BH55/BC55-1</f>
        <v>0.2241965275212412</v>
      </c>
      <c r="BI56" s="98">
        <f t="shared" si="122"/>
        <v>0.11583888808820642</v>
      </c>
      <c r="BJ56" s="1326">
        <f t="shared" si="122"/>
        <v>0.18302156576608675</v>
      </c>
      <c r="BK56" s="98">
        <f t="shared" si="122"/>
        <v>0.23010555540919864</v>
      </c>
      <c r="BL56" s="98">
        <f t="shared" si="122"/>
        <v>0.11693211195947906</v>
      </c>
      <c r="BM56" s="98">
        <f t="shared" si="122"/>
        <v>0.080332240119429965</v>
      </c>
      <c r="BN56" s="98">
        <f t="shared" si="122"/>
        <v>0.10710568211287663</v>
      </c>
      <c r="BO56" s="1326">
        <f t="shared" si="122"/>
        <v>0.13119470908768127</v>
      </c>
      <c r="BP56" s="1325">
        <f>BP55/BO55-1</f>
        <v>0.11863407905207657</v>
      </c>
      <c r="BQ56" s="1325">
        <f>BQ55/BP55-1</f>
        <v>0.040400000000000214</v>
      </c>
      <c r="BR56" s="1326">
        <f>BR55/BQ55-1</f>
        <v>0.040399999999999769</v>
      </c>
      <c r="BS56" s="648"/>
    </row>
    <row r="57" spans="1:71" s="669" customFormat="1" ht="7.5" customHeight="1" hidden="1" outlineLevel="2">
      <c r="A57" s="107"/>
      <c r="B57" s="108"/>
      <c r="C57" s="1325"/>
      <c r="D57" s="1325"/>
      <c r="E57" s="1325"/>
      <c r="F57" s="1325"/>
      <c r="G57" s="1325"/>
      <c r="H57" s="726"/>
      <c r="I57" s="726"/>
      <c r="J57" s="726"/>
      <c r="K57" s="726"/>
      <c r="L57" s="1325"/>
      <c r="M57" s="726"/>
      <c r="N57" s="726"/>
      <c r="O57" s="726"/>
      <c r="P57" s="726"/>
      <c r="Q57" s="1325"/>
      <c r="R57" s="726"/>
      <c r="S57" s="726"/>
      <c r="T57" s="726"/>
      <c r="U57" s="726"/>
      <c r="V57" s="1325"/>
      <c r="W57" s="726"/>
      <c r="X57" s="726"/>
      <c r="Y57" s="726"/>
      <c r="Z57" s="726"/>
      <c r="AA57" s="1325"/>
      <c r="AB57" s="726"/>
      <c r="AC57" s="726"/>
      <c r="AD57" s="726"/>
      <c r="AE57" s="726"/>
      <c r="AF57" s="1325"/>
      <c r="AG57" s="726"/>
      <c r="AH57" s="726"/>
      <c r="AI57" s="726"/>
      <c r="AJ57" s="726"/>
      <c r="AK57" s="1325"/>
      <c r="AL57" s="726"/>
      <c r="AM57" s="726"/>
      <c r="AN57" s="726"/>
      <c r="AO57" s="726"/>
      <c r="AP57" s="1325"/>
      <c r="AQ57" s="726"/>
      <c r="AR57" s="726"/>
      <c r="AS57" s="726"/>
      <c r="AT57" s="726"/>
      <c r="AU57" s="1325"/>
      <c r="AV57" s="726"/>
      <c r="AW57" s="726"/>
      <c r="AX57" s="726"/>
      <c r="AY57" s="726"/>
      <c r="AZ57" s="1325"/>
      <c r="BA57" s="726"/>
      <c r="BB57" s="726"/>
      <c r="BC57" s="726"/>
      <c r="BD57" s="726"/>
      <c r="BE57" s="1325"/>
      <c r="BF57" s="726"/>
      <c r="BG57" s="726"/>
      <c r="BH57" s="808"/>
      <c r="BI57" s="98"/>
      <c r="BJ57" s="1326"/>
      <c r="BK57" s="98"/>
      <c r="BL57" s="98"/>
      <c r="BM57" s="98"/>
      <c r="BN57" s="98"/>
      <c r="BO57" s="1326"/>
      <c r="BP57" s="1325"/>
      <c r="BQ57" s="1325"/>
      <c r="BR57" s="1326"/>
      <c r="BS57" s="648"/>
    </row>
    <row r="58" spans="1:71" s="665" customFormat="1" ht="15" hidden="1" outlineLevel="2">
      <c r="A58" s="371" t="s">
        <v>670</v>
      </c>
      <c r="B58" s="308"/>
      <c r="C58" s="1349">
        <f t="shared" si="123" ref="C58:AU58">C278</f>
        <v>5271.9228000000003</v>
      </c>
      <c r="D58" s="1349">
        <f t="shared" si="123"/>
        <v>5238.3081999999995</v>
      </c>
      <c r="E58" s="1349">
        <f t="shared" si="123"/>
        <v>5476.4731999999995</v>
      </c>
      <c r="F58" s="1349">
        <f t="shared" si="123"/>
        <v>6094.1327999999994</v>
      </c>
      <c r="G58" s="1349">
        <f t="shared" si="123"/>
        <v>6322.1025</v>
      </c>
      <c r="H58" s="1042">
        <f t="shared" si="123"/>
        <v>1592.9135999999999</v>
      </c>
      <c r="I58" s="1042">
        <f t="shared" si="123"/>
        <v>1650.3328000000001</v>
      </c>
      <c r="J58" s="1042">
        <f t="shared" si="123"/>
        <v>1645.1071999999999</v>
      </c>
      <c r="K58" s="1042">
        <f t="shared" si="123"/>
        <v>1726.9823999999999</v>
      </c>
      <c r="L58" s="1349">
        <f t="shared" si="123"/>
        <v>6615.3360000000002</v>
      </c>
      <c r="M58" s="1042">
        <f t="shared" si="123"/>
        <v>1611.5509999999999</v>
      </c>
      <c r="N58" s="1042">
        <f t="shared" si="123"/>
        <v>1664.0484000000001</v>
      </c>
      <c r="O58" s="1042">
        <f t="shared" si="123"/>
        <v>1663.1887999999999</v>
      </c>
      <c r="P58" s="1042">
        <f t="shared" si="123"/>
        <v>1674.0554000000002</v>
      </c>
      <c r="Q58" s="1349">
        <f t="shared" si="123"/>
        <v>6612.8436000000002</v>
      </c>
      <c r="R58" s="1042">
        <f t="shared" si="123"/>
        <v>1718.6628000000001</v>
      </c>
      <c r="S58" s="1042">
        <f t="shared" si="123"/>
        <v>1861.0944000000002</v>
      </c>
      <c r="T58" s="1042">
        <f t="shared" si="123"/>
        <v>1890.3652000000002</v>
      </c>
      <c r="U58" s="1042">
        <f t="shared" si="123"/>
        <v>1903.0277000000006</v>
      </c>
      <c r="V58" s="1349">
        <f t="shared" si="123"/>
        <v>7373.1501000000007</v>
      </c>
      <c r="W58" s="1042">
        <f t="shared" si="123"/>
        <v>1860.4704999999999</v>
      </c>
      <c r="X58" s="1042">
        <f t="shared" si="123"/>
        <v>2009.325</v>
      </c>
      <c r="Y58" s="1042">
        <f t="shared" si="123"/>
        <v>2223.7200000000003</v>
      </c>
      <c r="Z58" s="1042">
        <f t="shared" si="123"/>
        <v>2066.1324999999997</v>
      </c>
      <c r="AA58" s="1349">
        <f t="shared" si="123"/>
        <v>8159.6480000000001</v>
      </c>
      <c r="AB58" s="1042">
        <f t="shared" si="123"/>
        <v>2068.065</v>
      </c>
      <c r="AC58" s="1042">
        <f t="shared" si="123"/>
        <v>2238.6357999999996</v>
      </c>
      <c r="AD58" s="1042">
        <f t="shared" si="123"/>
        <v>2306.1489999999999</v>
      </c>
      <c r="AE58" s="1042">
        <f t="shared" si="123"/>
        <v>2473.1558000000005</v>
      </c>
      <c r="AF58" s="1349">
        <f t="shared" si="123"/>
        <v>9086.0056000000004</v>
      </c>
      <c r="AG58" s="1042">
        <f t="shared" si="123"/>
        <v>2378.7630000000004</v>
      </c>
      <c r="AH58" s="1042">
        <f t="shared" si="123"/>
        <v>2507.6843999999996</v>
      </c>
      <c r="AI58" s="1042">
        <f t="shared" si="123"/>
        <v>2629.4139999999998</v>
      </c>
      <c r="AJ58" s="1042">
        <f t="shared" si="123"/>
        <v>2887.2003999999997</v>
      </c>
      <c r="AK58" s="1349">
        <f t="shared" si="123"/>
        <v>10403.061799999999</v>
      </c>
      <c r="AL58" s="1042">
        <f t="shared" si="123"/>
        <v>2477.1689000000001</v>
      </c>
      <c r="AM58" s="1042">
        <f t="shared" si="123"/>
        <v>2084.9079999999999</v>
      </c>
      <c r="AN58" s="1042">
        <f t="shared" si="123"/>
        <v>2681.0720000000001</v>
      </c>
      <c r="AO58" s="1042">
        <f t="shared" si="123"/>
        <v>2783.1836000000003</v>
      </c>
      <c r="AP58" s="1349">
        <f t="shared" si="123"/>
        <v>10026.3325</v>
      </c>
      <c r="AQ58" s="1042">
        <f t="shared" si="123"/>
        <v>2778.5796</v>
      </c>
      <c r="AR58" s="1042">
        <f t="shared" si="123"/>
        <v>3228.5295000000001</v>
      </c>
      <c r="AS58" s="1042">
        <f t="shared" si="123"/>
        <v>3452.7311</v>
      </c>
      <c r="AT58" s="1042">
        <f t="shared" si="123"/>
        <v>3302.1958000000013</v>
      </c>
      <c r="AU58" s="1349">
        <f t="shared" si="123"/>
        <v>12762.036</v>
      </c>
      <c r="AV58" s="1042">
        <f t="shared" si="124" ref="AV58:BA58">AV278</f>
        <v>3246.7982999999999</v>
      </c>
      <c r="AW58" s="1042">
        <f t="shared" si="124"/>
        <v>3375.3044999999993</v>
      </c>
      <c r="AX58" s="1042">
        <f t="shared" si="124"/>
        <v>3682.3350999999993</v>
      </c>
      <c r="AY58" s="1042">
        <f t="shared" si="124"/>
        <v>3554.1728000000039</v>
      </c>
      <c r="AZ58" s="1349">
        <f t="shared" si="124"/>
        <v>13858.610700000001</v>
      </c>
      <c r="BA58" s="1042">
        <f t="shared" si="124"/>
        <v>3790.9560000000001</v>
      </c>
      <c r="BB58" s="1042">
        <f t="shared" si="125" ref="BB58:BG58">BB278</f>
        <v>4348.0119999999997</v>
      </c>
      <c r="BC58" s="1042">
        <f t="shared" si="125"/>
        <v>4103.8119999999999</v>
      </c>
      <c r="BD58" s="1042">
        <f t="shared" si="125"/>
        <v>4079.8340000000026</v>
      </c>
      <c r="BE58" s="1349">
        <f t="shared" si="125"/>
        <v>16322.614000000001</v>
      </c>
      <c r="BF58" s="1042">
        <f t="shared" si="125"/>
        <v>3860.2242999999999</v>
      </c>
      <c r="BG58" s="1042">
        <f t="shared" si="125"/>
        <v>4299.6728000000003</v>
      </c>
      <c r="BH58" s="1043">
        <f>BH278</f>
        <v>4500.2762000000002</v>
      </c>
      <c r="BI58" s="1044"/>
      <c r="BJ58" s="1350"/>
      <c r="BK58" s="1044"/>
      <c r="BL58" s="1044"/>
      <c r="BM58" s="1044"/>
      <c r="BN58" s="1044"/>
      <c r="BO58" s="1350"/>
      <c r="BP58" s="1351"/>
      <c r="BQ58" s="1351"/>
      <c r="BR58" s="1350"/>
      <c r="BS58" s="648"/>
    </row>
    <row r="59" spans="1:71" s="676" customFormat="1" ht="15" hidden="1" outlineLevel="2">
      <c r="A59" s="24" t="str">
        <f>A259</f>
        <v>Agency Auto - Loss &amp; LAE Ratio, %</v>
      </c>
      <c r="B59" s="396"/>
      <c r="C59" s="1352">
        <f t="shared" si="126" ref="C59:AU59">C259</f>
        <v>0.71099999999999997</v>
      </c>
      <c r="D59" s="1352">
        <f t="shared" si="126"/>
        <v>0.70599999999999996</v>
      </c>
      <c r="E59" s="1352">
        <f t="shared" si="126"/>
        <v>0.71799999999999997</v>
      </c>
      <c r="F59" s="1352">
        <f t="shared" si="126"/>
        <v>0.752</v>
      </c>
      <c r="G59" s="1352">
        <f t="shared" si="126"/>
        <v>0.735</v>
      </c>
      <c r="H59" s="197">
        <f t="shared" si="126"/>
        <v>0.72299999999999998</v>
      </c>
      <c r="I59" s="197">
        <f t="shared" si="126"/>
        <v>0.73599999999999999</v>
      </c>
      <c r="J59" s="197">
        <f t="shared" si="126"/>
        <v>0.73599999999999999</v>
      </c>
      <c r="K59" s="197">
        <f t="shared" si="126"/>
        <v>0.71769205834683947</v>
      </c>
      <c r="L59" s="1352">
        <f t="shared" si="126"/>
        <v>0.72799999999999998</v>
      </c>
      <c r="M59" s="197">
        <f t="shared" si="126"/>
        <v>0.71799999999999997</v>
      </c>
      <c r="N59" s="197">
        <f t="shared" si="126"/>
        <v>0.73099999999999998</v>
      </c>
      <c r="O59" s="197">
        <f t="shared" si="126"/>
        <v>0.72799999999999998</v>
      </c>
      <c r="P59" s="197">
        <f t="shared" si="126"/>
        <v>0.7268704789197169</v>
      </c>
      <c r="Q59" s="1352">
        <f t="shared" si="126"/>
        <v>0.72599999999999998</v>
      </c>
      <c r="R59" s="197">
        <f t="shared" si="126"/>
        <v>0.73199999999999998</v>
      </c>
      <c r="S59" s="197">
        <f t="shared" si="126"/>
        <v>0.76800000000000002</v>
      </c>
      <c r="T59" s="197">
        <f t="shared" si="126"/>
        <v>0.76400000000000001</v>
      </c>
      <c r="U59" s="197">
        <f t="shared" si="126"/>
        <v>0.74739914382216666</v>
      </c>
      <c r="V59" s="1352">
        <f t="shared" si="126"/>
        <v>0.753</v>
      </c>
      <c r="W59" s="197">
        <f t="shared" si="126"/>
        <v>0.70699999999999996</v>
      </c>
      <c r="X59" s="197">
        <f t="shared" si="126"/>
        <v>0.73</v>
      </c>
      <c r="Y59" s="197">
        <f t="shared" si="126"/>
        <v>0.78300000000000003</v>
      </c>
      <c r="Z59" s="197">
        <f t="shared" si="126"/>
        <v>0.69953023429035732</v>
      </c>
      <c r="AA59" s="1352">
        <f t="shared" si="126"/>
        <v>0.73</v>
      </c>
      <c r="AB59" s="197">
        <f t="shared" si="126"/>
        <v>0.675</v>
      </c>
      <c r="AC59" s="197">
        <f t="shared" si="126"/>
        <v>0.69399999999999995</v>
      </c>
      <c r="AD59" s="197">
        <f t="shared" si="126"/>
        <v>0.695</v>
      </c>
      <c r="AE59" s="197">
        <f t="shared" si="126"/>
        <v>0.72537199002786346</v>
      </c>
      <c r="AF59" s="1352">
        <f t="shared" si="126"/>
        <v>0.69799999999999995</v>
      </c>
      <c r="AG59" s="197">
        <f t="shared" si="126"/>
        <v>0.67800000000000005</v>
      </c>
      <c r="AH59" s="197">
        <f t="shared" si="126"/>
        <v>0.68899999999999995</v>
      </c>
      <c r="AI59" s="197">
        <f t="shared" si="126"/>
        <v>0.71</v>
      </c>
      <c r="AJ59" s="197">
        <f t="shared" si="126"/>
        <v>0.7124316241425257</v>
      </c>
      <c r="AK59" s="1352">
        <f t="shared" si="126"/>
        <v>0.69799999999999995</v>
      </c>
      <c r="AL59" s="197">
        <f t="shared" si="126"/>
        <v>0.64700000000000002</v>
      </c>
      <c r="AM59" s="197">
        <f t="shared" si="126"/>
        <v>0.53200000000000003</v>
      </c>
      <c r="AN59" s="197">
        <f t="shared" si="126"/>
        <v>0.67</v>
      </c>
      <c r="AO59" s="197">
        <f t="shared" si="126"/>
        <v>0.68887272907281816</v>
      </c>
      <c r="AP59" s="1352">
        <f t="shared" si="126"/>
        <v>0.635</v>
      </c>
      <c r="AQ59" s="197">
        <f t="shared" si="126"/>
        <v>0.67800000000000005</v>
      </c>
      <c r="AR59" s="197">
        <f t="shared" si="126"/>
        <v>0.765</v>
      </c>
      <c r="AS59" s="197">
        <f t="shared" si="126"/>
        <v>0.80900000000000005</v>
      </c>
      <c r="AT59" s="197">
        <f t="shared" si="126"/>
        <v>0.76891812974433038</v>
      </c>
      <c r="AU59" s="1352">
        <f t="shared" si="126"/>
        <v>0.75600000000000001</v>
      </c>
      <c r="AV59" s="197">
        <f t="shared" si="127" ref="AV59:BA59">AV259</f>
        <v>0.751</v>
      </c>
      <c r="AW59" s="197">
        <f t="shared" si="127"/>
        <v>0.77300000000000002</v>
      </c>
      <c r="AX59" s="197">
        <f t="shared" si="127"/>
        <v>0.82899999999999996</v>
      </c>
      <c r="AY59" s="197">
        <f t="shared" si="127"/>
        <v>0.77046884890526823</v>
      </c>
      <c r="AZ59" s="1352">
        <f t="shared" si="127"/>
        <v>0.78100000000000003</v>
      </c>
      <c r="BA59" s="197">
        <f t="shared" si="127"/>
        <v>0.78</v>
      </c>
      <c r="BB59" s="197">
        <f t="shared" si="128" ref="BB59:BG59">BB259</f>
        <v>0.835</v>
      </c>
      <c r="BC59" s="197">
        <f t="shared" si="128"/>
        <v>0.75800000000000001</v>
      </c>
      <c r="BD59" s="197">
        <f t="shared" si="128"/>
        <v>0.71365694094598409</v>
      </c>
      <c r="BE59" s="1352">
        <f t="shared" si="128"/>
        <v>0.77</v>
      </c>
      <c r="BF59" s="197">
        <f t="shared" si="128"/>
        <v>0.65900000000000003</v>
      </c>
      <c r="BG59" s="197">
        <f t="shared" si="128"/>
        <v>0.69199999999999995</v>
      </c>
      <c r="BH59" s="815">
        <f>BH259</f>
        <v>0.67900000000000005</v>
      </c>
      <c r="BI59" s="909"/>
      <c r="BJ59" s="1340"/>
      <c r="BK59" s="909"/>
      <c r="BL59" s="909"/>
      <c r="BM59" s="909"/>
      <c r="BN59" s="909"/>
      <c r="BO59" s="1340"/>
      <c r="BP59" s="1339"/>
      <c r="BQ59" s="1339"/>
      <c r="BR59" s="1340"/>
      <c r="BS59" s="648"/>
    </row>
    <row r="60" spans="1:71" s="669" customFormat="1" ht="7.5" customHeight="1" hidden="1" outlineLevel="2">
      <c r="A60" s="107"/>
      <c r="B60" s="108"/>
      <c r="C60" s="1325"/>
      <c r="D60" s="1325"/>
      <c r="E60" s="1325"/>
      <c r="F60" s="1325"/>
      <c r="G60" s="1325"/>
      <c r="H60" s="726"/>
      <c r="I60" s="726"/>
      <c r="J60" s="726"/>
      <c r="K60" s="726"/>
      <c r="L60" s="1325"/>
      <c r="M60" s="726"/>
      <c r="N60" s="726"/>
      <c r="O60" s="726"/>
      <c r="P60" s="726"/>
      <c r="Q60" s="1325"/>
      <c r="R60" s="726"/>
      <c r="S60" s="726"/>
      <c r="T60" s="726"/>
      <c r="U60" s="726"/>
      <c r="V60" s="1325"/>
      <c r="W60" s="726"/>
      <c r="X60" s="726"/>
      <c r="Y60" s="726"/>
      <c r="Z60" s="726"/>
      <c r="AA60" s="1325"/>
      <c r="AB60" s="726"/>
      <c r="AC60" s="726"/>
      <c r="AD60" s="726"/>
      <c r="AE60" s="726"/>
      <c r="AF60" s="1325"/>
      <c r="AG60" s="726"/>
      <c r="AH60" s="726"/>
      <c r="AI60" s="726"/>
      <c r="AJ60" s="726"/>
      <c r="AK60" s="1325"/>
      <c r="AL60" s="726"/>
      <c r="AM60" s="726"/>
      <c r="AN60" s="726"/>
      <c r="AO60" s="726"/>
      <c r="AP60" s="1325"/>
      <c r="AQ60" s="726"/>
      <c r="AR60" s="726"/>
      <c r="AS60" s="726"/>
      <c r="AT60" s="726"/>
      <c r="AU60" s="1325"/>
      <c r="AV60" s="726"/>
      <c r="AW60" s="726"/>
      <c r="AX60" s="726"/>
      <c r="AY60" s="726"/>
      <c r="AZ60" s="1325"/>
      <c r="BA60" s="726"/>
      <c r="BB60" s="726"/>
      <c r="BC60" s="726"/>
      <c r="BD60" s="726"/>
      <c r="BE60" s="1325"/>
      <c r="BF60" s="726"/>
      <c r="BG60" s="726"/>
      <c r="BH60" s="808"/>
      <c r="BI60" s="98"/>
      <c r="BJ60" s="1326"/>
      <c r="BK60" s="98"/>
      <c r="BL60" s="98"/>
      <c r="BM60" s="98"/>
      <c r="BN60" s="98"/>
      <c r="BO60" s="1326"/>
      <c r="BP60" s="1325"/>
      <c r="BQ60" s="1325"/>
      <c r="BR60" s="1326"/>
      <c r="BS60" s="648"/>
    </row>
    <row r="61" spans="1:71" s="665" customFormat="1" ht="15" hidden="1" outlineLevel="2">
      <c r="A61" s="371" t="s">
        <v>669</v>
      </c>
      <c r="B61" s="308"/>
      <c r="C61" s="1349">
        <f>C62*C55</f>
        <v>1564.5228</v>
      </c>
      <c r="D61" s="1349">
        <f t="shared" si="129" ref="D61:J61">D62*D55</f>
        <v>1580.3960999999999</v>
      </c>
      <c r="E61" s="1349">
        <f t="shared" si="129"/>
        <v>1586.4991999999997</v>
      </c>
      <c r="F61" s="1349">
        <f t="shared" si="129"/>
        <v>1669.4033999999999</v>
      </c>
      <c r="G61" s="1349">
        <f t="shared" si="129"/>
        <v>1737.5030000000002</v>
      </c>
      <c r="H61" s="1042">
        <f t="shared" si="129"/>
        <v>431.8272</v>
      </c>
      <c r="I61" s="1042">
        <f t="shared" si="129"/>
        <v>448.46000000000004</v>
      </c>
      <c r="J61" s="1042">
        <f t="shared" si="129"/>
        <v>442.56959999999998</v>
      </c>
      <c r="K61" s="1042">
        <f>L61-SUM(H61,I61,J61)</f>
        <v>467.2822000000001</v>
      </c>
      <c r="L61" s="1349">
        <f t="shared" si="130" ref="L61">L62*L55</f>
        <v>1790.1390000000001</v>
      </c>
      <c r="M61" s="1042">
        <f t="shared" si="131" ref="M61">M62*M55</f>
        <v>437.6775</v>
      </c>
      <c r="N61" s="1042">
        <f t="shared" si="132" ref="N61">N62*N55</f>
        <v>439.34520000000003</v>
      </c>
      <c r="O61" s="1042">
        <f t="shared" si="133" ref="O61">O62*O55</f>
        <v>452.35079999999999</v>
      </c>
      <c r="P61" s="1042">
        <f>Q61-SUM(M61,N61,O61)</f>
        <v>455.91210000000024</v>
      </c>
      <c r="Q61" s="1349">
        <f t="shared" si="134" ref="Q61">Q62*Q55</f>
        <v>1785.2856000000002</v>
      </c>
      <c r="R61" s="1042">
        <f t="shared" si="135" ref="R61">R62*R55</f>
        <v>457.84050000000002</v>
      </c>
      <c r="S61" s="1042">
        <f t="shared" si="136" ref="S61">S62*S55</f>
        <v>477.39010000000007</v>
      </c>
      <c r="T61" s="1042">
        <f t="shared" si="137" ref="T61">T62*T55</f>
        <v>484.96280000000007</v>
      </c>
      <c r="U61" s="1042">
        <f>V61-SUM(R61,S61,T61)</f>
        <v>508.77150000000006</v>
      </c>
      <c r="V61" s="1349">
        <f t="shared" si="138" ref="V61">V62*V55</f>
        <v>1928.9649000000002</v>
      </c>
      <c r="W61" s="1042">
        <f t="shared" si="139" ref="W61">W62*W55</f>
        <v>521.03700000000003</v>
      </c>
      <c r="X61" s="1042">
        <f t="shared" si="140" ref="X61">X62*X55</f>
        <v>536.73750000000007</v>
      </c>
      <c r="Y61" s="1042">
        <f t="shared" si="141" ref="Y61">Y62*Y55</f>
        <v>548.12</v>
      </c>
      <c r="Z61" s="1042">
        <f>AA61-SUM(W61,X61,Y61)</f>
        <v>573.73750000000018</v>
      </c>
      <c r="AA61" s="1349">
        <f t="shared" si="142" ref="AA61">AA62*AA55</f>
        <v>2179.6320000000001</v>
      </c>
      <c r="AB61" s="1042">
        <f t="shared" si="143" ref="AB61">AB62*AB55</f>
        <v>585.18580000000009</v>
      </c>
      <c r="AC61" s="1042">
        <f t="shared" si="144" ref="AC61">AC62*AC55</f>
        <v>625.78579999999999</v>
      </c>
      <c r="AD61" s="1042">
        <f t="shared" si="145" ref="AD61">AD62*AD55</f>
        <v>640.4126</v>
      </c>
      <c r="AE61" s="1042">
        <f>AF61-SUM(AB61,AC61,AD61)</f>
        <v>647.91820000000007</v>
      </c>
      <c r="AF61" s="1349">
        <f t="shared" si="146" ref="AF61">AF62*AF55</f>
        <v>2499.3024</v>
      </c>
      <c r="AG61" s="1042">
        <f t="shared" si="147" ref="AG61">AG62*AG55</f>
        <v>677.14049999999997</v>
      </c>
      <c r="AH61" s="1042">
        <f t="shared" si="148" ref="AH61">AH62*AH55</f>
        <v>698.80319999999995</v>
      </c>
      <c r="AI61" s="1042">
        <f t="shared" si="149" ref="AI61">AI62*AI55</f>
        <v>692.53579999999999</v>
      </c>
      <c r="AJ61" s="1042">
        <f>AK61-SUM(AG61,AH61,AI61)</f>
        <v>763.29950000000008</v>
      </c>
      <c r="AK61" s="1349">
        <f t="shared" si="150" ref="AK61">AK62*AK55</f>
        <v>2831.779</v>
      </c>
      <c r="AL61" s="1042">
        <f t="shared" si="151" ref="AL61">AL62*AL55</f>
        <v>750.42520000000002</v>
      </c>
      <c r="AM61" s="1042">
        <f t="shared" si="152" ref="AM61">AM62*AM55</f>
        <v>1285.432</v>
      </c>
      <c r="AN61" s="1042">
        <f t="shared" si="153" ref="AN61">AN62*AN55</f>
        <v>724.28959999999995</v>
      </c>
      <c r="AO61" s="1042">
        <f>AP61-SUM(AL61,AM61,AN61)</f>
        <v>760.91170000000011</v>
      </c>
      <c r="AP61" s="1349">
        <f t="shared" si="154" ref="AP61">AP62*AP55</f>
        <v>3521.0585000000001</v>
      </c>
      <c r="AQ61" s="1042">
        <f t="shared" si="155" ref="AQ61">AQ62*AQ55</f>
        <v>770.46159999999998</v>
      </c>
      <c r="AR61" s="1042">
        <f t="shared" si="156" ref="AR61">AR62*AR55</f>
        <v>784.97580000000005</v>
      </c>
      <c r="AS61" s="1042">
        <f t="shared" si="157" ref="AS61:AU61">AS62*AS55</f>
        <v>772.48989999999992</v>
      </c>
      <c r="AT61" s="1042">
        <f>AU61-SUM(AQ61,AR61,AS61)</f>
        <v>795.0577000000003</v>
      </c>
      <c r="AU61" s="1349">
        <f t="shared" si="157"/>
        <v>3122.9850000000001</v>
      </c>
      <c r="AV61" s="1042">
        <f>AV62*AV55</f>
        <v>786.84059999999999</v>
      </c>
      <c r="AW61" s="1042">
        <f>AW62*AW55</f>
        <v>729.20549999999992</v>
      </c>
      <c r="AX61" s="1042">
        <f>AX62*AX55</f>
        <v>799.54199999999992</v>
      </c>
      <c r="AY61" s="1042">
        <f>AZ61-SUM(AV61,AW61,AX61)</f>
        <v>842.96849999999995</v>
      </c>
      <c r="AZ61" s="1349">
        <f>AZ62*AZ55</f>
        <v>3158.5565999999999</v>
      </c>
      <c r="BA61" s="1042">
        <f>BA62*BA55</f>
        <v>908.85739999999998</v>
      </c>
      <c r="BB61" s="1042">
        <f>BB62*BB55</f>
        <v>932.08879999999988</v>
      </c>
      <c r="BC61" s="1042">
        <f>BC62*BC55</f>
        <v>974.52</v>
      </c>
      <c r="BD61" s="1042">
        <f>BE61-SUM(BA61,BB61,BC61)</f>
        <v>1021.4080000000004</v>
      </c>
      <c r="BE61" s="1349">
        <f>BE62*BE55</f>
        <v>3836.8742000000002</v>
      </c>
      <c r="BF61" s="1042">
        <f>BF62*BF55</f>
        <v>1048.5282999999999</v>
      </c>
      <c r="BG61" s="1042">
        <f>BG62*BG55</f>
        <v>1124.6254000000001</v>
      </c>
      <c r="BH61" s="1043">
        <f>BH62*BH55</f>
        <v>1259.2820000000002</v>
      </c>
      <c r="BI61" s="1044"/>
      <c r="BJ61" s="1350"/>
      <c r="BK61" s="1044"/>
      <c r="BL61" s="1044"/>
      <c r="BM61" s="1044"/>
      <c r="BN61" s="1044"/>
      <c r="BO61" s="1350"/>
      <c r="BP61" s="1351"/>
      <c r="BQ61" s="1351"/>
      <c r="BR61" s="1350"/>
      <c r="BS61" s="648"/>
    </row>
    <row r="62" spans="1:71" s="676" customFormat="1" ht="15" hidden="1" outlineLevel="2">
      <c r="A62" s="24" t="str">
        <f>A286</f>
        <v>Agency Auto - Underwriting Expense Ratio, %</v>
      </c>
      <c r="B62" s="396"/>
      <c r="C62" s="1352">
        <f t="shared" si="158" ref="C62:J62">C286</f>
        <v>0.21099999999999999</v>
      </c>
      <c r="D62" s="1352">
        <f t="shared" si="158"/>
        <v>0.21299999999999999</v>
      </c>
      <c r="E62" s="1352">
        <f t="shared" si="158"/>
        <v>0.20799999999999999</v>
      </c>
      <c r="F62" s="1352">
        <f t="shared" si="158"/>
        <v>0.20599999999999999</v>
      </c>
      <c r="G62" s="1352">
        <f t="shared" si="158"/>
        <v>0.20200000000000001</v>
      </c>
      <c r="H62" s="197">
        <f t="shared" si="158"/>
        <v>0.19600000000000001</v>
      </c>
      <c r="I62" s="197">
        <f t="shared" si="158"/>
        <v>0.20</v>
      </c>
      <c r="J62" s="197">
        <f t="shared" si="158"/>
        <v>0.19800000000000001</v>
      </c>
      <c r="K62" s="197">
        <f>K61/K55</f>
        <v>0.19419116485891205</v>
      </c>
      <c r="L62" s="1352">
        <f>L286</f>
        <v>0.19700000000000001</v>
      </c>
      <c r="M62" s="197">
        <f>M286</f>
        <v>0.195</v>
      </c>
      <c r="N62" s="197">
        <f>N286</f>
        <v>0.193</v>
      </c>
      <c r="O62" s="197">
        <f>O286</f>
        <v>0.19800000000000001</v>
      </c>
      <c r="P62" s="197">
        <f>P61/P55</f>
        <v>0.19795584212583048</v>
      </c>
      <c r="Q62" s="1352">
        <f>Q286</f>
        <v>0.19600000000000001</v>
      </c>
      <c r="R62" s="197">
        <f>R286</f>
        <v>0.195</v>
      </c>
      <c r="S62" s="197">
        <f>S286</f>
        <v>0.19700000000000001</v>
      </c>
      <c r="T62" s="197">
        <f>T286</f>
        <v>0.19600000000000001</v>
      </c>
      <c r="U62" s="197">
        <f>U61/U55</f>
        <v>0.19981600031419375</v>
      </c>
      <c r="V62" s="1352">
        <f>V286</f>
        <v>0.19700000000000001</v>
      </c>
      <c r="W62" s="197">
        <f>W286</f>
        <v>0.19800000000000001</v>
      </c>
      <c r="X62" s="197">
        <f>X286</f>
        <v>0.195</v>
      </c>
      <c r="Y62" s="197">
        <f>Y286</f>
        <v>0.193</v>
      </c>
      <c r="Z62" s="197">
        <f>Z61/Z55</f>
        <v>0.19425023699891661</v>
      </c>
      <c r="AA62" s="1352">
        <f>AA286</f>
        <v>0.195</v>
      </c>
      <c r="AB62" s="197">
        <f>AB286</f>
        <v>0.191</v>
      </c>
      <c r="AC62" s="197">
        <f>AC286</f>
        <v>0.19400000000000001</v>
      </c>
      <c r="AD62" s="197">
        <f>AD286</f>
        <v>0.193</v>
      </c>
      <c r="AE62" s="197">
        <f>AE61/AE55</f>
        <v>0.19003320134917145</v>
      </c>
      <c r="AF62" s="1352">
        <f>AF286</f>
        <v>0.192</v>
      </c>
      <c r="AG62" s="197">
        <f>AG286</f>
        <v>0.193</v>
      </c>
      <c r="AH62" s="197">
        <f>AH286</f>
        <v>0.192</v>
      </c>
      <c r="AI62" s="197">
        <f>AI286</f>
        <v>0.187</v>
      </c>
      <c r="AJ62" s="197">
        <f>AJ61/AJ55</f>
        <v>0.188348097517643</v>
      </c>
      <c r="AK62" s="1352">
        <f>AK286</f>
        <v>0.19</v>
      </c>
      <c r="AL62" s="197">
        <f>AL286</f>
        <v>0.19600000000000001</v>
      </c>
      <c r="AM62" s="197">
        <f>AM286</f>
        <v>0.32800000000000001</v>
      </c>
      <c r="AN62" s="197">
        <f>AN286</f>
        <v>0.18099999999999999</v>
      </c>
      <c r="AO62" s="197">
        <f>AO61/AO55</f>
        <v>0.18833515667541209</v>
      </c>
      <c r="AP62" s="1352">
        <f>AP286</f>
        <v>0.223</v>
      </c>
      <c r="AQ62" s="197">
        <f>AQ286</f>
        <v>0.188</v>
      </c>
      <c r="AR62" s="197">
        <f>AR286</f>
        <v>0.186</v>
      </c>
      <c r="AS62" s="197">
        <f>AS286</f>
        <v>0.18099999999999999</v>
      </c>
      <c r="AT62" s="197">
        <f>AT61/AT55</f>
        <v>0.18512962790481075</v>
      </c>
      <c r="AU62" s="1352">
        <f>AU286</f>
        <v>0.185</v>
      </c>
      <c r="AV62" s="197">
        <f>AV286</f>
        <v>0.182</v>
      </c>
      <c r="AW62" s="197">
        <f>AW286</f>
        <v>0.16700000000000001</v>
      </c>
      <c r="AX62" s="197">
        <f>AX286</f>
        <v>0.18</v>
      </c>
      <c r="AY62" s="197">
        <f>AY61/AY55</f>
        <v>0.18273758942120086</v>
      </c>
      <c r="AZ62" s="1352">
        <f>AZ286</f>
        <v>0.17799999999999999</v>
      </c>
      <c r="BA62" s="197">
        <f>BA286</f>
        <v>0.187</v>
      </c>
      <c r="BB62" s="197">
        <f>BB286</f>
        <v>0.17899999999999999</v>
      </c>
      <c r="BC62" s="197">
        <f>BC286</f>
        <v>0.18</v>
      </c>
      <c r="BD62" s="197">
        <f>BD61/BD55</f>
        <v>0.17866778617408344</v>
      </c>
      <c r="BE62" s="1352">
        <f>BE286</f>
        <v>0.18099999999999999</v>
      </c>
      <c r="BF62" s="197">
        <f>BF286</f>
        <v>0.17899999999999999</v>
      </c>
      <c r="BG62" s="197">
        <f>BG286</f>
        <v>0.18099999999999999</v>
      </c>
      <c r="BH62" s="815">
        <f>BH286</f>
        <v>0.19</v>
      </c>
      <c r="BI62" s="909"/>
      <c r="BJ62" s="1340"/>
      <c r="BK62" s="909"/>
      <c r="BL62" s="909"/>
      <c r="BM62" s="909"/>
      <c r="BN62" s="909"/>
      <c r="BO62" s="1340"/>
      <c r="BP62" s="1339"/>
      <c r="BQ62" s="1339"/>
      <c r="BR62" s="1340"/>
      <c r="BS62" s="648"/>
    </row>
    <row r="63" spans="1:71" s="669" customFormat="1" ht="7.5" customHeight="1" hidden="1" outlineLevel="2">
      <c r="A63" s="107"/>
      <c r="B63" s="108"/>
      <c r="C63" s="1325"/>
      <c r="D63" s="1325"/>
      <c r="E63" s="1325"/>
      <c r="F63" s="1325"/>
      <c r="G63" s="1325"/>
      <c r="H63" s="726"/>
      <c r="I63" s="726"/>
      <c r="J63" s="726"/>
      <c r="K63" s="726"/>
      <c r="L63" s="1325"/>
      <c r="M63" s="726"/>
      <c r="N63" s="726"/>
      <c r="O63" s="726"/>
      <c r="P63" s="726"/>
      <c r="Q63" s="1325"/>
      <c r="R63" s="726"/>
      <c r="S63" s="726"/>
      <c r="T63" s="726"/>
      <c r="U63" s="726"/>
      <c r="V63" s="1325"/>
      <c r="W63" s="726"/>
      <c r="X63" s="726"/>
      <c r="Y63" s="726"/>
      <c r="Z63" s="726"/>
      <c r="AA63" s="1325"/>
      <c r="AB63" s="726"/>
      <c r="AC63" s="726"/>
      <c r="AD63" s="726"/>
      <c r="AE63" s="726"/>
      <c r="AF63" s="1325"/>
      <c r="AG63" s="726"/>
      <c r="AH63" s="726"/>
      <c r="AI63" s="726"/>
      <c r="AJ63" s="726"/>
      <c r="AK63" s="1325"/>
      <c r="AL63" s="726"/>
      <c r="AM63" s="726"/>
      <c r="AN63" s="726"/>
      <c r="AO63" s="726"/>
      <c r="AP63" s="1325"/>
      <c r="AQ63" s="726"/>
      <c r="AR63" s="726"/>
      <c r="AS63" s="726"/>
      <c r="AT63" s="726"/>
      <c r="AU63" s="1325"/>
      <c r="AV63" s="726"/>
      <c r="AW63" s="726"/>
      <c r="AX63" s="726"/>
      <c r="AY63" s="726"/>
      <c r="AZ63" s="1325"/>
      <c r="BA63" s="726"/>
      <c r="BB63" s="726"/>
      <c r="BC63" s="726"/>
      <c r="BD63" s="726"/>
      <c r="BE63" s="1325"/>
      <c r="BF63" s="726"/>
      <c r="BG63" s="726"/>
      <c r="BH63" s="808"/>
      <c r="BI63" s="98"/>
      <c r="BJ63" s="1326"/>
      <c r="BK63" s="98"/>
      <c r="BL63" s="98"/>
      <c r="BM63" s="98"/>
      <c r="BN63" s="98"/>
      <c r="BO63" s="1326"/>
      <c r="BP63" s="1325"/>
      <c r="BQ63" s="1325"/>
      <c r="BR63" s="1326"/>
      <c r="BS63" s="648"/>
    </row>
    <row r="64" spans="1:71" s="665" customFormat="1" ht="15" hidden="1" outlineLevel="2">
      <c r="A64" s="371" t="str">
        <f>A293</f>
        <v>Agency Auto - Underwriting Income, mm</v>
      </c>
      <c r="B64" s="308"/>
      <c r="C64" s="1349">
        <f t="shared" si="159" ref="C64:AU64">C293</f>
        <v>579.20000000000005</v>
      </c>
      <c r="D64" s="1349">
        <f t="shared" si="159"/>
        <v>601</v>
      </c>
      <c r="E64" s="1349">
        <f t="shared" si="159"/>
        <v>564.90</v>
      </c>
      <c r="F64" s="1349">
        <f t="shared" si="159"/>
        <v>338.90</v>
      </c>
      <c r="G64" s="1349">
        <f t="shared" si="159"/>
        <v>542.90</v>
      </c>
      <c r="H64" s="1042">
        <f t="shared" si="159"/>
        <v>178.60</v>
      </c>
      <c r="I64" s="1042">
        <f t="shared" si="159"/>
        <v>142.90000000000001</v>
      </c>
      <c r="J64" s="1042">
        <f t="shared" si="159"/>
        <v>147</v>
      </c>
      <c r="K64" s="1042">
        <f t="shared" si="159"/>
        <v>214.50</v>
      </c>
      <c r="L64" s="1349">
        <f t="shared" si="159"/>
        <v>683</v>
      </c>
      <c r="M64" s="1042">
        <f t="shared" si="159"/>
        <v>194.50</v>
      </c>
      <c r="N64" s="1042">
        <f t="shared" si="159"/>
        <v>171.90</v>
      </c>
      <c r="O64" s="1042">
        <f t="shared" si="159"/>
        <v>169.40</v>
      </c>
      <c r="P64" s="1042">
        <f t="shared" si="159"/>
        <v>177.40000000000009</v>
      </c>
      <c r="Q64" s="1349">
        <f t="shared" si="159"/>
        <v>713.20</v>
      </c>
      <c r="R64" s="1042">
        <f t="shared" si="159"/>
        <v>171.40</v>
      </c>
      <c r="S64" s="1042">
        <f t="shared" si="159"/>
        <v>84.50</v>
      </c>
      <c r="T64" s="1042">
        <f t="shared" si="159"/>
        <v>98.60</v>
      </c>
      <c r="U64" s="1042">
        <f t="shared" si="159"/>
        <v>138.30000000000001</v>
      </c>
      <c r="V64" s="1349">
        <f t="shared" si="159"/>
        <v>492.80</v>
      </c>
      <c r="W64" s="1042">
        <f t="shared" si="159"/>
        <v>249.70</v>
      </c>
      <c r="X64" s="1042">
        <f t="shared" si="159"/>
        <v>205.50</v>
      </c>
      <c r="Y64" s="1042">
        <f t="shared" si="159"/>
        <v>69.50</v>
      </c>
      <c r="Z64" s="1042">
        <f t="shared" si="159"/>
        <v>314.89999999999998</v>
      </c>
      <c r="AA64" s="1349">
        <f t="shared" si="159"/>
        <v>839.60</v>
      </c>
      <c r="AB64" s="1042">
        <f t="shared" si="159"/>
        <v>409.10</v>
      </c>
      <c r="AC64" s="1042">
        <f t="shared" si="159"/>
        <v>360.90</v>
      </c>
      <c r="AD64" s="1042">
        <f t="shared" si="159"/>
        <v>372.20</v>
      </c>
      <c r="AE64" s="1042">
        <f t="shared" si="159"/>
        <v>293.50</v>
      </c>
      <c r="AF64" s="1349">
        <f t="shared" si="159"/>
        <v>1435.70</v>
      </c>
      <c r="AG64" s="1042">
        <f t="shared" si="159"/>
        <v>453</v>
      </c>
      <c r="AH64" s="1042">
        <f t="shared" si="159"/>
        <v>434.70</v>
      </c>
      <c r="AI64" s="1042">
        <f t="shared" si="159"/>
        <v>380.20</v>
      </c>
      <c r="AJ64" s="1042">
        <f t="shared" si="159"/>
        <v>405.29999999999995</v>
      </c>
      <c r="AK64" s="1349">
        <f t="shared" si="159"/>
        <v>1673.20</v>
      </c>
      <c r="AL64" s="1042">
        <f t="shared" si="159"/>
        <v>601.60</v>
      </c>
      <c r="AM64" s="1042">
        <f t="shared" si="159"/>
        <v>550.60</v>
      </c>
      <c r="AN64" s="1042">
        <f t="shared" si="159"/>
        <v>596.50</v>
      </c>
      <c r="AO64" s="1042">
        <f t="shared" si="159"/>
        <v>487.79999999999995</v>
      </c>
      <c r="AP64" s="1349">
        <f t="shared" si="159"/>
        <v>2236.50</v>
      </c>
      <c r="AQ64" s="1042">
        <f t="shared" si="159"/>
        <v>547.50</v>
      </c>
      <c r="AR64" s="1042">
        <f t="shared" si="159"/>
        <v>207.50</v>
      </c>
      <c r="AS64" s="1042">
        <f t="shared" si="159"/>
        <v>41</v>
      </c>
      <c r="AT64" s="1042">
        <f t="shared" si="159"/>
        <v>196.10000000000002</v>
      </c>
      <c r="AU64" s="1349">
        <f t="shared" si="159"/>
        <v>992.10</v>
      </c>
      <c r="AV64" s="1042">
        <f t="shared" si="160" ref="AV64:BA64">AV293</f>
        <v>288.60000000000002</v>
      </c>
      <c r="AW64" s="1042">
        <f t="shared" si="160"/>
        <v>260.30</v>
      </c>
      <c r="AX64" s="1042">
        <f t="shared" si="160"/>
        <v>-41.30</v>
      </c>
      <c r="AY64" s="1042">
        <f t="shared" si="160"/>
        <v>226.49999999999994</v>
      </c>
      <c r="AZ64" s="1349">
        <f t="shared" si="160"/>
        <v>734.10</v>
      </c>
      <c r="BA64" s="1042">
        <f t="shared" si="160"/>
        <v>160.38659999999959</v>
      </c>
      <c r="BB64" s="1042">
        <f t="shared" si="161" ref="BB64:BG64">BB293</f>
        <v>-71.20</v>
      </c>
      <c r="BC64" s="1042">
        <f t="shared" si="161"/>
        <v>335.70</v>
      </c>
      <c r="BD64" s="1042">
        <f t="shared" si="161"/>
        <v>604.31340000000046</v>
      </c>
      <c r="BE64" s="1349">
        <f t="shared" si="161"/>
        <v>1029.20</v>
      </c>
      <c r="BF64" s="1042">
        <f t="shared" si="161"/>
        <v>948.94739999999956</v>
      </c>
      <c r="BG64" s="1042">
        <f t="shared" si="161"/>
        <v>788.50</v>
      </c>
      <c r="BH64" s="1043">
        <f>BH293</f>
        <v>870.10</v>
      </c>
      <c r="BI64" s="1044"/>
      <c r="BJ64" s="1350"/>
      <c r="BK64" s="1044"/>
      <c r="BL64" s="1044"/>
      <c r="BM64" s="1044"/>
      <c r="BN64" s="1044"/>
      <c r="BO64" s="1350"/>
      <c r="BP64" s="1351"/>
      <c r="BQ64" s="1351"/>
      <c r="BR64" s="1350"/>
      <c r="BS64" s="648"/>
    </row>
    <row r="65" spans="1:71" s="676" customFormat="1" ht="15" hidden="1" outlineLevel="2">
      <c r="A65" s="24" t="s">
        <v>603</v>
      </c>
      <c r="B65" s="396"/>
      <c r="C65" s="1352">
        <f t="shared" si="162" ref="C65:AT65">C62+C59</f>
        <v>0.92199999999999993</v>
      </c>
      <c r="D65" s="1352">
        <f t="shared" si="162"/>
        <v>0.91899999999999993</v>
      </c>
      <c r="E65" s="1352">
        <f t="shared" si="162"/>
        <v>0.92599999999999993</v>
      </c>
      <c r="F65" s="1352">
        <f t="shared" si="162"/>
        <v>0.95799999999999996</v>
      </c>
      <c r="G65" s="1352">
        <f t="shared" si="162"/>
        <v>0.93700000000000006</v>
      </c>
      <c r="H65" s="197">
        <f t="shared" si="162"/>
        <v>0.91900000000000004</v>
      </c>
      <c r="I65" s="197">
        <f t="shared" si="162"/>
        <v>0.93599999999999994</v>
      </c>
      <c r="J65" s="197">
        <f t="shared" si="162"/>
        <v>0.93399999999999994</v>
      </c>
      <c r="K65" s="197">
        <f t="shared" si="162"/>
        <v>0.91188322320575155</v>
      </c>
      <c r="L65" s="1352">
        <f t="shared" si="162"/>
        <v>0.925</v>
      </c>
      <c r="M65" s="197">
        <f t="shared" si="162"/>
        <v>0.91300000000000003</v>
      </c>
      <c r="N65" s="197">
        <f t="shared" si="162"/>
        <v>0.92399999999999993</v>
      </c>
      <c r="O65" s="197">
        <f t="shared" si="162"/>
        <v>0.92599999999999993</v>
      </c>
      <c r="P65" s="197">
        <f t="shared" si="162"/>
        <v>0.92482632104554741</v>
      </c>
      <c r="Q65" s="1352">
        <f t="shared" si="162"/>
        <v>0.92199999999999993</v>
      </c>
      <c r="R65" s="197">
        <f t="shared" si="162"/>
        <v>0.92700000000000005</v>
      </c>
      <c r="S65" s="197">
        <f t="shared" si="162"/>
        <v>0.96500000000000008</v>
      </c>
      <c r="T65" s="197">
        <f t="shared" si="162"/>
        <v>0.96</v>
      </c>
      <c r="U65" s="197">
        <f t="shared" si="162"/>
        <v>0.94721514413636043</v>
      </c>
      <c r="V65" s="1352">
        <f t="shared" si="162"/>
        <v>0.95</v>
      </c>
      <c r="W65" s="197">
        <f t="shared" si="162"/>
        <v>0.905</v>
      </c>
      <c r="X65" s="197">
        <f t="shared" si="162"/>
        <v>0.925</v>
      </c>
      <c r="Y65" s="197">
        <f t="shared" si="162"/>
        <v>0.97599999999999998</v>
      </c>
      <c r="Z65" s="197">
        <f t="shared" si="162"/>
        <v>0.89378047128927396</v>
      </c>
      <c r="AA65" s="1352">
        <f t="shared" si="162"/>
        <v>0.925</v>
      </c>
      <c r="AB65" s="197">
        <f t="shared" si="162"/>
        <v>0.8660000000000001</v>
      </c>
      <c r="AC65" s="197">
        <f t="shared" si="162"/>
        <v>0.8879999999999999</v>
      </c>
      <c r="AD65" s="197">
        <f t="shared" si="162"/>
        <v>0.8879999999999999</v>
      </c>
      <c r="AE65" s="197">
        <f t="shared" si="162"/>
        <v>0.91540519137703491</v>
      </c>
      <c r="AF65" s="1352">
        <f t="shared" si="162"/>
        <v>0.8899999999999999</v>
      </c>
      <c r="AG65" s="197">
        <f t="shared" si="162"/>
        <v>0.871</v>
      </c>
      <c r="AH65" s="197">
        <f t="shared" si="162"/>
        <v>0.88100000000000001</v>
      </c>
      <c r="AI65" s="197">
        <f t="shared" si="162"/>
        <v>0.89700000000000002</v>
      </c>
      <c r="AJ65" s="197">
        <f t="shared" si="162"/>
        <v>0.90077972166016873</v>
      </c>
      <c r="AK65" s="1352">
        <f t="shared" si="162"/>
        <v>0.8879999999999999</v>
      </c>
      <c r="AL65" s="197">
        <f t="shared" si="162"/>
        <v>0.84299999999999997</v>
      </c>
      <c r="AM65" s="197">
        <f t="shared" si="162"/>
        <v>0.8600000000000001</v>
      </c>
      <c r="AN65" s="197">
        <f t="shared" si="162"/>
        <v>0.85099999999999998</v>
      </c>
      <c r="AO65" s="197">
        <f t="shared" si="162"/>
        <v>0.87720788574823028</v>
      </c>
      <c r="AP65" s="1352">
        <f t="shared" si="162"/>
        <v>0.85799999999999998</v>
      </c>
      <c r="AQ65" s="197">
        <f t="shared" si="162"/>
        <v>0.8660000000000001</v>
      </c>
      <c r="AR65" s="197">
        <f t="shared" si="162"/>
        <v>0.95100000000000007</v>
      </c>
      <c r="AS65" s="197">
        <f t="shared" si="162"/>
        <v>0.99</v>
      </c>
      <c r="AT65" s="197">
        <f t="shared" si="162"/>
        <v>0.95404775764914107</v>
      </c>
      <c r="AU65" s="1352">
        <f t="shared" si="163" ref="AU65:AZ65">AU62+AU59</f>
        <v>0.94100000000000006</v>
      </c>
      <c r="AV65" s="197">
        <f t="shared" si="163"/>
        <v>0.93300000000000005</v>
      </c>
      <c r="AW65" s="197">
        <f t="shared" si="163"/>
        <v>0.94</v>
      </c>
      <c r="AX65" s="197">
        <f t="shared" si="163"/>
        <v>1.0089999999999999</v>
      </c>
      <c r="AY65" s="197">
        <f t="shared" si="163"/>
        <v>0.95320643832646912</v>
      </c>
      <c r="AZ65" s="1352">
        <f t="shared" si="163"/>
        <v>0.95900000000000007</v>
      </c>
      <c r="BA65" s="197">
        <f t="shared" si="164" ref="BA65:BF65">BA62+BA59</f>
        <v>0.96700000000000008</v>
      </c>
      <c r="BB65" s="197">
        <f t="shared" si="164"/>
        <v>1.014</v>
      </c>
      <c r="BC65" s="197">
        <f t="shared" si="164"/>
        <v>0.93799999999999994</v>
      </c>
      <c r="BD65" s="197">
        <f t="shared" si="164"/>
        <v>0.8923247271200675</v>
      </c>
      <c r="BE65" s="1352">
        <f t="shared" si="164"/>
        <v>0.95100000000000007</v>
      </c>
      <c r="BF65" s="197">
        <f t="shared" si="164"/>
        <v>0.83800000000000008</v>
      </c>
      <c r="BG65" s="197">
        <f>BG62+BG59</f>
        <v>0.873</v>
      </c>
      <c r="BH65" s="815">
        <f>BH62+BH59</f>
        <v>0.86899999999999999</v>
      </c>
      <c r="BI65" s="909"/>
      <c r="BJ65" s="1340"/>
      <c r="BK65" s="909"/>
      <c r="BL65" s="909"/>
      <c r="BM65" s="909"/>
      <c r="BN65" s="909"/>
      <c r="BO65" s="1340"/>
      <c r="BP65" s="1339"/>
      <c r="BQ65" s="1339"/>
      <c r="BR65" s="1340"/>
      <c r="BS65" s="648"/>
    </row>
    <row r="66" spans="1:71" s="669" customFormat="1" ht="7.5" customHeight="1" hidden="1" outlineLevel="2">
      <c r="A66" s="107"/>
      <c r="B66" s="108"/>
      <c r="C66" s="1325"/>
      <c r="D66" s="1325"/>
      <c r="E66" s="1325"/>
      <c r="F66" s="1325"/>
      <c r="G66" s="1325"/>
      <c r="H66" s="726"/>
      <c r="I66" s="726"/>
      <c r="J66" s="726"/>
      <c r="K66" s="726"/>
      <c r="L66" s="1325"/>
      <c r="M66" s="726"/>
      <c r="N66" s="726"/>
      <c r="O66" s="726"/>
      <c r="P66" s="726"/>
      <c r="Q66" s="1325"/>
      <c r="R66" s="726"/>
      <c r="S66" s="726"/>
      <c r="T66" s="726"/>
      <c r="U66" s="726"/>
      <c r="V66" s="1325"/>
      <c r="W66" s="726"/>
      <c r="X66" s="726"/>
      <c r="Y66" s="726"/>
      <c r="Z66" s="726"/>
      <c r="AA66" s="1325"/>
      <c r="AB66" s="726"/>
      <c r="AC66" s="726"/>
      <c r="AD66" s="726"/>
      <c r="AE66" s="726"/>
      <c r="AF66" s="1325"/>
      <c r="AG66" s="726"/>
      <c r="AH66" s="726"/>
      <c r="AI66" s="726"/>
      <c r="AJ66" s="726"/>
      <c r="AK66" s="1325"/>
      <c r="AL66" s="726"/>
      <c r="AM66" s="726"/>
      <c r="AN66" s="726"/>
      <c r="AO66" s="726"/>
      <c r="AP66" s="1325"/>
      <c r="AQ66" s="726"/>
      <c r="AR66" s="726"/>
      <c r="AS66" s="726"/>
      <c r="AT66" s="726"/>
      <c r="AU66" s="1325"/>
      <c r="AV66" s="726"/>
      <c r="AW66" s="726"/>
      <c r="AX66" s="726"/>
      <c r="AY66" s="726"/>
      <c r="AZ66" s="1325"/>
      <c r="BA66" s="726"/>
      <c r="BB66" s="726"/>
      <c r="BC66" s="726"/>
      <c r="BD66" s="726"/>
      <c r="BE66" s="1325"/>
      <c r="BF66" s="726"/>
      <c r="BG66" s="726"/>
      <c r="BH66" s="808"/>
      <c r="BI66" s="98"/>
      <c r="BJ66" s="1326"/>
      <c r="BK66" s="98"/>
      <c r="BL66" s="98"/>
      <c r="BM66" s="98"/>
      <c r="BN66" s="98"/>
      <c r="BO66" s="1326"/>
      <c r="BP66" s="1325"/>
      <c r="BQ66" s="1325"/>
      <c r="BR66" s="1326"/>
      <c r="BS66" s="648"/>
    </row>
    <row r="67" spans="1:71" s="671" customFormat="1" ht="15" hidden="1" outlineLevel="2">
      <c r="A67" s="23" t="s">
        <v>604</v>
      </c>
      <c r="B67" s="414"/>
      <c r="C67" s="1330">
        <f t="shared" si="165" ref="C67:AU67">1-C65</f>
        <v>0.078000000000000069</v>
      </c>
      <c r="D67" s="1330">
        <f t="shared" si="165"/>
        <v>0.081000000000000072</v>
      </c>
      <c r="E67" s="1330">
        <f t="shared" si="165"/>
        <v>0.074000000000000066</v>
      </c>
      <c r="F67" s="1330">
        <f t="shared" si="165"/>
        <v>0.042000000000000037</v>
      </c>
      <c r="G67" s="1330">
        <f t="shared" si="165"/>
        <v>0.062999999999999945</v>
      </c>
      <c r="H67" s="199">
        <f t="shared" si="165"/>
        <v>0.080999999999999961</v>
      </c>
      <c r="I67" s="199">
        <f t="shared" si="165"/>
        <v>0.064000000000000057</v>
      </c>
      <c r="J67" s="199">
        <f t="shared" si="165"/>
        <v>0.066000000000000059</v>
      </c>
      <c r="K67" s="199">
        <f t="shared" si="165"/>
        <v>0.088116776794248453</v>
      </c>
      <c r="L67" s="1330">
        <f t="shared" si="165"/>
        <v>0.074999999999999956</v>
      </c>
      <c r="M67" s="199">
        <f t="shared" si="165"/>
        <v>0.086999999999999966</v>
      </c>
      <c r="N67" s="199">
        <f t="shared" si="165"/>
        <v>0.076000000000000068</v>
      </c>
      <c r="O67" s="199">
        <f t="shared" si="165"/>
        <v>0.074000000000000066</v>
      </c>
      <c r="P67" s="199">
        <f t="shared" si="165"/>
        <v>0.075173678954452594</v>
      </c>
      <c r="Q67" s="1330">
        <f t="shared" si="165"/>
        <v>0.078000000000000069</v>
      </c>
      <c r="R67" s="199">
        <f t="shared" si="165"/>
        <v>0.072999999999999954</v>
      </c>
      <c r="S67" s="199">
        <f t="shared" si="165"/>
        <v>0.03499999999999992</v>
      </c>
      <c r="T67" s="199">
        <f t="shared" si="165"/>
        <v>0.040000000000000036</v>
      </c>
      <c r="U67" s="199">
        <f t="shared" si="165"/>
        <v>0.052784855863639568</v>
      </c>
      <c r="V67" s="1330">
        <f t="shared" si="165"/>
        <v>0.050000000000000044</v>
      </c>
      <c r="W67" s="199">
        <f t="shared" si="165"/>
        <v>0.094999999999999973</v>
      </c>
      <c r="X67" s="199">
        <f t="shared" si="165"/>
        <v>0.074999999999999956</v>
      </c>
      <c r="Y67" s="199">
        <f t="shared" si="165"/>
        <v>0.024000000000000021</v>
      </c>
      <c r="Z67" s="199">
        <f t="shared" si="165"/>
        <v>0.10621952871072604</v>
      </c>
      <c r="AA67" s="1330">
        <f t="shared" si="165"/>
        <v>0.074999999999999956</v>
      </c>
      <c r="AB67" s="199">
        <f t="shared" si="165"/>
        <v>0.1339999999999999</v>
      </c>
      <c r="AC67" s="199">
        <f t="shared" si="165"/>
        <v>0.1120000000000001</v>
      </c>
      <c r="AD67" s="199">
        <f t="shared" si="165"/>
        <v>0.1120000000000001</v>
      </c>
      <c r="AE67" s="199">
        <f t="shared" si="165"/>
        <v>0.08459480862296509</v>
      </c>
      <c r="AF67" s="1330">
        <f t="shared" si="165"/>
        <v>0.1100000000000001</v>
      </c>
      <c r="AG67" s="199">
        <f t="shared" si="165"/>
        <v>0.129</v>
      </c>
      <c r="AH67" s="199">
        <f t="shared" si="165"/>
        <v>0.11899999999999999</v>
      </c>
      <c r="AI67" s="199">
        <f t="shared" si="165"/>
        <v>0.10299999999999998</v>
      </c>
      <c r="AJ67" s="199">
        <f t="shared" si="165"/>
        <v>0.099220278339831269</v>
      </c>
      <c r="AK67" s="1330">
        <f t="shared" si="165"/>
        <v>0.1120000000000001</v>
      </c>
      <c r="AL67" s="199">
        <f t="shared" si="165"/>
        <v>0.15700000000000003</v>
      </c>
      <c r="AM67" s="199">
        <f t="shared" si="165"/>
        <v>0.1399999999999999</v>
      </c>
      <c r="AN67" s="199">
        <f t="shared" si="165"/>
        <v>0.14900000000000002</v>
      </c>
      <c r="AO67" s="199">
        <f t="shared" si="165"/>
        <v>0.12279211425176972</v>
      </c>
      <c r="AP67" s="1330">
        <f t="shared" si="165"/>
        <v>0.14200000000000002</v>
      </c>
      <c r="AQ67" s="199">
        <f t="shared" si="165"/>
        <v>0.1339999999999999</v>
      </c>
      <c r="AR67" s="199">
        <f t="shared" si="165"/>
        <v>0.048999999999999932</v>
      </c>
      <c r="AS67" s="199">
        <f t="shared" si="165"/>
        <v>0.010000000000000009</v>
      </c>
      <c r="AT67" s="199">
        <f t="shared" si="165"/>
        <v>0.045952242350858929</v>
      </c>
      <c r="AU67" s="1330">
        <f t="shared" si="165"/>
        <v>0.058999999999999941</v>
      </c>
      <c r="AV67" s="199">
        <f t="shared" si="166" ref="AV67:BA67">1-AV65</f>
        <v>0.066999999999999948</v>
      </c>
      <c r="AW67" s="199">
        <f t="shared" si="166"/>
        <v>0.059999999999999942</v>
      </c>
      <c r="AX67" s="199">
        <f t="shared" si="166"/>
        <v>-0.008999999999999897</v>
      </c>
      <c r="AY67" s="199">
        <f t="shared" si="166"/>
        <v>0.046793561673530881</v>
      </c>
      <c r="AZ67" s="1330">
        <f t="shared" si="166"/>
        <v>0.040999999999999925</v>
      </c>
      <c r="BA67" s="199">
        <f t="shared" si="166"/>
        <v>0.032999999999999918</v>
      </c>
      <c r="BB67" s="199">
        <f t="shared" si="167" ref="BB67:BG67">1-BB65</f>
        <v>-0.014000000000000012</v>
      </c>
      <c r="BC67" s="199">
        <f t="shared" si="167"/>
        <v>0.062000000000000055</v>
      </c>
      <c r="BD67" s="199">
        <f t="shared" si="167"/>
        <v>0.1076752728799325</v>
      </c>
      <c r="BE67" s="1330">
        <f t="shared" si="167"/>
        <v>0.048999999999999932</v>
      </c>
      <c r="BF67" s="199">
        <f t="shared" si="167"/>
        <v>0.16199999999999992</v>
      </c>
      <c r="BG67" s="199">
        <f t="shared" si="167"/>
        <v>0.127</v>
      </c>
      <c r="BH67" s="810">
        <f>1-BH65</f>
        <v>0.13100000000000001</v>
      </c>
      <c r="BI67" s="931"/>
      <c r="BJ67" s="1353"/>
      <c r="BK67" s="931"/>
      <c r="BL67" s="931"/>
      <c r="BM67" s="931"/>
      <c r="BN67" s="931"/>
      <c r="BO67" s="1353"/>
      <c r="BP67" s="1331"/>
      <c r="BQ67" s="1331"/>
      <c r="BR67" s="1353"/>
      <c r="BS67" s="648"/>
    </row>
    <row r="68" spans="1:71" s="665" customFormat="1" ht="15" hidden="1" outlineLevel="2">
      <c r="A68" s="999"/>
      <c r="B68" s="308"/>
      <c r="C68" s="1351"/>
      <c r="D68" s="1351"/>
      <c r="E68" s="1351"/>
      <c r="F68" s="1351"/>
      <c r="G68" s="1351"/>
      <c r="H68" s="1047"/>
      <c r="I68" s="1047"/>
      <c r="J68" s="1047"/>
      <c r="K68" s="1047"/>
      <c r="L68" s="1351"/>
      <c r="M68" s="1047"/>
      <c r="N68" s="1047"/>
      <c r="O68" s="1047"/>
      <c r="P68" s="1047"/>
      <c r="Q68" s="1351"/>
      <c r="R68" s="1047"/>
      <c r="S68" s="1047"/>
      <c r="T68" s="1047"/>
      <c r="U68" s="1047"/>
      <c r="V68" s="1351"/>
      <c r="W68" s="1047"/>
      <c r="X68" s="1047"/>
      <c r="Y68" s="1047"/>
      <c r="Z68" s="1047"/>
      <c r="AA68" s="1351"/>
      <c r="AB68" s="1047"/>
      <c r="AC68" s="1047"/>
      <c r="AD68" s="1047"/>
      <c r="AE68" s="1047"/>
      <c r="AF68" s="1351"/>
      <c r="AG68" s="1047"/>
      <c r="AH68" s="1047"/>
      <c r="AI68" s="1047"/>
      <c r="AJ68" s="1047"/>
      <c r="AK68" s="1351"/>
      <c r="AL68" s="1047"/>
      <c r="AM68" s="1047"/>
      <c r="AN68" s="1047"/>
      <c r="AO68" s="1047"/>
      <c r="AP68" s="1351"/>
      <c r="AQ68" s="1047"/>
      <c r="AR68" s="1047"/>
      <c r="AS68" s="1047"/>
      <c r="AT68" s="1047"/>
      <c r="AU68" s="1351"/>
      <c r="AV68" s="1047"/>
      <c r="AW68" s="1047"/>
      <c r="AX68" s="1047"/>
      <c r="AY68" s="1047"/>
      <c r="AZ68" s="1351"/>
      <c r="BA68" s="1047"/>
      <c r="BB68" s="1047"/>
      <c r="BC68" s="1047"/>
      <c r="BD68" s="1047"/>
      <c r="BE68" s="1351"/>
      <c r="BF68" s="1047"/>
      <c r="BG68" s="1047"/>
      <c r="BH68" s="1048"/>
      <c r="BI68" s="1044"/>
      <c r="BJ68" s="1350"/>
      <c r="BK68" s="1044"/>
      <c r="BL68" s="1044"/>
      <c r="BM68" s="1044"/>
      <c r="BN68" s="1044"/>
      <c r="BO68" s="1350"/>
      <c r="BP68" s="1351"/>
      <c r="BQ68" s="1351"/>
      <c r="BR68" s="1350"/>
      <c r="BS68" s="648"/>
    </row>
    <row r="69" spans="1:71" s="668" customFormat="1" ht="15" hidden="1" outlineLevel="2">
      <c r="A69" s="904" t="s">
        <v>494</v>
      </c>
      <c r="B69" s="394"/>
      <c r="C69" s="1322"/>
      <c r="D69" s="1322">
        <f t="shared" si="168" ref="D69:K69">C71</f>
        <v>3201.10</v>
      </c>
      <c r="E69" s="1322">
        <f t="shared" si="168"/>
        <v>3610.40</v>
      </c>
      <c r="F69" s="1322">
        <f t="shared" si="168"/>
        <v>3844.50</v>
      </c>
      <c r="G69" s="1322">
        <f t="shared" si="168"/>
        <v>4000.10</v>
      </c>
      <c r="H69" s="1031">
        <f t="shared" si="168"/>
        <v>4224.20</v>
      </c>
      <c r="I69" s="1031">
        <f t="shared" si="168"/>
        <v>4384.1000000000004</v>
      </c>
      <c r="J69" s="1031">
        <f t="shared" si="168"/>
        <v>4423.8999999999996</v>
      </c>
      <c r="K69" s="1031">
        <f t="shared" si="168"/>
        <v>4453.3999999999996</v>
      </c>
      <c r="L69" s="1322">
        <f>G71</f>
        <v>4224.20</v>
      </c>
      <c r="M69" s="1031">
        <f>K71</f>
        <v>4505.50</v>
      </c>
      <c r="N69" s="1031">
        <f>M71</f>
        <v>4679.80</v>
      </c>
      <c r="O69" s="1031">
        <f>N71</f>
        <v>4744.80</v>
      </c>
      <c r="P69" s="1031">
        <f>O71</f>
        <v>4830.80</v>
      </c>
      <c r="Q69" s="1322">
        <f>L71</f>
        <v>4505.50</v>
      </c>
      <c r="R69" s="1031">
        <f>P71</f>
        <v>4916.20</v>
      </c>
      <c r="S69" s="1031">
        <f>R71</f>
        <v>5175.3999999999996</v>
      </c>
      <c r="T69" s="1031">
        <f>S71</f>
        <v>5284.40</v>
      </c>
      <c r="U69" s="1031">
        <f>T71</f>
        <v>5324</v>
      </c>
      <c r="V69" s="1322">
        <f>Q71</f>
        <v>4916.20</v>
      </c>
      <c r="W69" s="1031">
        <f>U71</f>
        <v>5348.30</v>
      </c>
      <c r="X69" s="1031">
        <f>W71</f>
        <v>5570.70</v>
      </c>
      <c r="Y69" s="1031">
        <f>X71</f>
        <v>5692.60</v>
      </c>
      <c r="Z69" s="1031">
        <f>Y71</f>
        <v>5889.60</v>
      </c>
      <c r="AA69" s="1322">
        <f>V71</f>
        <v>5348.30</v>
      </c>
      <c r="AB69" s="1031">
        <f>Z71</f>
        <v>6039.10</v>
      </c>
      <c r="AC69" s="1031">
        <f>AB71</f>
        <v>6385.60</v>
      </c>
      <c r="AD69" s="1031">
        <f>AC71</f>
        <v>6650.90</v>
      </c>
      <c r="AE69" s="1031">
        <f>AD71</f>
        <v>6875.80</v>
      </c>
      <c r="AF69" s="1322">
        <f>AA71</f>
        <v>6039.10</v>
      </c>
      <c r="AG69" s="1031">
        <f>AE71</f>
        <v>7018.50</v>
      </c>
      <c r="AH69" s="1031">
        <f>AG71</f>
        <v>7335.30</v>
      </c>
      <c r="AI69" s="1031">
        <f>AH71</f>
        <v>7528.40</v>
      </c>
      <c r="AJ69" s="1031">
        <f>AI71</f>
        <v>7716</v>
      </c>
      <c r="AK69" s="1322">
        <f>AF71</f>
        <v>7018.50</v>
      </c>
      <c r="AL69" s="1031">
        <f>AJ71</f>
        <v>7866.50</v>
      </c>
      <c r="AM69" s="1031">
        <f>AL71</f>
        <v>8126.30</v>
      </c>
      <c r="AN69" s="1031">
        <f>AM71</f>
        <v>8507.60</v>
      </c>
      <c r="AO69" s="1031">
        <f>AN71</f>
        <v>8774.2999999999993</v>
      </c>
      <c r="AP69" s="1322">
        <f>AK71</f>
        <v>7866.50</v>
      </c>
      <c r="AQ69" s="1031">
        <f>AO71</f>
        <v>8881.40</v>
      </c>
      <c r="AR69" s="1031">
        <f>AQ71</f>
        <v>9338.7999999999993</v>
      </c>
      <c r="AS69" s="1031">
        <f>AR71</f>
        <v>9581.2999999999993</v>
      </c>
      <c r="AT69" s="1031">
        <f>AS71</f>
        <v>9613.10</v>
      </c>
      <c r="AU69" s="1322">
        <f>AP71</f>
        <v>8881.40</v>
      </c>
      <c r="AV69" s="1031">
        <f>AT71</f>
        <v>9568.2000000000007</v>
      </c>
      <c r="AW69" s="1031">
        <f>AV71</f>
        <v>9541.2999999999993</v>
      </c>
      <c r="AX69" s="1031">
        <f>AW71</f>
        <v>9557</v>
      </c>
      <c r="AY69" s="1031">
        <f>AX71</f>
        <v>9823.7999999999993</v>
      </c>
      <c r="AZ69" s="1322">
        <f>AU71</f>
        <v>9568.2000000000007</v>
      </c>
      <c r="BA69" s="1031">
        <f>AY71</f>
        <v>10131</v>
      </c>
      <c r="BB69" s="1031">
        <f>BA71</f>
        <v>10995.50</v>
      </c>
      <c r="BC69" s="1031">
        <f>BB71</f>
        <v>11220.50</v>
      </c>
      <c r="BD69" s="1031">
        <f>BC71</f>
        <v>11154.299999999999</v>
      </c>
      <c r="BE69" s="1322">
        <f>AZ71</f>
        <v>10131</v>
      </c>
      <c r="BF69" s="1031">
        <f>BD71</f>
        <v>11190.40</v>
      </c>
      <c r="BG69" s="1031">
        <f>BF71</f>
        <v>11855.40</v>
      </c>
      <c r="BH69" s="1049">
        <f>BG71</f>
        <v>12576.80</v>
      </c>
      <c r="BI69" s="1023">
        <f>BH71</f>
        <v>13387.90</v>
      </c>
      <c r="BJ69" s="1321">
        <f>BE71</f>
        <v>11190.40</v>
      </c>
      <c r="BK69" s="1023">
        <f>BI71</f>
        <v>13655.657999999999</v>
      </c>
      <c r="BL69" s="1023">
        <f>BK71</f>
        <v>13928.77116</v>
      </c>
      <c r="BM69" s="1023">
        <f>BL71</f>
        <v>14207.3465832</v>
      </c>
      <c r="BN69" s="1023">
        <f>BM71</f>
        <v>14491.493514864</v>
      </c>
      <c r="BO69" s="1321">
        <f>BJ71</f>
        <v>13655.657999999999</v>
      </c>
      <c r="BP69" s="1322">
        <f>BO71</f>
        <v>14781.32338516128</v>
      </c>
      <c r="BQ69" s="1322">
        <f>BP71</f>
        <v>15076.949852864505</v>
      </c>
      <c r="BR69" s="1321">
        <f>BQ71</f>
        <v>15378.488849921796</v>
      </c>
      <c r="BS69" s="648"/>
    </row>
    <row r="70" spans="1:71" s="665" customFormat="1" ht="15" hidden="1" outlineLevel="2">
      <c r="A70" s="1000" t="s">
        <v>592</v>
      </c>
      <c r="B70" s="260"/>
      <c r="C70" s="1324"/>
      <c r="D70" s="1324">
        <f t="shared" si="169" ref="D70:AI70">D71-D69</f>
        <v>409.30000000000018</v>
      </c>
      <c r="E70" s="1324">
        <f t="shared" si="169"/>
        <v>234.09999999999991</v>
      </c>
      <c r="F70" s="1324">
        <f t="shared" si="169"/>
        <v>155.59999999999991</v>
      </c>
      <c r="G70" s="1324">
        <f t="shared" si="169"/>
        <v>224.09999999999991</v>
      </c>
      <c r="H70" s="1029">
        <f t="shared" si="169"/>
        <v>159.90000000000055</v>
      </c>
      <c r="I70" s="1029">
        <f t="shared" si="169"/>
        <v>39.799999999999272</v>
      </c>
      <c r="J70" s="1029">
        <f t="shared" si="169"/>
        <v>29.50</v>
      </c>
      <c r="K70" s="1029">
        <f t="shared" si="169"/>
        <v>52.100000000000364</v>
      </c>
      <c r="L70" s="1324">
        <f t="shared" si="169"/>
        <v>281.30000000000018</v>
      </c>
      <c r="M70" s="1029">
        <f t="shared" si="169"/>
        <v>174.30000000000018</v>
      </c>
      <c r="N70" s="1029">
        <f t="shared" si="169"/>
        <v>65</v>
      </c>
      <c r="O70" s="1029">
        <f t="shared" si="169"/>
        <v>86</v>
      </c>
      <c r="P70" s="1029">
        <f t="shared" si="169"/>
        <v>85.399999999999636</v>
      </c>
      <c r="Q70" s="1324">
        <f t="shared" si="169"/>
        <v>410.69999999999982</v>
      </c>
      <c r="R70" s="1029">
        <f t="shared" si="169"/>
        <v>259.19999999999982</v>
      </c>
      <c r="S70" s="1029">
        <f t="shared" si="169"/>
        <v>109</v>
      </c>
      <c r="T70" s="1029">
        <f t="shared" si="169"/>
        <v>39.600000000000364</v>
      </c>
      <c r="U70" s="1029">
        <f t="shared" si="169"/>
        <v>24.300000000000182</v>
      </c>
      <c r="V70" s="1324">
        <f t="shared" si="169"/>
        <v>432.10000000000036</v>
      </c>
      <c r="W70" s="1029">
        <f t="shared" si="169"/>
        <v>222.39999999999964</v>
      </c>
      <c r="X70" s="1029">
        <f t="shared" si="169"/>
        <v>121.90000000000055</v>
      </c>
      <c r="Y70" s="1029">
        <f t="shared" si="169"/>
        <v>197</v>
      </c>
      <c r="Z70" s="1029">
        <f t="shared" si="169"/>
        <v>149.50</v>
      </c>
      <c r="AA70" s="1324">
        <f t="shared" si="169"/>
        <v>690.80000000000018</v>
      </c>
      <c r="AB70" s="1029">
        <f t="shared" si="169"/>
        <v>346.50</v>
      </c>
      <c r="AC70" s="1029">
        <f t="shared" si="169"/>
        <v>265.29999999999927</v>
      </c>
      <c r="AD70" s="1029">
        <f t="shared" si="169"/>
        <v>224.90000000000055</v>
      </c>
      <c r="AE70" s="1029">
        <f t="shared" si="169"/>
        <v>142.69999999999982</v>
      </c>
      <c r="AF70" s="1324">
        <f t="shared" si="169"/>
        <v>979.39999999999964</v>
      </c>
      <c r="AG70" s="1029">
        <f t="shared" si="169"/>
        <v>316.80000000000018</v>
      </c>
      <c r="AH70" s="1029">
        <f t="shared" si="169"/>
        <v>193.09999999999945</v>
      </c>
      <c r="AI70" s="1029">
        <f t="shared" si="169"/>
        <v>187.60000000000036</v>
      </c>
      <c r="AJ70" s="1029">
        <f t="shared" si="170" ref="AJ70:AU70">AJ71-AJ69</f>
        <v>150.50</v>
      </c>
      <c r="AK70" s="1324">
        <f t="shared" si="170"/>
        <v>848</v>
      </c>
      <c r="AL70" s="1029">
        <f t="shared" si="170"/>
        <v>259.80000000000018</v>
      </c>
      <c r="AM70" s="1029">
        <f t="shared" si="170"/>
        <v>381.30000000000018</v>
      </c>
      <c r="AN70" s="1029">
        <f t="shared" si="170"/>
        <v>266.69999999999891</v>
      </c>
      <c r="AO70" s="1029">
        <f t="shared" si="170"/>
        <v>107.10000000000036</v>
      </c>
      <c r="AP70" s="1324">
        <f t="shared" si="170"/>
        <v>1014.8999999999996</v>
      </c>
      <c r="AQ70" s="1029">
        <f t="shared" si="170"/>
        <v>457.39999999999964</v>
      </c>
      <c r="AR70" s="1029">
        <f t="shared" si="170"/>
        <v>242.50</v>
      </c>
      <c r="AS70" s="1029">
        <f t="shared" si="170"/>
        <v>31.800000000001091</v>
      </c>
      <c r="AT70" s="1029">
        <f t="shared" si="170"/>
        <v>-44.899999999999636</v>
      </c>
      <c r="AU70" s="1324">
        <f t="shared" si="170"/>
        <v>686.80000000000109</v>
      </c>
      <c r="AV70" s="1029">
        <f t="shared" si="171" ref="AV70:AZ70">AV71-AV69</f>
        <v>-26.900000000001455</v>
      </c>
      <c r="AW70" s="1029">
        <f t="shared" si="171"/>
        <v>15.700000000000728</v>
      </c>
      <c r="AX70" s="1029">
        <f t="shared" si="171"/>
        <v>266.79999999999927</v>
      </c>
      <c r="AY70" s="1029">
        <f t="shared" si="171"/>
        <v>307.20000000000073</v>
      </c>
      <c r="AZ70" s="1324">
        <f t="shared" si="171"/>
        <v>562.79999999999927</v>
      </c>
      <c r="BA70" s="1029">
        <f t="shared" si="172" ref="BA70:BR70">BA71-BA69</f>
        <v>864.50</v>
      </c>
      <c r="BB70" s="1029">
        <f t="shared" si="172"/>
        <v>225</v>
      </c>
      <c r="BC70" s="1029">
        <f t="shared" si="172"/>
        <v>-66.200000000000728</v>
      </c>
      <c r="BD70" s="1029">
        <f t="shared" si="172"/>
        <v>36.100000000000364</v>
      </c>
      <c r="BE70" s="1324">
        <f t="shared" si="172"/>
        <v>1059.3999999999996</v>
      </c>
      <c r="BF70" s="1029">
        <f>BF71-BF69</f>
        <v>665</v>
      </c>
      <c r="BG70" s="1029">
        <f>BG71-BG69</f>
        <v>721.39999999999964</v>
      </c>
      <c r="BH70" s="1050">
        <f>BH71-BH69</f>
        <v>811.10000000000036</v>
      </c>
      <c r="BI70" s="1029">
        <f t="shared" si="172"/>
        <v>267.75799999999981</v>
      </c>
      <c r="BJ70" s="1324">
        <f t="shared" si="172"/>
        <v>2465.2579999999998</v>
      </c>
      <c r="BK70" s="1029">
        <f t="shared" si="172"/>
        <v>273.11316000000079</v>
      </c>
      <c r="BL70" s="1029">
        <f t="shared" si="172"/>
        <v>278.57542319999993</v>
      </c>
      <c r="BM70" s="1029">
        <f t="shared" si="172"/>
        <v>284.14693166399957</v>
      </c>
      <c r="BN70" s="1029">
        <f t="shared" si="172"/>
        <v>289.82987029728065</v>
      </c>
      <c r="BO70" s="1324">
        <f t="shared" si="172"/>
        <v>1125.6653851612809</v>
      </c>
      <c r="BP70" s="1324">
        <f t="shared" si="172"/>
        <v>295.62646770322499</v>
      </c>
      <c r="BQ70" s="1324">
        <f t="shared" si="172"/>
        <v>301.53899705729054</v>
      </c>
      <c r="BR70" s="1324">
        <f t="shared" si="172"/>
        <v>307.56977699843628</v>
      </c>
      <c r="BS70" s="648"/>
    </row>
    <row r="71" spans="1:71" s="668" customFormat="1" ht="15" hidden="1" outlineLevel="2">
      <c r="A71" s="904" t="s">
        <v>495</v>
      </c>
      <c r="B71" s="394"/>
      <c r="C71" s="1322">
        <f t="shared" si="173" ref="C71:AU71">C204</f>
        <v>3201.10</v>
      </c>
      <c r="D71" s="1322">
        <f t="shared" si="173"/>
        <v>3610.40</v>
      </c>
      <c r="E71" s="1322">
        <f t="shared" si="173"/>
        <v>3844.50</v>
      </c>
      <c r="F71" s="1322">
        <f t="shared" si="173"/>
        <v>4000.10</v>
      </c>
      <c r="G71" s="1322">
        <f t="shared" si="173"/>
        <v>4224.20</v>
      </c>
      <c r="H71" s="1031">
        <f t="shared" si="173"/>
        <v>4384.1000000000004</v>
      </c>
      <c r="I71" s="1031">
        <f t="shared" si="173"/>
        <v>4423.8999999999996</v>
      </c>
      <c r="J71" s="1031">
        <f t="shared" si="173"/>
        <v>4453.3999999999996</v>
      </c>
      <c r="K71" s="1031">
        <f t="shared" si="173"/>
        <v>4505.50</v>
      </c>
      <c r="L71" s="1322">
        <f t="shared" si="173"/>
        <v>4505.50</v>
      </c>
      <c r="M71" s="1031">
        <f t="shared" si="173"/>
        <v>4679.80</v>
      </c>
      <c r="N71" s="1031">
        <f t="shared" si="173"/>
        <v>4744.80</v>
      </c>
      <c r="O71" s="1031">
        <f t="shared" si="173"/>
        <v>4830.80</v>
      </c>
      <c r="P71" s="1031">
        <f t="shared" si="173"/>
        <v>4916.20</v>
      </c>
      <c r="Q71" s="1322">
        <f t="shared" si="173"/>
        <v>4916.20</v>
      </c>
      <c r="R71" s="1031">
        <f t="shared" si="173"/>
        <v>5175.3999999999996</v>
      </c>
      <c r="S71" s="1031">
        <f t="shared" si="173"/>
        <v>5284.40</v>
      </c>
      <c r="T71" s="1031">
        <f t="shared" si="173"/>
        <v>5324</v>
      </c>
      <c r="U71" s="1031">
        <f t="shared" si="173"/>
        <v>5348.30</v>
      </c>
      <c r="V71" s="1322">
        <f t="shared" si="173"/>
        <v>5348.30</v>
      </c>
      <c r="W71" s="1031">
        <f t="shared" si="173"/>
        <v>5570.70</v>
      </c>
      <c r="X71" s="1031">
        <f t="shared" si="173"/>
        <v>5692.60</v>
      </c>
      <c r="Y71" s="1031">
        <f t="shared" si="173"/>
        <v>5889.60</v>
      </c>
      <c r="Z71" s="1031">
        <f t="shared" si="173"/>
        <v>6039.10</v>
      </c>
      <c r="AA71" s="1322">
        <f t="shared" si="173"/>
        <v>6039.10</v>
      </c>
      <c r="AB71" s="1031">
        <f t="shared" si="173"/>
        <v>6385.60</v>
      </c>
      <c r="AC71" s="1031">
        <f t="shared" si="173"/>
        <v>6650.90</v>
      </c>
      <c r="AD71" s="1031">
        <f t="shared" si="173"/>
        <v>6875.80</v>
      </c>
      <c r="AE71" s="1031">
        <f t="shared" si="173"/>
        <v>7018.50</v>
      </c>
      <c r="AF71" s="1322">
        <f t="shared" si="173"/>
        <v>7018.50</v>
      </c>
      <c r="AG71" s="1031">
        <f t="shared" si="173"/>
        <v>7335.30</v>
      </c>
      <c r="AH71" s="1031">
        <f t="shared" si="173"/>
        <v>7528.40</v>
      </c>
      <c r="AI71" s="1031">
        <f t="shared" si="173"/>
        <v>7716</v>
      </c>
      <c r="AJ71" s="1031">
        <f t="shared" si="173"/>
        <v>7866.50</v>
      </c>
      <c r="AK71" s="1322">
        <f t="shared" si="173"/>
        <v>7866.50</v>
      </c>
      <c r="AL71" s="1031">
        <f t="shared" si="173"/>
        <v>8126.30</v>
      </c>
      <c r="AM71" s="1031">
        <f t="shared" si="173"/>
        <v>8507.60</v>
      </c>
      <c r="AN71" s="1031">
        <f t="shared" si="173"/>
        <v>8774.2999999999993</v>
      </c>
      <c r="AO71" s="1031">
        <f t="shared" si="173"/>
        <v>8881.40</v>
      </c>
      <c r="AP71" s="1322">
        <f t="shared" si="173"/>
        <v>8881.40</v>
      </c>
      <c r="AQ71" s="1031">
        <f t="shared" si="173"/>
        <v>9338.7999999999993</v>
      </c>
      <c r="AR71" s="1031">
        <f t="shared" si="173"/>
        <v>9581.2999999999993</v>
      </c>
      <c r="AS71" s="1031">
        <f t="shared" si="173"/>
        <v>9613.10</v>
      </c>
      <c r="AT71" s="1031">
        <f t="shared" si="173"/>
        <v>9568.2000000000007</v>
      </c>
      <c r="AU71" s="1322">
        <f t="shared" si="173"/>
        <v>9568.2000000000007</v>
      </c>
      <c r="AV71" s="1031">
        <f t="shared" si="174" ref="AV71:BA71">AV204</f>
        <v>9541.2999999999993</v>
      </c>
      <c r="AW71" s="1031">
        <f t="shared" si="174"/>
        <v>9557</v>
      </c>
      <c r="AX71" s="1031">
        <f t="shared" si="174"/>
        <v>9823.7999999999993</v>
      </c>
      <c r="AY71" s="1031">
        <f t="shared" si="174"/>
        <v>10131</v>
      </c>
      <c r="AZ71" s="1322">
        <f t="shared" si="174"/>
        <v>10131</v>
      </c>
      <c r="BA71" s="1031">
        <f t="shared" si="174"/>
        <v>10995.50</v>
      </c>
      <c r="BB71" s="1031">
        <f t="shared" si="175" ref="BB71:BG71">BB204</f>
        <v>11220.50</v>
      </c>
      <c r="BC71" s="1031">
        <f t="shared" si="175"/>
        <v>11154.299999999999</v>
      </c>
      <c r="BD71" s="1031">
        <f t="shared" si="175"/>
        <v>11190.40</v>
      </c>
      <c r="BE71" s="1322">
        <f t="shared" si="175"/>
        <v>11190.40</v>
      </c>
      <c r="BF71" s="1031">
        <f t="shared" si="175"/>
        <v>11855.40</v>
      </c>
      <c r="BG71" s="1031">
        <f t="shared" si="175"/>
        <v>12576.80</v>
      </c>
      <c r="BH71" s="1049">
        <f>BH204</f>
        <v>13387.90</v>
      </c>
      <c r="BI71" s="1023">
        <f>BH71*(1+BI72)</f>
        <v>13655.657999999999</v>
      </c>
      <c r="BJ71" s="1321">
        <f>BI71</f>
        <v>13655.657999999999</v>
      </c>
      <c r="BK71" s="1023">
        <f>BI71*(1+BK72)</f>
        <v>13928.77116</v>
      </c>
      <c r="BL71" s="1023">
        <f>BK71*(1+BL72)</f>
        <v>14207.3465832</v>
      </c>
      <c r="BM71" s="1023">
        <f>BL71*(1+BM72)</f>
        <v>14491.493514864</v>
      </c>
      <c r="BN71" s="1023">
        <f>BM71*(1+BN72)</f>
        <v>14781.32338516128</v>
      </c>
      <c r="BO71" s="1321">
        <f>BN71</f>
        <v>14781.32338516128</v>
      </c>
      <c r="BP71" s="1322">
        <f>BO71*(1+BP73)</f>
        <v>15076.949852864505</v>
      </c>
      <c r="BQ71" s="1322">
        <f>BP71*(1+BQ73)</f>
        <v>15378.488849921796</v>
      </c>
      <c r="BR71" s="1321">
        <f>BQ71*(1+BR73)</f>
        <v>15686.058626920232</v>
      </c>
      <c r="BS71" s="648"/>
    </row>
    <row r="72" spans="1:71" s="669" customFormat="1" ht="15" hidden="1" outlineLevel="2">
      <c r="A72" s="107" t="s">
        <v>503</v>
      </c>
      <c r="B72" s="108"/>
      <c r="C72" s="1325"/>
      <c r="D72" s="1325"/>
      <c r="E72" s="1325"/>
      <c r="F72" s="1325"/>
      <c r="G72" s="1325"/>
      <c r="H72" s="726">
        <f>H71/G71-1</f>
        <v>0.037853321338951806</v>
      </c>
      <c r="I72" s="726">
        <f>I71/H71-1</f>
        <v>0.0090782600761842858</v>
      </c>
      <c r="J72" s="726">
        <f>J71/I71-1</f>
        <v>0.0066683243292118277</v>
      </c>
      <c r="K72" s="726">
        <f>K71/J71-1</f>
        <v>0.0116989266627745</v>
      </c>
      <c r="L72" s="1325"/>
      <c r="M72" s="726">
        <f>M71/K71-1</f>
        <v>0.038686050382865433</v>
      </c>
      <c r="N72" s="726">
        <f>N71/M71-1</f>
        <v>0.013889482456515223</v>
      </c>
      <c r="O72" s="726">
        <f>O71/N71-1</f>
        <v>0.018125105378519635</v>
      </c>
      <c r="P72" s="726">
        <f>P71/O71-1</f>
        <v>0.017678231348844831</v>
      </c>
      <c r="Q72" s="1325"/>
      <c r="R72" s="726">
        <f>R71/P71-1</f>
        <v>0.052723648346283625</v>
      </c>
      <c r="S72" s="726">
        <f>S71/R71-1</f>
        <v>0.021061174015535089</v>
      </c>
      <c r="T72" s="726">
        <f>T71/S71-1</f>
        <v>0.0074937552039966437</v>
      </c>
      <c r="U72" s="726">
        <f>U71/T71-1</f>
        <v>0.0045642374154770682</v>
      </c>
      <c r="V72" s="1325"/>
      <c r="W72" s="726">
        <f>W71/U71-1</f>
        <v>0.041583306845165646</v>
      </c>
      <c r="X72" s="726">
        <f>X71/W71-1</f>
        <v>0.021882348717396471</v>
      </c>
      <c r="Y72" s="726">
        <f>Y71/X71-1</f>
        <v>0.034606331026244552</v>
      </c>
      <c r="Z72" s="726">
        <f>Z71/Y71-1</f>
        <v>0.025383727248030397</v>
      </c>
      <c r="AA72" s="1325"/>
      <c r="AB72" s="726">
        <f>AB71/Z71-1</f>
        <v>0.057376099087612431</v>
      </c>
      <c r="AC72" s="726">
        <f>AC71/AB71-1</f>
        <v>0.041546604860936975</v>
      </c>
      <c r="AD72" s="726">
        <f>AD71/AC71-1</f>
        <v>0.033814972409749178</v>
      </c>
      <c r="AE72" s="726">
        <f>AE71/AD71-1</f>
        <v>0.020753948631431873</v>
      </c>
      <c r="AF72" s="1325"/>
      <c r="AG72" s="726">
        <f>AG71/AE71-1</f>
        <v>0.04513784996794179</v>
      </c>
      <c r="AH72" s="726">
        <f>AH71/AG71-1</f>
        <v>0.026324758360257938</v>
      </c>
      <c r="AI72" s="726">
        <f>AI71/AH71-1</f>
        <v>0.02491897348706229</v>
      </c>
      <c r="AJ72" s="726">
        <f>AJ71/AI71-1</f>
        <v>0.019504924831518888</v>
      </c>
      <c r="AK72" s="1325"/>
      <c r="AL72" s="726">
        <f>AL71/AJ71-1</f>
        <v>0.033026123434818588</v>
      </c>
      <c r="AM72" s="726">
        <f>AM71/AL71-1</f>
        <v>0.046921723293503748</v>
      </c>
      <c r="AN72" s="726">
        <f>AN71/AM71-1</f>
        <v>0.031348441393577398</v>
      </c>
      <c r="AO72" s="726">
        <f>AO71/AN71-1</f>
        <v>0.012206101911263589</v>
      </c>
      <c r="AP72" s="1325"/>
      <c r="AQ72" s="726">
        <f>AQ71/AO71-1</f>
        <v>0.051500889499403124</v>
      </c>
      <c r="AR72" s="726">
        <f>AR71/AQ71-1</f>
        <v>0.025966933653146063</v>
      </c>
      <c r="AS72" s="726">
        <f>AS71/AR71-1</f>
        <v>0.0033189650673708382</v>
      </c>
      <c r="AT72" s="726">
        <f>AT71/AS71-1</f>
        <v>-0.0046707097606391024</v>
      </c>
      <c r="AU72" s="1325"/>
      <c r="AV72" s="726">
        <f>AV71/AT71-1</f>
        <v>-0.0028113960828579643</v>
      </c>
      <c r="AW72" s="726">
        <f>AW71/AV71-1</f>
        <v>0.0016454780795069901</v>
      </c>
      <c r="AX72" s="726">
        <f>AX71/AW71-1</f>
        <v>0.027916710264727307</v>
      </c>
      <c r="AY72" s="726">
        <f>AY71/AX71-1</f>
        <v>0.031270994930678642</v>
      </c>
      <c r="AZ72" s="1325"/>
      <c r="BA72" s="726">
        <f>BA71/AY71-1</f>
        <v>0.085332148850064238</v>
      </c>
      <c r="BB72" s="726">
        <f>BB71/BA71-1</f>
        <v>0.020462916647719487</v>
      </c>
      <c r="BC72" s="726">
        <f>BC71/BB71-1</f>
        <v>-0.0058999153335413945</v>
      </c>
      <c r="BD72" s="726">
        <f>BD71/BC71-1</f>
        <v>0.0032364200353227623</v>
      </c>
      <c r="BE72" s="1325"/>
      <c r="BF72" s="726">
        <f>BF71/BD71-1</f>
        <v>0.059425936517014666</v>
      </c>
      <c r="BG72" s="726">
        <f>BG71/BF71-1</f>
        <v>0.060849908058774771</v>
      </c>
      <c r="BH72" s="808">
        <f>BH71/BG71-1</f>
        <v>0.064491762610521031</v>
      </c>
      <c r="BI72" s="1215">
        <v>0.02</v>
      </c>
      <c r="BJ72" s="1326"/>
      <c r="BK72" s="1215">
        <v>0.02</v>
      </c>
      <c r="BL72" s="1215">
        <v>0.02</v>
      </c>
      <c r="BM72" s="1215">
        <v>0.02</v>
      </c>
      <c r="BN72" s="1215">
        <v>0.02</v>
      </c>
      <c r="BO72" s="1326"/>
      <c r="BP72" s="1325"/>
      <c r="BQ72" s="1325"/>
      <c r="BR72" s="1326"/>
      <c r="BS72" s="648"/>
    </row>
    <row r="73" spans="1:71" s="669" customFormat="1" ht="15" hidden="1" outlineLevel="2">
      <c r="A73" s="107" t="s">
        <v>504</v>
      </c>
      <c r="B73" s="108"/>
      <c r="C73" s="1325"/>
      <c r="D73" s="1325">
        <f>D71/C71-1</f>
        <v>0.12786229733529098</v>
      </c>
      <c r="E73" s="1325">
        <f>E71/D71-1</f>
        <v>0.06484046089076001</v>
      </c>
      <c r="F73" s="1325">
        <f>F71/E71-1</f>
        <v>0.040473403563532351</v>
      </c>
      <c r="G73" s="1325">
        <f>G71/F71-1</f>
        <v>0.056023599410014668</v>
      </c>
      <c r="H73" s="726"/>
      <c r="I73" s="726"/>
      <c r="J73" s="726"/>
      <c r="K73" s="726"/>
      <c r="L73" s="1325">
        <f t="shared" si="176" ref="L73:AU73">L71/G71-1</f>
        <v>0.066592490885848177</v>
      </c>
      <c r="M73" s="726">
        <f t="shared" si="176"/>
        <v>0.067448279008234246</v>
      </c>
      <c r="N73" s="726">
        <f t="shared" si="176"/>
        <v>0.072537806008273309</v>
      </c>
      <c r="O73" s="726">
        <f t="shared" si="176"/>
        <v>0.084744240355683509</v>
      </c>
      <c r="P73" s="726">
        <f t="shared" si="176"/>
        <v>0.091155254688713772</v>
      </c>
      <c r="Q73" s="1325">
        <f t="shared" si="176"/>
        <v>0.091155254688713772</v>
      </c>
      <c r="R73" s="726">
        <f t="shared" si="176"/>
        <v>0.10590196162229137</v>
      </c>
      <c r="S73" s="726">
        <f t="shared" si="176"/>
        <v>0.11372449839824639</v>
      </c>
      <c r="T73" s="726">
        <f t="shared" si="176"/>
        <v>0.1020948911153432</v>
      </c>
      <c r="U73" s="726">
        <f t="shared" si="176"/>
        <v>0.087893088157520172</v>
      </c>
      <c r="V73" s="1325">
        <f t="shared" si="176"/>
        <v>0.087893088157520172</v>
      </c>
      <c r="W73" s="726">
        <f t="shared" si="176"/>
        <v>0.076380569617807259</v>
      </c>
      <c r="X73" s="726">
        <f t="shared" si="176"/>
        <v>0.077246234198773855</v>
      </c>
      <c r="Y73" s="726">
        <f t="shared" si="176"/>
        <v>0.10623591284748324</v>
      </c>
      <c r="Z73" s="726">
        <f t="shared" si="176"/>
        <v>0.12916253762877927</v>
      </c>
      <c r="AA73" s="1325">
        <f t="shared" si="176"/>
        <v>0.12916253762877927</v>
      </c>
      <c r="AB73" s="726">
        <f t="shared" si="176"/>
        <v>0.14628323190981396</v>
      </c>
      <c r="AC73" s="726">
        <f t="shared" si="176"/>
        <v>0.16834135544390949</v>
      </c>
      <c r="AD73" s="726">
        <f t="shared" si="176"/>
        <v>0.16744770442814438</v>
      </c>
      <c r="AE73" s="726">
        <f t="shared" si="176"/>
        <v>0.16217648325081546</v>
      </c>
      <c r="AF73" s="1325">
        <f t="shared" si="176"/>
        <v>0.16217648325081546</v>
      </c>
      <c r="AG73" s="726">
        <f t="shared" si="176"/>
        <v>0.14872525682786275</v>
      </c>
      <c r="AH73" s="726">
        <f t="shared" si="176"/>
        <v>0.13193703107850063</v>
      </c>
      <c r="AI73" s="726">
        <f t="shared" si="176"/>
        <v>0.12219668983972776</v>
      </c>
      <c r="AJ73" s="726">
        <f t="shared" si="176"/>
        <v>0.12082353779297561</v>
      </c>
      <c r="AK73" s="1325">
        <f t="shared" si="176"/>
        <v>0.12082353779297561</v>
      </c>
      <c r="AL73" s="726">
        <f t="shared" si="176"/>
        <v>0.10783471705315395</v>
      </c>
      <c r="AM73" s="726">
        <f t="shared" si="176"/>
        <v>0.13006747781733186</v>
      </c>
      <c r="AN73" s="726">
        <f t="shared" si="176"/>
        <v>0.13715655780196978</v>
      </c>
      <c r="AO73" s="726">
        <f t="shared" si="176"/>
        <v>0.12901544524248387</v>
      </c>
      <c r="AP73" s="1325">
        <f t="shared" si="176"/>
        <v>0.12901544524248387</v>
      </c>
      <c r="AQ73" s="726">
        <f t="shared" si="176"/>
        <v>0.14920689612738869</v>
      </c>
      <c r="AR73" s="726">
        <f t="shared" si="176"/>
        <v>0.12620480511542609</v>
      </c>
      <c r="AS73" s="726">
        <f t="shared" si="176"/>
        <v>0.095597369590736614</v>
      </c>
      <c r="AT73" s="726">
        <f t="shared" si="176"/>
        <v>0.07733015065192439</v>
      </c>
      <c r="AU73" s="1325">
        <f t="shared" si="176"/>
        <v>0.07733015065192439</v>
      </c>
      <c r="AV73" s="726">
        <f t="shared" si="177" ref="AV73:AZ73">AV71/AQ71-1</f>
        <v>0.02168372810211161</v>
      </c>
      <c r="AW73" s="726">
        <f t="shared" si="177"/>
        <v>-0.0025361902873304309</v>
      </c>
      <c r="AX73" s="726">
        <f t="shared" si="177"/>
        <v>0.021918007718633836</v>
      </c>
      <c r="AY73" s="726">
        <f t="shared" si="177"/>
        <v>0.058819840722392769</v>
      </c>
      <c r="AZ73" s="1325">
        <f t="shared" si="177"/>
        <v>0.058819840722392769</v>
      </c>
      <c r="BA73" s="726">
        <f t="shared" si="178" ref="BA73:BO73">BA71/AV71-1</f>
        <v>0.15241109702032229</v>
      </c>
      <c r="BB73" s="726">
        <f t="shared" si="178"/>
        <v>0.17406089777126721</v>
      </c>
      <c r="BC73" s="726">
        <f t="shared" si="178"/>
        <v>0.13543638917730405</v>
      </c>
      <c r="BD73" s="726">
        <f t="shared" si="178"/>
        <v>0.10457013128022896</v>
      </c>
      <c r="BE73" s="1325">
        <f t="shared" si="178"/>
        <v>0.10457013128022896</v>
      </c>
      <c r="BF73" s="726">
        <f>BF71/BA71-1</f>
        <v>0.078204720112773352</v>
      </c>
      <c r="BG73" s="726">
        <f>BG71/BB71-1</f>
        <v>0.12087696626710032</v>
      </c>
      <c r="BH73" s="808">
        <f>BH71/BC71-1</f>
        <v>0.20024564517719634</v>
      </c>
      <c r="BI73" s="98">
        <f t="shared" si="178"/>
        <v>0.22030115098656</v>
      </c>
      <c r="BJ73" s="1326">
        <f t="shared" si="178"/>
        <v>0.22030115098656</v>
      </c>
      <c r="BK73" s="98">
        <f t="shared" si="178"/>
        <v>0.17488833442988017</v>
      </c>
      <c r="BL73" s="98">
        <f t="shared" si="178"/>
        <v>0.12964717441638585</v>
      </c>
      <c r="BM73" s="98">
        <f t="shared" si="178"/>
        <v>0.082432159999999977</v>
      </c>
      <c r="BN73" s="98">
        <f t="shared" si="178"/>
        <v>0.082432159999999977</v>
      </c>
      <c r="BO73" s="1326">
        <f t="shared" si="178"/>
        <v>0.082432159999999977</v>
      </c>
      <c r="BP73" s="1341">
        <v>0.02</v>
      </c>
      <c r="BQ73" s="1341">
        <v>0.02</v>
      </c>
      <c r="BR73" s="1342">
        <v>0.02</v>
      </c>
      <c r="BS73" s="648"/>
    </row>
    <row r="74" spans="1:71" s="668" customFormat="1" ht="15" hidden="1" outlineLevel="2">
      <c r="A74" s="904" t="s">
        <v>499</v>
      </c>
      <c r="B74" s="394"/>
      <c r="C74" s="1322"/>
      <c r="D74" s="1322">
        <f t="shared" si="179" ref="D74:K74">AVERAGE(D71,D69)</f>
        <v>3405.75</v>
      </c>
      <c r="E74" s="1322">
        <f t="shared" si="179"/>
        <v>3727.45</v>
      </c>
      <c r="F74" s="1322">
        <f t="shared" si="179"/>
        <v>3922.30</v>
      </c>
      <c r="G74" s="1322">
        <f t="shared" si="179"/>
        <v>4112.1499999999996</v>
      </c>
      <c r="H74" s="1031">
        <f t="shared" si="179"/>
        <v>4304.1499999999996</v>
      </c>
      <c r="I74" s="1031">
        <f t="shared" si="179"/>
        <v>4404</v>
      </c>
      <c r="J74" s="1031">
        <f t="shared" si="179"/>
        <v>4438.6499999999996</v>
      </c>
      <c r="K74" s="1031">
        <f t="shared" si="179"/>
        <v>4479.45</v>
      </c>
      <c r="L74" s="1322">
        <f>SUM(H74*H$3,I74*I$3,J74*J$3,K74*K$3)/L$3</f>
        <v>4407.1306849315069</v>
      </c>
      <c r="M74" s="1031">
        <f>AVERAGE(M71,M69)</f>
        <v>4592.6499999999996</v>
      </c>
      <c r="N74" s="1031">
        <f>AVERAGE(N71,N69)</f>
        <v>4712.30</v>
      </c>
      <c r="O74" s="1031">
        <f>AVERAGE(O71,O69)</f>
        <v>4787.80</v>
      </c>
      <c r="P74" s="1031">
        <f>AVERAGE(P71,P69)</f>
        <v>4873.50</v>
      </c>
      <c r="Q74" s="1322">
        <f>SUM(M74*M$3,N74*N$3,O74*O$3,P74*P$3)/Q$3</f>
        <v>4742.4586301369864</v>
      </c>
      <c r="R74" s="1031">
        <f>AVERAGE(R71,R69)</f>
        <v>5045.7999999999993</v>
      </c>
      <c r="S74" s="1031">
        <f>AVERAGE(S71,S69)</f>
        <v>5229.8999999999996</v>
      </c>
      <c r="T74" s="1031">
        <f>AVERAGE(T71,T69)</f>
        <v>5304.20</v>
      </c>
      <c r="U74" s="1031">
        <f>AVERAGE(U71,U69)</f>
        <v>5336.1499999999996</v>
      </c>
      <c r="V74" s="1322">
        <f>SUM(R74*R$3,S74*S$3,T74*T$3,U74*U$3)/V$3</f>
        <v>5229.5106557377048</v>
      </c>
      <c r="W74" s="1031">
        <f>AVERAGE(W71,W69)</f>
        <v>5459.50</v>
      </c>
      <c r="X74" s="1031">
        <f>AVERAGE(X71,X69)</f>
        <v>5631.6499999999996</v>
      </c>
      <c r="Y74" s="1031">
        <f>AVERAGE(Y71,Y69)</f>
        <v>5791.10</v>
      </c>
      <c r="Z74" s="1031">
        <f>AVERAGE(Z71,Z69)</f>
        <v>5964.3500000000004</v>
      </c>
      <c r="AA74" s="1322">
        <f>SUM(W74*W$3,X74*X$3,Y74*Y$3,Z74*Z$3)/AA$3</f>
        <v>5713.2508219178089</v>
      </c>
      <c r="AB74" s="1031">
        <f>AVERAGE(AB71,AB69)</f>
        <v>6212.3500000000004</v>
      </c>
      <c r="AC74" s="1031">
        <f>AVERAGE(AC71,AC69)</f>
        <v>6518.25</v>
      </c>
      <c r="AD74" s="1031">
        <f>AVERAGE(AD71,AD69)</f>
        <v>6763.3500000000004</v>
      </c>
      <c r="AE74" s="1031">
        <f>AVERAGE(AE71,AE69)</f>
        <v>6947.1499999999996</v>
      </c>
      <c r="AF74" s="1322">
        <f>SUM(AB74*AB$3,AC74*AC$3,AD74*AD$3,AE74*AE$3)/AF$3</f>
        <v>6612.7075342465751</v>
      </c>
      <c r="AG74" s="1031">
        <f>AVERAGE(AG71,AG69)</f>
        <v>7176.90</v>
      </c>
      <c r="AH74" s="1031">
        <f>AVERAGE(AH71,AH69)</f>
        <v>7431.8500000000004</v>
      </c>
      <c r="AI74" s="1031">
        <f>AVERAGE(AI71,AI69)</f>
        <v>7622.20</v>
      </c>
      <c r="AJ74" s="1031">
        <f>AVERAGE(AJ71,AJ69)</f>
        <v>7791.25</v>
      </c>
      <c r="AK74" s="1322">
        <f>SUM(AG74*AG$3,AH74*AH$3,AI74*AI$3,AJ74*AJ$3)/AK$3</f>
        <v>7507.5527397260275</v>
      </c>
      <c r="AL74" s="1031">
        <f>AVERAGE(AL71,AL69)</f>
        <v>7996.40</v>
      </c>
      <c r="AM74" s="1031">
        <f>AVERAGE(AM71,AM69)</f>
        <v>8316.9500000000007</v>
      </c>
      <c r="AN74" s="1031">
        <f>AVERAGE(AN71,AN69)</f>
        <v>8640.9500000000007</v>
      </c>
      <c r="AO74" s="1031">
        <f>AVERAGE(AO71,AO69)</f>
        <v>8827.8499999999985</v>
      </c>
      <c r="AP74" s="1322">
        <f>SUM(AL74*AL$3,AM74*AM$3,AN74*AN$3,AO74*AO$3)/AP$3</f>
        <v>8447.1159836065563</v>
      </c>
      <c r="AQ74" s="1031">
        <f>AVERAGE(AQ71,AQ69)</f>
        <v>9110.0999999999985</v>
      </c>
      <c r="AR74" s="1031">
        <f>AVERAGE(AR71,AR69)</f>
        <v>9460.0499999999993</v>
      </c>
      <c r="AS74" s="1031">
        <f>AVERAGE(AS71,AS69)</f>
        <v>9597.2000000000007</v>
      </c>
      <c r="AT74" s="1031">
        <f>AVERAGE(AT71,AT69)</f>
        <v>9590.6500000000015</v>
      </c>
      <c r="AU74" s="1322">
        <f>SUM(AQ74*AQ$3,AR74*AR$3,AS74*AS$3,AT74*AT$3)/AU$3</f>
        <v>9441.2486301369863</v>
      </c>
      <c r="AV74" s="1031">
        <f>AVERAGE(AV71,AV69)</f>
        <v>9554.75</v>
      </c>
      <c r="AW74" s="1031">
        <f>AVERAGE(AW71,AW69)</f>
        <v>9549.1499999999996</v>
      </c>
      <c r="AX74" s="1031">
        <f>AVERAGE(AX71,AX69)</f>
        <v>9690.40</v>
      </c>
      <c r="AY74" s="1031">
        <f>AVERAGE(AY71,AY69)</f>
        <v>9977.40</v>
      </c>
      <c r="AZ74" s="1322">
        <f>SUM(AV74*AV$3,AW74*AW$3,AX74*AX$3,AY74*AY$3)/AZ$3</f>
        <v>9694.0760273972592</v>
      </c>
      <c r="BA74" s="1031">
        <f>AVERAGE(BA71,BA69)</f>
        <v>10563.25</v>
      </c>
      <c r="BB74" s="1031">
        <f>AVERAGE(BB71,BB69)</f>
        <v>11108</v>
      </c>
      <c r="BC74" s="1031">
        <f>AVERAGE(BC71,BC69)</f>
        <v>11187.40</v>
      </c>
      <c r="BD74" s="1031">
        <f>AVERAGE(BD71,BD69)</f>
        <v>11172.349999999999</v>
      </c>
      <c r="BE74" s="1322">
        <f>SUM(BA74*BA$3,BB74*BB$3,BC74*BC$3,BD74*BD$3)/BE$3</f>
        <v>11009.910958904109</v>
      </c>
      <c r="BF74" s="1031">
        <f>AVERAGE(BF71,BF69)</f>
        <v>11522.90</v>
      </c>
      <c r="BG74" s="1031">
        <f>AVERAGE(BG71,BG69)</f>
        <v>12216.099999999999</v>
      </c>
      <c r="BH74" s="1049">
        <f>AVERAGE(BH71,BH69)</f>
        <v>12982.349999999999</v>
      </c>
      <c r="BI74" s="1023">
        <f>AVERAGE(BI71,BI69)</f>
        <v>13521.778999999999</v>
      </c>
      <c r="BJ74" s="1321">
        <f>SUM(BF74*BF$3,BG74*BG$3,BH74*BH$3,BI74*BI$3)/BJ$3</f>
        <v>12564.559748633879</v>
      </c>
      <c r="BK74" s="1023">
        <f>AVERAGE(BK71,BK69)</f>
        <v>13792.21458</v>
      </c>
      <c r="BL74" s="1023">
        <f>AVERAGE(BL71,BL69)</f>
        <v>14068.0588716</v>
      </c>
      <c r="BM74" s="1023">
        <f>AVERAGE(BM71,BM69)</f>
        <v>14349.420049032</v>
      </c>
      <c r="BN74" s="1023">
        <f>AVERAGE(BN71,BN69)</f>
        <v>14636.408450012641</v>
      </c>
      <c r="BO74" s="1321">
        <f>SUM(BK74*BK$3,BL74*BL$3,BM74*BM$3,BN74*BN$3)/BO$3</f>
        <v>14214.216140897826</v>
      </c>
      <c r="BP74" s="1322">
        <f>AVERAGE(BP71,BP69)</f>
        <v>14929.136619012894</v>
      </c>
      <c r="BQ74" s="1322">
        <f>AVERAGE(BQ71,BQ69)</f>
        <v>15227.719351393151</v>
      </c>
      <c r="BR74" s="1321">
        <f>AVERAGE(BR71,BR69)</f>
        <v>15532.273738421014</v>
      </c>
      <c r="BS74" s="648"/>
    </row>
    <row r="75" spans="1:71" s="669" customFormat="1" ht="7.5" customHeight="1" hidden="1" outlineLevel="2">
      <c r="A75" s="107"/>
      <c r="B75" s="108"/>
      <c r="C75" s="1325"/>
      <c r="D75" s="1325"/>
      <c r="E75" s="1325"/>
      <c r="F75" s="1325"/>
      <c r="G75" s="1325"/>
      <c r="H75" s="726"/>
      <c r="I75" s="726"/>
      <c r="J75" s="726"/>
      <c r="K75" s="726"/>
      <c r="L75" s="1325"/>
      <c r="M75" s="726"/>
      <c r="N75" s="726"/>
      <c r="O75" s="726"/>
      <c r="P75" s="726"/>
      <c r="Q75" s="1325"/>
      <c r="R75" s="726"/>
      <c r="S75" s="726"/>
      <c r="T75" s="726"/>
      <c r="U75" s="726"/>
      <c r="V75" s="1325"/>
      <c r="W75" s="726"/>
      <c r="X75" s="726"/>
      <c r="Y75" s="726"/>
      <c r="Z75" s="726"/>
      <c r="AA75" s="1325"/>
      <c r="AB75" s="726"/>
      <c r="AC75" s="726"/>
      <c r="AD75" s="726"/>
      <c r="AE75" s="726"/>
      <c r="AF75" s="1325"/>
      <c r="AG75" s="726"/>
      <c r="AH75" s="726"/>
      <c r="AI75" s="726"/>
      <c r="AJ75" s="726"/>
      <c r="AK75" s="1325"/>
      <c r="AL75" s="726"/>
      <c r="AM75" s="726"/>
      <c r="AN75" s="726"/>
      <c r="AO75" s="726"/>
      <c r="AP75" s="1325"/>
      <c r="AQ75" s="726"/>
      <c r="AR75" s="726"/>
      <c r="AS75" s="726"/>
      <c r="AT75" s="726"/>
      <c r="AU75" s="1325"/>
      <c r="AV75" s="726"/>
      <c r="AW75" s="726"/>
      <c r="AX75" s="726"/>
      <c r="AY75" s="726"/>
      <c r="AZ75" s="1325"/>
      <c r="BA75" s="726"/>
      <c r="BB75" s="726"/>
      <c r="BC75" s="726"/>
      <c r="BD75" s="726"/>
      <c r="BE75" s="1325"/>
      <c r="BF75" s="726"/>
      <c r="BG75" s="726"/>
      <c r="BH75" s="808"/>
      <c r="BI75" s="98"/>
      <c r="BJ75" s="1326"/>
      <c r="BK75" s="98"/>
      <c r="BL75" s="98"/>
      <c r="BM75" s="98"/>
      <c r="BN75" s="98"/>
      <c r="BO75" s="1326"/>
      <c r="BP75" s="1325"/>
      <c r="BQ75" s="1325"/>
      <c r="BR75" s="1326"/>
      <c r="BS75" s="648"/>
    </row>
    <row r="76" spans="1:71" s="674" customFormat="1" ht="15" hidden="1" outlineLevel="2">
      <c r="A76" s="476" t="s">
        <v>623</v>
      </c>
      <c r="B76" s="477"/>
      <c r="C76" s="1345"/>
      <c r="D76" s="1346">
        <f>(D79*1000)/(D74+(D36*(1-D38)))</f>
        <v>1070.6778554327586</v>
      </c>
      <c r="E76" s="1346">
        <f>(E79*1000)/(E74+(E36*(1-E38)))</f>
        <v>1058.836183715177</v>
      </c>
      <c r="F76" s="1346">
        <f>(F79*1000)/(F74+(F36*(1-F38)))</f>
        <v>1091.1171066561933</v>
      </c>
      <c r="G76" s="1346">
        <f>(G79*1000)/(G74+(G36*(1-G38)))</f>
        <v>1126.4246197254724</v>
      </c>
      <c r="H76" s="481">
        <f>(H79*1000)/(H74+(H36*(1-H38)))*(L$3/H$3)</f>
        <v>1240.7297133495831</v>
      </c>
      <c r="I76" s="481">
        <f>(I79*1000)/(I74+(I36*(1-I38)))*(L$3/I$3)</f>
        <v>1143.3800620651832</v>
      </c>
      <c r="J76" s="481">
        <f>(J79*1000)/(J74+(J36*(1-J38)))*(L$3/J$3)</f>
        <v>1215.857687915435</v>
      </c>
      <c r="K76" s="481">
        <f>(K79*1000)/(K74+(K36*(1-K38)))*(L$3/K$3)</f>
        <v>1168.3994444643949</v>
      </c>
      <c r="L76" s="1346">
        <f>(L79*1000)/(L74+(L36*(1-L38)))</f>
        <v>1191.7079465945342</v>
      </c>
      <c r="M76" s="481">
        <f>(M79*1000)/(M74+(M36*(1-M38)))*(Q$3/M$3)</f>
        <v>1336.8655780900001</v>
      </c>
      <c r="N76" s="481">
        <f>(N79*1000)/(N74+(N36*(1-N38)))*(Q$3/N$3)</f>
        <v>1216.7186644593678</v>
      </c>
      <c r="O76" s="481">
        <f>(O79*1000)/(O74+(O36*(1-O38)))*(Q$3/O$3)</f>
        <v>1303.4577811170977</v>
      </c>
      <c r="P76" s="481">
        <f>(P79*1000)/(P74+(P36*(1-P38)))*(Q$3/P$3)</f>
        <v>1138.7270976803263</v>
      </c>
      <c r="Q76" s="1346">
        <f>(Q79*1000)/(Q74+(Q36*(1-Q38)))</f>
        <v>1247.5485669801681</v>
      </c>
      <c r="R76" s="481">
        <f>(R79*1000)/(R74+(R36*(1-R38)))*(V$3/R$3)</f>
        <v>1408.6737746423537</v>
      </c>
      <c r="S76" s="481">
        <f>(S79*1000)/(S74+(S36*(1-S38)))*(V$3/S$3)</f>
        <v>1297.9228779569141</v>
      </c>
      <c r="T76" s="481">
        <f>(T79*1000)/(T74+(T36*(1-T38)))*(V$3/T$3)</f>
        <v>1361.033222923297</v>
      </c>
      <c r="U76" s="481">
        <f>(U79*1000)/(U74+(U36*(1-U38)))*(V$3/U$3)</f>
        <v>1229.6113672731376</v>
      </c>
      <c r="V76" s="1346">
        <f>(V79*1000)/(V74+(V36*(1-V38)))</f>
        <v>1323.1933766539485</v>
      </c>
      <c r="W76" s="481">
        <f>(W79*1000)/(W74+(W36*(1-W38)))*(AA$3/W$3)</f>
        <v>1492.3386351449533</v>
      </c>
      <c r="X76" s="481">
        <f>(X79*1000)/(X74+(X36*(1-X38)))*(AA$3/X$3)</f>
        <v>1381.7413578479532</v>
      </c>
      <c r="Y76" s="481">
        <f>(Y79*1000)/(Y74+(Y36*(1-Y38)))*(AA$3/Y$3)</f>
        <v>1485.285655748424</v>
      </c>
      <c r="Z76" s="481">
        <f>(Z79*1000)/(Z74+(Z36*(1-Z38)))*(AA$3/Z$3)</f>
        <v>1353.2274136758078</v>
      </c>
      <c r="AA76" s="1346">
        <f>(AA79*1000)/(AA74+(AA36*(1-AA38)))</f>
        <v>1427.0021088357232</v>
      </c>
      <c r="AB76" s="481">
        <f>(AB79*1000)/(AB74+(AB36*(1-AB38)))*(AF$3/AB$3)</f>
        <v>1650.9707583486809</v>
      </c>
      <c r="AC76" s="481">
        <f>(AC79*1000)/(AC74+(AC36*(1-AC38)))*(AF$3/AC$3)</f>
        <v>1509.1105759545262</v>
      </c>
      <c r="AD76" s="481">
        <f>(AD79*1000)/(AD74+(AD36*(1-AD38)))*(AF$3/AD$3)</f>
        <v>1601.2197779001281</v>
      </c>
      <c r="AE76" s="481">
        <f>(AE79*1000)/(AE74+(AE36*(1-AE38)))*(AF$3/AE$3)</f>
        <v>1430.9616236738514</v>
      </c>
      <c r="AF76" s="1346">
        <f>(AF79*1000)/(AF74+(AF36*(1-AF38)))</f>
        <v>1545.5938368665354</v>
      </c>
      <c r="AG76" s="481">
        <f>(AG79*1000)/(AG74+(AG36*(1-AG38)))*(AK$3/AG$3)</f>
        <v>1711.7492934029308</v>
      </c>
      <c r="AH76" s="481">
        <f>(AH79*1000)/(AH74+(AH36*(1-AH38)))*(AK$3/AH$3)</f>
        <v>1540.3812175526243</v>
      </c>
      <c r="AI76" s="481">
        <f>(AI79*1000)/(AI74+(AI36*(1-AI38)))*(AK$3/AI$3)</f>
        <v>1636.5065484524825</v>
      </c>
      <c r="AJ76" s="481">
        <f>(AJ79*1000)/(AJ74+(AJ36*(1-AJ38)))*(AK$3/AJ$3)</f>
        <v>1583.6313529117417</v>
      </c>
      <c r="AK76" s="1346">
        <f>(AK79*1000)/(AK74+(AK36*(1-AK38)))</f>
        <v>1616.8349828868697</v>
      </c>
      <c r="AL76" s="481">
        <f>(AL79*1000)/(AL74+(AL36*(1-AL38)))*(AP$3/AL$3)</f>
        <v>1681.8225549491317</v>
      </c>
      <c r="AM76" s="481">
        <f>(AM79*1000)/(AM74+(AM36*(1-AM38)))*(AP$3/AM$3)</f>
        <v>1632.7611140243671</v>
      </c>
      <c r="AN76" s="481">
        <f>(AN79*1000)/(AN74+(AN36*(1-AN38)))*(AP$3/AN$3)</f>
        <v>1665.7244433424823</v>
      </c>
      <c r="AO76" s="481">
        <f>(AO79*1000)/(AO74+(AO36*(1-AO38)))*(AP$3/AO$3)</f>
        <v>1393.2811447388153</v>
      </c>
      <c r="AP76" s="1346">
        <f>(AP79*1000)/(AP74+(AP36*(1-AP38)))</f>
        <v>1590.0581302495134</v>
      </c>
      <c r="AQ76" s="481">
        <f>(AQ79*1000)/(AQ74+(AQ36*(1-AQ38)))*(AU$3/AQ$3)</f>
        <v>1749.6994776252768</v>
      </c>
      <c r="AR76" s="481">
        <f>(AR79*1000)/(AR74+(AR36*(1-AR38)))*(AU$3/AR$3)</f>
        <v>1526.3892738278428</v>
      </c>
      <c r="AS76" s="481">
        <f>(AS79*1000)/(AS74+(AS36*(1-AS38)))*(AU$3/AS$3)</f>
        <v>1621.5668731672595</v>
      </c>
      <c r="AT76" s="481">
        <f>(AT79*1000)/(AT74+(AT36*(1-AT38)))*(AU$3/AT$3)</f>
        <v>1407.2407939612817</v>
      </c>
      <c r="AU76" s="1346">
        <f>(AU79*1000)/(AU74+(AU36*(1-AU38)))</f>
        <v>1573.3346559794761</v>
      </c>
      <c r="AV76" s="481">
        <f>(AV79*1000)/(AV74+(AV36*(1-AV38)))*(AZ$3/AV$3)</f>
        <v>1727.5381265400383</v>
      </c>
      <c r="AW76" s="481">
        <f>(AW79*1000)/(AW74+(AW36*(1-AW38)))*(AZ$3/AW$3)</f>
        <v>1629.3152362909132</v>
      </c>
      <c r="AX76" s="481">
        <f>(AX79*1000)/(AX74+(AX36*(1-AX38)))*(AZ$3/AX$3)</f>
        <v>1779.2982802880615</v>
      </c>
      <c r="AY76" s="481">
        <f>(AY79*1000)/(AY74+(AY36*(1-AY38)))*(AZ$3/AY$3)</f>
        <v>1610.6649070532317</v>
      </c>
      <c r="AZ76" s="1346">
        <f>(AZ79*1000)/(AZ74+(AZ36*(1-AZ38)))</f>
        <v>1686.197432335246</v>
      </c>
      <c r="BA76" s="481">
        <f>(BA79*1000)/(BA74+(BA36*(1-BA38)))*(BE$3/BA$3)</f>
        <v>2033.1651129355082</v>
      </c>
      <c r="BB76" s="481">
        <f>(BB79*1000)/(BB74+(BB36*(1-BB38)))*(BE$3/BB$3)</f>
        <v>1740.7418559220305</v>
      </c>
      <c r="BC76" s="481">
        <f>(BC79*1000)/(BC74+(BC36*(1-BC38)))*(BE$3/BC$3)</f>
        <v>1963.6829132954344</v>
      </c>
      <c r="BD76" s="481">
        <f>(BD79*1000)/(BD74+(BD36*(1-BD38)))*(BE$3/BD$3)</f>
        <v>1833.4000703157431</v>
      </c>
      <c r="BE76" s="1346">
        <f>(BE79*1000)/(BE74+(BE36*(1-BE38)))</f>
        <v>1890.8754401954061</v>
      </c>
      <c r="BF76" s="481">
        <f>(BF79*1000)/(BF74+(BF36*(1-BF38)))*(BJ$3/BF$3)</f>
        <v>2236.5545951075719</v>
      </c>
      <c r="BG76" s="481">
        <f>(BG79*1000)/(BG74+(BG36*(1-BG38)))*(BJ$3/BG$3)</f>
        <v>2056.0633158381147</v>
      </c>
      <c r="BH76" s="814">
        <f>(BH79*1000)/(BH74+(BH36*(1-BH38)))*(BJ$3/BH$3)</f>
        <v>2258.4963942231784</v>
      </c>
      <c r="BI76" s="482">
        <f>BD76*(1+BI77)</f>
        <v>1925.0700738315302</v>
      </c>
      <c r="BJ76" s="1347">
        <f>(BJ79*1000)/(BJ74+(BJ36*(1-BJ38)))</f>
        <v>2114.7948577182888</v>
      </c>
      <c r="BK76" s="482">
        <f>BF76*(1+BK77)</f>
        <v>2348.3823248629506</v>
      </c>
      <c r="BL76" s="482">
        <f>BG76*(1+BL77)</f>
        <v>2158.8664816300206</v>
      </c>
      <c r="BM76" s="482">
        <f>BH76*(1+BM77)</f>
        <v>2371.4212139343376</v>
      </c>
      <c r="BN76" s="482">
        <f>BI76*(1+BN77)</f>
        <v>2021.3235775231067</v>
      </c>
      <c r="BO76" s="1347">
        <f>(BO79*1000)/(BO74+(BO36*(1-BO38)))</f>
        <v>2222.596035430407</v>
      </c>
      <c r="BP76" s="1345">
        <f>BO76*(1+BP77)</f>
        <v>2267.0479561390152</v>
      </c>
      <c r="BQ76" s="1345">
        <f>BP76*(1+BQ77)</f>
        <v>2312.3889152617958</v>
      </c>
      <c r="BR76" s="1347">
        <f>BQ76*(1+BR77)</f>
        <v>2358.6366935670317</v>
      </c>
      <c r="BS76" s="648"/>
    </row>
    <row r="77" spans="1:71" s="669" customFormat="1" ht="15" hidden="1" outlineLevel="2">
      <c r="A77" s="107" t="s">
        <v>628</v>
      </c>
      <c r="B77" s="108"/>
      <c r="C77" s="1325"/>
      <c r="D77" s="1325"/>
      <c r="E77" s="1325">
        <f>E76/D76-1</f>
        <v>-0.011059976310797359</v>
      </c>
      <c r="F77" s="1325">
        <f>F76/E76-1</f>
        <v>0.030487173972229664</v>
      </c>
      <c r="G77" s="1325">
        <f>G76/F76-1</f>
        <v>0.032359050054197702</v>
      </c>
      <c r="H77" s="726"/>
      <c r="I77" s="726"/>
      <c r="J77" s="726"/>
      <c r="K77" s="726"/>
      <c r="L77" s="1325">
        <f t="shared" si="180" ref="L77:AU77">L76/G76-1</f>
        <v>0.057956232246568096</v>
      </c>
      <c r="M77" s="726">
        <f t="shared" si="180"/>
        <v>0.077483325905752798</v>
      </c>
      <c r="N77" s="726">
        <f t="shared" si="180"/>
        <v>0.064141928679182891</v>
      </c>
      <c r="O77" s="726">
        <f t="shared" si="180"/>
        <v>0.07204798231925591</v>
      </c>
      <c r="P77" s="726">
        <f t="shared" si="180"/>
        <v>-0.025395721407305838</v>
      </c>
      <c r="Q77" s="1325">
        <f t="shared" si="180"/>
        <v>0.046857638690088521</v>
      </c>
      <c r="R77" s="726">
        <f t="shared" si="180"/>
        <v>0.053713849566646044</v>
      </c>
      <c r="S77" s="726">
        <f t="shared" si="180"/>
        <v>0.066740336833435832</v>
      </c>
      <c r="T77" s="726">
        <f t="shared" si="180"/>
        <v>0.044171313133637202</v>
      </c>
      <c r="U77" s="726">
        <f t="shared" si="180"/>
        <v>0.079812160242739072</v>
      </c>
      <c r="V77" s="1325">
        <f t="shared" si="180"/>
        <v>0.060634761383989488</v>
      </c>
      <c r="W77" s="726">
        <f t="shared" si="180"/>
        <v>0.05939264435006697</v>
      </c>
      <c r="X77" s="726">
        <f t="shared" si="180"/>
        <v>0.064578937096000155</v>
      </c>
      <c r="Y77" s="726">
        <f t="shared" si="180"/>
        <v>0.091292725800073526</v>
      </c>
      <c r="Z77" s="726">
        <f t="shared" si="180"/>
        <v>0.10053261517645917</v>
      </c>
      <c r="AA77" s="1325">
        <f t="shared" si="180"/>
        <v>0.07845318304440374</v>
      </c>
      <c r="AB77" s="726">
        <f t="shared" si="180"/>
        <v>0.1062976723029887</v>
      </c>
      <c r="AC77" s="726">
        <f t="shared" si="180"/>
        <v>0.092180216929273362</v>
      </c>
      <c r="AD77" s="726">
        <f t="shared" si="180"/>
        <v>0.078055101187445075</v>
      </c>
      <c r="AE77" s="726">
        <f t="shared" si="180"/>
        <v>0.057443567291392661</v>
      </c>
      <c r="AF77" s="1325">
        <f t="shared" si="180"/>
        <v>0.083105502995766356</v>
      </c>
      <c r="AG77" s="726">
        <f t="shared" si="180"/>
        <v>0.036813816808628053</v>
      </c>
      <c r="AH77" s="726">
        <f t="shared" si="180"/>
        <v>0.020721239448155737</v>
      </c>
      <c r="AI77" s="726">
        <f t="shared" si="180"/>
        <v>0.022037431113066885</v>
      </c>
      <c r="AJ77" s="726">
        <f t="shared" si="180"/>
        <v>0.10669030301869742</v>
      </c>
      <c r="AK77" s="1325">
        <f t="shared" si="180"/>
        <v>0.046093057775621782</v>
      </c>
      <c r="AL77" s="726">
        <f t="shared" si="180"/>
        <v>-0.017483131770018256</v>
      </c>
      <c r="AM77" s="726">
        <f t="shared" si="180"/>
        <v>0.059972100035416531</v>
      </c>
      <c r="AN77" s="726">
        <f t="shared" si="180"/>
        <v>0.017853820944150112</v>
      </c>
      <c r="AO77" s="726">
        <f t="shared" si="180"/>
        <v>-0.12019855998868623</v>
      </c>
      <c r="AP77" s="1325">
        <f t="shared" si="180"/>
        <v>-0.01656127738499702</v>
      </c>
      <c r="AQ77" s="726">
        <f t="shared" si="180"/>
        <v>0.040359146377483501</v>
      </c>
      <c r="AR77" s="726">
        <f t="shared" si="180"/>
        <v>-0.065148440444140143</v>
      </c>
      <c r="AS77" s="726">
        <f t="shared" si="180"/>
        <v>-0.026509528842967089</v>
      </c>
      <c r="AT77" s="726">
        <f t="shared" si="180"/>
        <v>0.010019262282547681</v>
      </c>
      <c r="AU77" s="1325">
        <f t="shared" si="180"/>
        <v>-0.0105175238262597</v>
      </c>
      <c r="AV77" s="726">
        <f t="shared" si="181" ref="AV77:BA77">AV76/AQ76-1</f>
        <v>-0.01266580425303454</v>
      </c>
      <c r="AW77" s="726">
        <f t="shared" si="181"/>
        <v>0.067431004808462092</v>
      </c>
      <c r="AX77" s="726">
        <f t="shared" si="181"/>
        <v>0.097270985076748362</v>
      </c>
      <c r="AY77" s="726">
        <f t="shared" si="181"/>
        <v>0.14455529854228133</v>
      </c>
      <c r="AZ77" s="1325">
        <f t="shared" si="181"/>
        <v>0.0717347551754699</v>
      </c>
      <c r="BA77" s="726">
        <f t="shared" si="181"/>
        <v>0.17691475614931185</v>
      </c>
      <c r="BB77" s="726">
        <f t="shared" si="182" ref="BB77:BG77">BB76/AW76-1</f>
        <v>0.068388619433018105</v>
      </c>
      <c r="BC77" s="726">
        <f t="shared" si="182"/>
        <v>0.10362772507008877</v>
      </c>
      <c r="BD77" s="726">
        <f t="shared" si="182"/>
        <v>0.13828771104848436</v>
      </c>
      <c r="BE77" s="1325">
        <f t="shared" si="182"/>
        <v>0.12138436694017352</v>
      </c>
      <c r="BF77" s="726">
        <f t="shared" si="182"/>
        <v>0.10003589028655302</v>
      </c>
      <c r="BG77" s="726">
        <f t="shared" si="182"/>
        <v>0.18114199922484531</v>
      </c>
      <c r="BH77" s="808">
        <f>BH76/BC76-1</f>
        <v>0.1501329358888146</v>
      </c>
      <c r="BI77" s="1215">
        <v>0.05</v>
      </c>
      <c r="BJ77" s="1326">
        <f>BJ76/BE76-1</f>
        <v>0.11842103015508121</v>
      </c>
      <c r="BK77" s="1215">
        <v>0.05</v>
      </c>
      <c r="BL77" s="1215">
        <v>0.05</v>
      </c>
      <c r="BM77" s="1215">
        <v>0.05</v>
      </c>
      <c r="BN77" s="1215">
        <v>0.05</v>
      </c>
      <c r="BO77" s="1326">
        <f>BO76/BJ76-1</f>
        <v>0.050974768223348121</v>
      </c>
      <c r="BP77" s="1341">
        <v>0.02</v>
      </c>
      <c r="BQ77" s="1341">
        <v>0.02</v>
      </c>
      <c r="BR77" s="1342">
        <v>0.02</v>
      </c>
      <c r="BS77" s="648"/>
    </row>
    <row r="78" spans="1:71" s="669" customFormat="1" ht="7.5" customHeight="1" hidden="1" outlineLevel="2">
      <c r="A78" s="107"/>
      <c r="B78" s="108"/>
      <c r="C78" s="1325"/>
      <c r="D78" s="1325"/>
      <c r="E78" s="1325"/>
      <c r="F78" s="1325"/>
      <c r="G78" s="1325"/>
      <c r="H78" s="726"/>
      <c r="I78" s="726"/>
      <c r="J78" s="726"/>
      <c r="K78" s="726"/>
      <c r="L78" s="1325"/>
      <c r="M78" s="726"/>
      <c r="N78" s="726"/>
      <c r="O78" s="726"/>
      <c r="P78" s="726"/>
      <c r="Q78" s="1325"/>
      <c r="R78" s="726"/>
      <c r="S78" s="726"/>
      <c r="T78" s="726"/>
      <c r="U78" s="726"/>
      <c r="V78" s="1325"/>
      <c r="W78" s="726"/>
      <c r="X78" s="726"/>
      <c r="Y78" s="726"/>
      <c r="Z78" s="726"/>
      <c r="AA78" s="1325"/>
      <c r="AB78" s="726"/>
      <c r="AC78" s="726"/>
      <c r="AD78" s="726"/>
      <c r="AE78" s="726"/>
      <c r="AF78" s="1325"/>
      <c r="AG78" s="726"/>
      <c r="AH78" s="726"/>
      <c r="AI78" s="726"/>
      <c r="AJ78" s="726"/>
      <c r="AK78" s="1325"/>
      <c r="AL78" s="726"/>
      <c r="AM78" s="726"/>
      <c r="AN78" s="726"/>
      <c r="AO78" s="726"/>
      <c r="AP78" s="1325"/>
      <c r="AQ78" s="726"/>
      <c r="AR78" s="726"/>
      <c r="AS78" s="726"/>
      <c r="AT78" s="726"/>
      <c r="AU78" s="1325"/>
      <c r="AV78" s="726"/>
      <c r="AW78" s="726"/>
      <c r="AX78" s="726"/>
      <c r="AY78" s="726"/>
      <c r="AZ78" s="1325"/>
      <c r="BA78" s="726"/>
      <c r="BB78" s="726"/>
      <c r="BC78" s="726"/>
      <c r="BD78" s="726"/>
      <c r="BE78" s="1325"/>
      <c r="BF78" s="726"/>
      <c r="BG78" s="726"/>
      <c r="BH78" s="808"/>
      <c r="BI78" s="98"/>
      <c r="BJ78" s="1326"/>
      <c r="BK78" s="98"/>
      <c r="BL78" s="98"/>
      <c r="BM78" s="98"/>
      <c r="BN78" s="98"/>
      <c r="BO78" s="1326"/>
      <c r="BP78" s="1325"/>
      <c r="BQ78" s="1325"/>
      <c r="BR78" s="1326"/>
      <c r="BS78" s="648"/>
    </row>
    <row r="79" spans="1:71" s="668" customFormat="1" ht="15" hidden="1" outlineLevel="2">
      <c r="A79" s="25" t="s">
        <v>605</v>
      </c>
      <c r="B79" s="394"/>
      <c r="C79" s="1320">
        <f t="shared" si="183" ref="C79:AU79">C215</f>
        <v>5061.8999999999996</v>
      </c>
      <c r="D79" s="1320">
        <f t="shared" si="183"/>
        <v>5534.20</v>
      </c>
      <c r="E79" s="1320">
        <f t="shared" si="183"/>
        <v>5906.40</v>
      </c>
      <c r="F79" s="1320">
        <f t="shared" si="183"/>
        <v>6389.80</v>
      </c>
      <c r="G79" s="1320">
        <f t="shared" si="183"/>
        <v>6866.60</v>
      </c>
      <c r="H79" s="1021">
        <f t="shared" si="183"/>
        <v>1926.60</v>
      </c>
      <c r="I79" s="1021">
        <f t="shared" si="183"/>
        <v>1828.90</v>
      </c>
      <c r="J79" s="1021">
        <f t="shared" si="183"/>
        <v>1984.40</v>
      </c>
      <c r="K79" s="1021">
        <f t="shared" si="183"/>
        <v>1916.50</v>
      </c>
      <c r="L79" s="1320">
        <f t="shared" si="183"/>
        <v>7656.40</v>
      </c>
      <c r="M79" s="1021">
        <f t="shared" si="183"/>
        <v>2179.60</v>
      </c>
      <c r="N79" s="1021">
        <f t="shared" si="183"/>
        <v>2049.40</v>
      </c>
      <c r="O79" s="1021">
        <f t="shared" si="183"/>
        <v>2252.90</v>
      </c>
      <c r="P79" s="1021">
        <f t="shared" si="183"/>
        <v>1991.6000000000004</v>
      </c>
      <c r="Q79" s="1320">
        <f t="shared" si="183"/>
        <v>8473.50</v>
      </c>
      <c r="R79" s="1021">
        <f t="shared" si="183"/>
        <v>2490.1999999999998</v>
      </c>
      <c r="S79" s="1021">
        <f t="shared" si="183"/>
        <v>2365.60</v>
      </c>
      <c r="T79" s="1021">
        <f t="shared" si="183"/>
        <v>2545.8000000000002</v>
      </c>
      <c r="U79" s="1021">
        <f t="shared" si="183"/>
        <v>2310.3000000000002</v>
      </c>
      <c r="V79" s="1320">
        <f t="shared" si="183"/>
        <v>9711.90</v>
      </c>
      <c r="W79" s="1021">
        <f t="shared" si="183"/>
        <v>2792.60</v>
      </c>
      <c r="X79" s="1021">
        <f t="shared" si="183"/>
        <v>2681.70</v>
      </c>
      <c r="Y79" s="1021">
        <f t="shared" si="183"/>
        <v>2987.20</v>
      </c>
      <c r="Z79" s="1021">
        <f t="shared" si="183"/>
        <v>2781.50</v>
      </c>
      <c r="AA79" s="1320">
        <f t="shared" si="183"/>
        <v>11243</v>
      </c>
      <c r="AB79" s="1021">
        <f t="shared" si="183"/>
        <v>3409.50</v>
      </c>
      <c r="AC79" s="1021">
        <f t="shared" si="183"/>
        <v>3268.30</v>
      </c>
      <c r="AD79" s="1021">
        <f t="shared" si="183"/>
        <v>3618.20</v>
      </c>
      <c r="AE79" s="1021">
        <f t="shared" si="183"/>
        <v>3299.2999999999993</v>
      </c>
      <c r="AF79" s="1320">
        <f t="shared" si="183"/>
        <v>13595.299999999999</v>
      </c>
      <c r="AG79" s="1021">
        <f t="shared" si="183"/>
        <v>3956.10</v>
      </c>
      <c r="AH79" s="1021">
        <f t="shared" si="183"/>
        <v>3709.80</v>
      </c>
      <c r="AI79" s="1021">
        <f t="shared" si="183"/>
        <v>4080.20</v>
      </c>
      <c r="AJ79" s="1021">
        <f t="shared" si="183"/>
        <v>4019.6000000000022</v>
      </c>
      <c r="AK79" s="1320">
        <f t="shared" si="183"/>
        <v>15765.700000000001</v>
      </c>
      <c r="AL79" s="1021">
        <f t="shared" si="183"/>
        <v>4297.3999999999996</v>
      </c>
      <c r="AM79" s="1021">
        <f t="shared" si="183"/>
        <v>4326.8000000000011</v>
      </c>
      <c r="AN79" s="1021">
        <f t="shared" si="183"/>
        <v>4633</v>
      </c>
      <c r="AO79" s="1021">
        <f t="shared" si="183"/>
        <v>3951.5999999999985</v>
      </c>
      <c r="AP79" s="1320">
        <f t="shared" si="183"/>
        <v>17208.80</v>
      </c>
      <c r="AQ79" s="1021">
        <f t="shared" si="183"/>
        <v>5002.70</v>
      </c>
      <c r="AR79" s="1021">
        <f t="shared" si="183"/>
        <v>4574.0999999999995</v>
      </c>
      <c r="AS79" s="1021">
        <f t="shared" si="183"/>
        <v>4994.8999999999996</v>
      </c>
      <c r="AT79" s="1021">
        <f t="shared" si="183"/>
        <v>4339.2000000000025</v>
      </c>
      <c r="AU79" s="1320">
        <f t="shared" si="183"/>
        <v>18910.900000000001</v>
      </c>
      <c r="AV79" s="1021">
        <f t="shared" si="184" ref="AV79:BA79">AV215</f>
        <v>5202.50</v>
      </c>
      <c r="AW79" s="1021">
        <f t="shared" si="184"/>
        <v>4978.8999999999996</v>
      </c>
      <c r="AX79" s="1021">
        <f t="shared" si="184"/>
        <v>5584.10</v>
      </c>
      <c r="AY79" s="1021">
        <f t="shared" si="184"/>
        <v>5178.7999999999993</v>
      </c>
      <c r="AZ79" s="1320">
        <f t="shared" si="184"/>
        <v>20944.299999999999</v>
      </c>
      <c r="BA79" s="1021">
        <f t="shared" si="184"/>
        <v>6698.80</v>
      </c>
      <c r="BB79" s="1021">
        <f t="shared" si="185" ref="BB79:BG79">BB215</f>
        <v>6066.40</v>
      </c>
      <c r="BC79" s="1021">
        <f t="shared" si="185"/>
        <v>6997.30</v>
      </c>
      <c r="BD79" s="1021">
        <f t="shared" si="185"/>
        <v>6540.5999999999985</v>
      </c>
      <c r="BE79" s="1320">
        <f t="shared" si="185"/>
        <v>26303.099999999999</v>
      </c>
      <c r="BF79" s="1021">
        <f t="shared" si="185"/>
        <v>8082.10</v>
      </c>
      <c r="BG79" s="1021">
        <f t="shared" si="185"/>
        <v>7828.10</v>
      </c>
      <c r="BH79" s="1022">
        <f>BH215</f>
        <v>9184.9999999999982</v>
      </c>
      <c r="BI79" s="1023">
        <f>BI76*(BI74+(BI36*(1-BI38)))/1000*(BI$3/BJ$3)</f>
        <v>8125.4376385494061</v>
      </c>
      <c r="BJ79" s="1321">
        <f>SUM(BF79,BG79,BH79,BI79)</f>
        <v>33220.6376385494</v>
      </c>
      <c r="BK79" s="1023">
        <f>BK76*(BK74+(BK36*(1-BK38)))/1000*(BK$3/BO$3)</f>
        <v>9917.7257904634207</v>
      </c>
      <c r="BL79" s="1023">
        <f>BL76*(BL74+(BL36*(1-BL38)))/1000*(BL$3/BO$3)</f>
        <v>9403.036713305477</v>
      </c>
      <c r="BM79" s="1023">
        <f>BM76*(BM74+(BM36*(1-BM38)))/1000*(BM$3/BO$3)</f>
        <v>10651.178319412535</v>
      </c>
      <c r="BN79" s="1023">
        <f>BN76*(BN74+(BN36*(1-BN38)))/1000*(BN$3/BO$3)</f>
        <v>9260.298125741645</v>
      </c>
      <c r="BO79" s="1321">
        <f>SUM(BK79,BL79,BM79,BN79)</f>
        <v>39232.238948923077</v>
      </c>
      <c r="BP79" s="1322">
        <f>BP76*(BP74+(BP36*(1-BP38)))/1000*(BP$3/BP$3)</f>
        <v>42029.579283100778</v>
      </c>
      <c r="BQ79" s="1322">
        <f>BQ76*(BQ74+(BQ36*(1-BQ38)))/1000*(BQ$3/BQ$3)</f>
        <v>43727.574286138057</v>
      </c>
      <c r="BR79" s="1321">
        <f>BR76*(BR74+(BR36*(1-BR38)))/1000*(BR$3/BR$3)</f>
        <v>45494.168287298024</v>
      </c>
      <c r="BS79" s="648"/>
    </row>
    <row r="80" spans="1:71" s="669" customFormat="1" ht="15" hidden="1" outlineLevel="2">
      <c r="A80" s="107" t="s">
        <v>606</v>
      </c>
      <c r="B80" s="108"/>
      <c r="C80" s="1325"/>
      <c r="D80" s="1325"/>
      <c r="E80" s="1325"/>
      <c r="F80" s="1325"/>
      <c r="G80" s="1325"/>
      <c r="H80" s="726"/>
      <c r="I80" s="726"/>
      <c r="J80" s="726"/>
      <c r="K80" s="726"/>
      <c r="L80" s="1325"/>
      <c r="M80" s="726"/>
      <c r="N80" s="726"/>
      <c r="O80" s="726"/>
      <c r="P80" s="726"/>
      <c r="Q80" s="1325"/>
      <c r="R80" s="726"/>
      <c r="S80" s="725">
        <f t="shared" si="186" ref="S80:AU80">S79/N79-1</f>
        <v>0.15428906021274513</v>
      </c>
      <c r="T80" s="725">
        <f t="shared" si="186"/>
        <v>0.13001020906387328</v>
      </c>
      <c r="U80" s="725">
        <f t="shared" si="186"/>
        <v>0.16002209278971669</v>
      </c>
      <c r="V80" s="1327">
        <f t="shared" si="186"/>
        <v>0.14614976101964938</v>
      </c>
      <c r="W80" s="725">
        <f t="shared" si="186"/>
        <v>0.12143602923459973</v>
      </c>
      <c r="X80" s="725">
        <f t="shared" si="186"/>
        <v>0.13362360500507275</v>
      </c>
      <c r="Y80" s="725">
        <f t="shared" si="186"/>
        <v>0.17338361222405507</v>
      </c>
      <c r="Z80" s="725">
        <f t="shared" si="186"/>
        <v>0.20395619616500005</v>
      </c>
      <c r="AA80" s="1327">
        <f t="shared" si="186"/>
        <v>0.15765195275898636</v>
      </c>
      <c r="AB80" s="725">
        <f t="shared" si="186"/>
        <v>0.22090524958819735</v>
      </c>
      <c r="AC80" s="725">
        <f t="shared" si="186"/>
        <v>0.21874184286087206</v>
      </c>
      <c r="AD80" s="725">
        <f t="shared" si="186"/>
        <v>0.21123460096411351</v>
      </c>
      <c r="AE80" s="725">
        <f t="shared" si="186"/>
        <v>0.18615854754628769</v>
      </c>
      <c r="AF80" s="1327">
        <f t="shared" si="186"/>
        <v>0.2092235168549319</v>
      </c>
      <c r="AG80" s="725">
        <f t="shared" si="186"/>
        <v>0.16031676198856126</v>
      </c>
      <c r="AH80" s="725">
        <f t="shared" si="186"/>
        <v>0.13508551846525707</v>
      </c>
      <c r="AI80" s="725">
        <f t="shared" si="186"/>
        <v>0.12768780056381623</v>
      </c>
      <c r="AJ80" s="725">
        <f t="shared" si="186"/>
        <v>0.21831903737156466</v>
      </c>
      <c r="AK80" s="1327">
        <f t="shared" si="186"/>
        <v>0.15964340617713479</v>
      </c>
      <c r="AL80" s="725">
        <f t="shared" si="186"/>
        <v>0.086271833371249329</v>
      </c>
      <c r="AM80" s="725">
        <f t="shared" si="186"/>
        <v>0.16631624346325968</v>
      </c>
      <c r="AN80" s="725">
        <f t="shared" si="186"/>
        <v>0.13548355472770957</v>
      </c>
      <c r="AO80" s="725">
        <f t="shared" si="186"/>
        <v>-0.016917106179720309</v>
      </c>
      <c r="AP80" s="1327">
        <f t="shared" si="186"/>
        <v>0.091534153256753514</v>
      </c>
      <c r="AQ80" s="725">
        <f t="shared" si="186"/>
        <v>0.16412249266998646</v>
      </c>
      <c r="AR80" s="725">
        <f t="shared" si="186"/>
        <v>0.057155403531477855</v>
      </c>
      <c r="AS80" s="725">
        <f t="shared" si="186"/>
        <v>0.078113533347722752</v>
      </c>
      <c r="AT80" s="725">
        <f t="shared" si="186"/>
        <v>0.098086850895840794</v>
      </c>
      <c r="AU80" s="1327">
        <f t="shared" si="186"/>
        <v>0.098908697875505602</v>
      </c>
      <c r="AV80" s="725">
        <f t="shared" si="187" ref="AV80:AZ80">AV79/AQ79-1</f>
        <v>0.039938433246047067</v>
      </c>
      <c r="AW80" s="725">
        <f t="shared" si="187"/>
        <v>0.088498283815395373</v>
      </c>
      <c r="AX80" s="725">
        <f t="shared" si="187"/>
        <v>0.11796031952591668</v>
      </c>
      <c r="AY80" s="725">
        <f t="shared" si="187"/>
        <v>0.19349188790560379</v>
      </c>
      <c r="AZ80" s="1327">
        <f t="shared" si="187"/>
        <v>0.1075252896477692</v>
      </c>
      <c r="BA80" s="725">
        <f t="shared" si="188" ref="BA80:BO80">BA79/AV79-1</f>
        <v>0.28761172513214794</v>
      </c>
      <c r="BB80" s="725">
        <f t="shared" si="188"/>
        <v>0.21842173974171009</v>
      </c>
      <c r="BC80" s="725">
        <f t="shared" si="188"/>
        <v>0.25307569706846222</v>
      </c>
      <c r="BD80" s="725">
        <f t="shared" si="188"/>
        <v>0.26295666949872554</v>
      </c>
      <c r="BE80" s="1327">
        <f t="shared" si="188"/>
        <v>0.25585958948257992</v>
      </c>
      <c r="BF80" s="725">
        <f>BF79/BA79-1</f>
        <v>0.20649967158297011</v>
      </c>
      <c r="BG80" s="725">
        <f>BG79/BB79-1</f>
        <v>0.29040287485164207</v>
      </c>
      <c r="BH80" s="809">
        <f>BH79/BC79-1</f>
        <v>0.31264916467780401</v>
      </c>
      <c r="BI80" s="98">
        <f t="shared" si="188"/>
        <v>0.24230768408852521</v>
      </c>
      <c r="BJ80" s="1326">
        <f t="shared" si="188"/>
        <v>0.26299324560790938</v>
      </c>
      <c r="BK80" s="98">
        <f t="shared" si="188"/>
        <v>0.22712238037928523</v>
      </c>
      <c r="BL80" s="98">
        <f t="shared" si="188"/>
        <v>0.20119016278604973</v>
      </c>
      <c r="BM80" s="98">
        <f t="shared" si="188"/>
        <v>0.15962747081247008</v>
      </c>
      <c r="BN80" s="98">
        <f t="shared" si="188"/>
        <v>0.13966761393972615</v>
      </c>
      <c r="BO80" s="1326">
        <f t="shared" si="188"/>
        <v>0.18095984116204278</v>
      </c>
      <c r="BP80" s="1325">
        <f>BP79/BO79-1</f>
        <v>0.071302082397580957</v>
      </c>
      <c r="BQ80" s="1325">
        <f>BQ79/BP79-1</f>
        <v>0.040400000000000214</v>
      </c>
      <c r="BR80" s="1326">
        <f>BR79/BQ79-1</f>
        <v>0.040399999999999769</v>
      </c>
      <c r="BS80" s="648"/>
    </row>
    <row r="81" spans="1:71" s="669" customFormat="1" ht="7.5" customHeight="1" hidden="1" outlineLevel="2">
      <c r="A81" s="107"/>
      <c r="B81" s="108"/>
      <c r="C81" s="1325"/>
      <c r="D81" s="1325"/>
      <c r="E81" s="1325"/>
      <c r="F81" s="1325"/>
      <c r="G81" s="1325"/>
      <c r="H81" s="726"/>
      <c r="I81" s="726"/>
      <c r="J81" s="726"/>
      <c r="K81" s="726"/>
      <c r="L81" s="1325"/>
      <c r="M81" s="726"/>
      <c r="N81" s="726"/>
      <c r="O81" s="726"/>
      <c r="P81" s="726"/>
      <c r="Q81" s="1325"/>
      <c r="R81" s="726"/>
      <c r="S81" s="726"/>
      <c r="T81" s="726"/>
      <c r="U81" s="726"/>
      <c r="V81" s="1325"/>
      <c r="W81" s="726"/>
      <c r="X81" s="726"/>
      <c r="Y81" s="726"/>
      <c r="Z81" s="726"/>
      <c r="AA81" s="1325"/>
      <c r="AB81" s="726"/>
      <c r="AC81" s="726"/>
      <c r="AD81" s="726"/>
      <c r="AE81" s="726"/>
      <c r="AF81" s="1325"/>
      <c r="AG81" s="726"/>
      <c r="AH81" s="726"/>
      <c r="AI81" s="726"/>
      <c r="AJ81" s="726"/>
      <c r="AK81" s="1325"/>
      <c r="AL81" s="726"/>
      <c r="AM81" s="726"/>
      <c r="AN81" s="726"/>
      <c r="AO81" s="726"/>
      <c r="AP81" s="1325"/>
      <c r="AQ81" s="726"/>
      <c r="AR81" s="726"/>
      <c r="AS81" s="726"/>
      <c r="AT81" s="726"/>
      <c r="AU81" s="1325"/>
      <c r="AV81" s="726"/>
      <c r="AW81" s="726"/>
      <c r="AX81" s="726"/>
      <c r="AY81" s="726"/>
      <c r="AZ81" s="1325"/>
      <c r="BA81" s="726"/>
      <c r="BB81" s="726"/>
      <c r="BC81" s="726"/>
      <c r="BD81" s="726"/>
      <c r="BE81" s="1325"/>
      <c r="BF81" s="726"/>
      <c r="BG81" s="726"/>
      <c r="BH81" s="808"/>
      <c r="BI81" s="98"/>
      <c r="BJ81" s="1326"/>
      <c r="BK81" s="98"/>
      <c r="BL81" s="98"/>
      <c r="BM81" s="98"/>
      <c r="BN81" s="98"/>
      <c r="BO81" s="1326"/>
      <c r="BP81" s="1325"/>
      <c r="BQ81" s="1325"/>
      <c r="BR81" s="1326"/>
      <c r="BS81" s="648"/>
    </row>
    <row r="82" spans="1:71" s="676" customFormat="1" ht="15" hidden="1" outlineLevel="2">
      <c r="A82" s="925" t="s">
        <v>607</v>
      </c>
      <c r="B82" s="396"/>
      <c r="C82" s="1339">
        <f t="shared" si="189" ref="C82:AU82">C84/C79</f>
        <v>0.97811098599340185</v>
      </c>
      <c r="D82" s="1339">
        <f>D84/D79</f>
        <v>0.97705178706949514</v>
      </c>
      <c r="E82" s="1339">
        <f t="shared" si="189"/>
        <v>0.9826120818095625</v>
      </c>
      <c r="F82" s="1339">
        <f t="shared" si="189"/>
        <v>0.98034367272841083</v>
      </c>
      <c r="G82" s="1339">
        <f t="shared" si="189"/>
        <v>0.98157749104360237</v>
      </c>
      <c r="H82" s="381">
        <f t="shared" si="189"/>
        <v>0.91466832762379324</v>
      </c>
      <c r="I82" s="381">
        <f t="shared" si="189"/>
        <v>0.99732079391984252</v>
      </c>
      <c r="J82" s="381">
        <f t="shared" si="189"/>
        <v>0.93171739568635359</v>
      </c>
      <c r="K82" s="381">
        <f t="shared" si="189"/>
        <v>1.0638664231672317</v>
      </c>
      <c r="L82" s="1339">
        <f t="shared" si="189"/>
        <v>0.97617679327098905</v>
      </c>
      <c r="M82" s="381">
        <f t="shared" si="189"/>
        <v>0.89713708937419723</v>
      </c>
      <c r="N82" s="381">
        <f t="shared" si="189"/>
        <v>0.99141212062066941</v>
      </c>
      <c r="O82" s="381">
        <f t="shared" si="189"/>
        <v>0.91859381241954807</v>
      </c>
      <c r="P82" s="381">
        <f t="shared" si="189"/>
        <v>1.069090178750753</v>
      </c>
      <c r="Q82" s="1339">
        <f t="shared" si="189"/>
        <v>0.96605888947896379</v>
      </c>
      <c r="R82" s="381">
        <f t="shared" si="189"/>
        <v>0.89177576098305356</v>
      </c>
      <c r="S82" s="381">
        <f t="shared" si="189"/>
        <v>0.98698004734528244</v>
      </c>
      <c r="T82" s="381">
        <f t="shared" si="189"/>
        <v>0.93927252729986632</v>
      </c>
      <c r="U82" s="381">
        <f t="shared" si="189"/>
        <v>1.0603817686014803</v>
      </c>
      <c r="V82" s="1339">
        <f t="shared" si="189"/>
        <v>0.96752437731031005</v>
      </c>
      <c r="W82" s="381">
        <f t="shared" si="189"/>
        <v>0.9037098044832772</v>
      </c>
      <c r="X82" s="381">
        <f t="shared" si="189"/>
        <v>0.98817914009769925</v>
      </c>
      <c r="Y82" s="381">
        <f t="shared" si="189"/>
        <v>0.91550615961435466</v>
      </c>
      <c r="Z82" s="381">
        <f t="shared" si="189"/>
        <v>1.0286176523458568</v>
      </c>
      <c r="AA82" s="1339">
        <f t="shared" si="189"/>
        <v>0.957893800587032</v>
      </c>
      <c r="AB82" s="381">
        <f t="shared" si="189"/>
        <v>0.88467517231265591</v>
      </c>
      <c r="AC82" s="381">
        <f t="shared" si="189"/>
        <v>0.98271272527001807</v>
      </c>
      <c r="AD82" s="381">
        <f t="shared" si="189"/>
        <v>0.92233707368304685</v>
      </c>
      <c r="AE82" s="381">
        <f t="shared" si="189"/>
        <v>1.0463431637013916</v>
      </c>
      <c r="AF82" s="1339">
        <f t="shared" si="189"/>
        <v>0.95750001838870791</v>
      </c>
      <c r="AG82" s="381">
        <f t="shared" si="189"/>
        <v>0.90399636005156603</v>
      </c>
      <c r="AH82" s="381">
        <f t="shared" si="189"/>
        <v>1.006361528923392</v>
      </c>
      <c r="AI82" s="381">
        <f t="shared" si="189"/>
        <v>0.93230723984118424</v>
      </c>
      <c r="AJ82" s="381">
        <f t="shared" si="189"/>
        <v>1.0429395959796985</v>
      </c>
      <c r="AK82" s="1339">
        <f t="shared" si="189"/>
        <v>0.97083542119918553</v>
      </c>
      <c r="AL82" s="381">
        <f t="shared" si="189"/>
        <v>0.9290268534462699</v>
      </c>
      <c r="AM82" s="381">
        <f t="shared" si="189"/>
        <v>0.96327539983359489</v>
      </c>
      <c r="AN82" s="381">
        <f t="shared" si="189"/>
        <v>0.93023958558169662</v>
      </c>
      <c r="AO82" s="381">
        <f t="shared" si="189"/>
        <v>1.1034770725781966</v>
      </c>
      <c r="AP82" s="1339">
        <f t="shared" si="189"/>
        <v>0.97802287201896698</v>
      </c>
      <c r="AQ82" s="381">
        <f t="shared" si="189"/>
        <v>0.88586163471725266</v>
      </c>
      <c r="AR82" s="381">
        <f t="shared" si="189"/>
        <v>1.0130736101090927</v>
      </c>
      <c r="AS82" s="381">
        <f t="shared" si="189"/>
        <v>0.93899777773328796</v>
      </c>
      <c r="AT82" s="381">
        <f t="shared" si="189"/>
        <v>1.0915606563421822</v>
      </c>
      <c r="AU82" s="1339">
        <f t="shared" si="189"/>
        <v>0.97786461776012767</v>
      </c>
      <c r="AV82" s="381">
        <f t="shared" si="190" ref="AV82:BA82">AV84/AV79</f>
        <v>0.92140317155213847</v>
      </c>
      <c r="AW82" s="381">
        <f t="shared" si="190"/>
        <v>0.98533812689549904</v>
      </c>
      <c r="AX82" s="381">
        <f t="shared" si="190"/>
        <v>0.90926022098458115</v>
      </c>
      <c r="AY82" s="381">
        <f t="shared" si="190"/>
        <v>1.0347184675986718</v>
      </c>
      <c r="AZ82" s="1339">
        <f t="shared" si="190"/>
        <v>0.96138328805450646</v>
      </c>
      <c r="BA82" s="381">
        <f t="shared" si="190"/>
        <v>0.85349614856392186</v>
      </c>
      <c r="BB82" s="381">
        <f t="shared" si="191" ref="BB82:BG82">BB84/BB79</f>
        <v>1.0188414875379137</v>
      </c>
      <c r="BC82" s="381">
        <f t="shared" si="191"/>
        <v>0.90917925485544426</v>
      </c>
      <c r="BD82" s="381">
        <f t="shared" si="191"/>
        <v>1.0328104455248757</v>
      </c>
      <c r="BE82" s="1339">
        <f t="shared" si="191"/>
        <v>0.95103238781740551</v>
      </c>
      <c r="BF82" s="381">
        <f t="shared" si="191"/>
        <v>0.86864799990101582</v>
      </c>
      <c r="BG82" s="381">
        <f t="shared" si="191"/>
        <v>0.97028653185319547</v>
      </c>
      <c r="BH82" s="813">
        <f>BH84/BH79</f>
        <v>0.89060424605334809</v>
      </c>
      <c r="BI82" s="1221">
        <v>1.02</v>
      </c>
      <c r="BJ82" s="1340">
        <f>BJ84/BJ79</f>
        <v>0.9356878314475876</v>
      </c>
      <c r="BK82" s="1221">
        <v>1.02</v>
      </c>
      <c r="BL82" s="1221">
        <v>1.02</v>
      </c>
      <c r="BM82" s="1221">
        <v>1.02</v>
      </c>
      <c r="BN82" s="1221">
        <v>1.02</v>
      </c>
      <c r="BO82" s="1340">
        <f>BO84/BO79</f>
        <v>1.02</v>
      </c>
      <c r="BP82" s="1343">
        <v>0.98000000000000009</v>
      </c>
      <c r="BQ82" s="1343">
        <v>0.98000000000000009</v>
      </c>
      <c r="BR82" s="1344">
        <v>0.98000000000000009</v>
      </c>
      <c r="BS82" s="648"/>
    </row>
    <row r="83" spans="1:71" s="669" customFormat="1" ht="7.5" customHeight="1" hidden="1" outlineLevel="2">
      <c r="A83" s="107"/>
      <c r="B83" s="108"/>
      <c r="C83" s="1325"/>
      <c r="D83" s="1325"/>
      <c r="E83" s="1325"/>
      <c r="F83" s="1325"/>
      <c r="G83" s="1325"/>
      <c r="H83" s="726"/>
      <c r="I83" s="726"/>
      <c r="J83" s="726"/>
      <c r="K83" s="726"/>
      <c r="L83" s="1325"/>
      <c r="M83" s="726"/>
      <c r="N83" s="726"/>
      <c r="O83" s="726"/>
      <c r="P83" s="726"/>
      <c r="Q83" s="1325"/>
      <c r="R83" s="726"/>
      <c r="S83" s="726"/>
      <c r="T83" s="726"/>
      <c r="U83" s="726"/>
      <c r="V83" s="1325"/>
      <c r="W83" s="726"/>
      <c r="X83" s="726"/>
      <c r="Y83" s="726"/>
      <c r="Z83" s="726"/>
      <c r="AA83" s="1325"/>
      <c r="AB83" s="726"/>
      <c r="AC83" s="726"/>
      <c r="AD83" s="726"/>
      <c r="AE83" s="726"/>
      <c r="AF83" s="1325"/>
      <c r="AG83" s="726"/>
      <c r="AH83" s="726"/>
      <c r="AI83" s="726"/>
      <c r="AJ83" s="726"/>
      <c r="AK83" s="1325"/>
      <c r="AL83" s="726"/>
      <c r="AM83" s="726"/>
      <c r="AN83" s="726"/>
      <c r="AO83" s="726"/>
      <c r="AP83" s="1325"/>
      <c r="AQ83" s="726"/>
      <c r="AR83" s="726"/>
      <c r="AS83" s="726"/>
      <c r="AT83" s="726"/>
      <c r="AU83" s="1325"/>
      <c r="AV83" s="726"/>
      <c r="AW83" s="726"/>
      <c r="AX83" s="726"/>
      <c r="AY83" s="726"/>
      <c r="AZ83" s="1325"/>
      <c r="BA83" s="726"/>
      <c r="BB83" s="726"/>
      <c r="BC83" s="726"/>
      <c r="BD83" s="726"/>
      <c r="BE83" s="1325"/>
      <c r="BF83" s="726"/>
      <c r="BG83" s="726"/>
      <c r="BH83" s="808"/>
      <c r="BI83" s="98"/>
      <c r="BJ83" s="1326"/>
      <c r="BK83" s="98"/>
      <c r="BL83" s="98"/>
      <c r="BM83" s="98"/>
      <c r="BN83" s="98"/>
      <c r="BO83" s="1326"/>
      <c r="BP83" s="1325"/>
      <c r="BQ83" s="1325"/>
      <c r="BR83" s="1326"/>
      <c r="BS83" s="648"/>
    </row>
    <row r="84" spans="1:71" s="668" customFormat="1" ht="15" hidden="1" outlineLevel="2">
      <c r="A84" s="25" t="s">
        <v>608</v>
      </c>
      <c r="B84" s="1005"/>
      <c r="C84" s="1348">
        <f t="shared" si="192" ref="C84:AU84">C231</f>
        <v>4951.1000000000004</v>
      </c>
      <c r="D84" s="1348">
        <f t="shared" si="192"/>
        <v>5407.20</v>
      </c>
      <c r="E84" s="1348">
        <f t="shared" si="192"/>
        <v>5803.70</v>
      </c>
      <c r="F84" s="1348">
        <f t="shared" si="192"/>
        <v>6264.20</v>
      </c>
      <c r="G84" s="1348">
        <f t="shared" si="192"/>
        <v>6740.10</v>
      </c>
      <c r="H84" s="1039">
        <f t="shared" si="192"/>
        <v>1762.20</v>
      </c>
      <c r="I84" s="1039">
        <f t="shared" si="192"/>
        <v>1824</v>
      </c>
      <c r="J84" s="1039">
        <f t="shared" si="192"/>
        <v>1848.90</v>
      </c>
      <c r="K84" s="1039">
        <f t="shared" si="192"/>
        <v>2038.8999999999996</v>
      </c>
      <c r="L84" s="1348">
        <f t="shared" si="192"/>
        <v>7474</v>
      </c>
      <c r="M84" s="1039">
        <f t="shared" si="192"/>
        <v>1955.40</v>
      </c>
      <c r="N84" s="1039">
        <f t="shared" si="192"/>
        <v>2031.80</v>
      </c>
      <c r="O84" s="1039">
        <f t="shared" si="192"/>
        <v>2069.50</v>
      </c>
      <c r="P84" s="1039">
        <f t="shared" si="192"/>
        <v>2129.1999999999998</v>
      </c>
      <c r="Q84" s="1348">
        <f t="shared" si="192"/>
        <v>8185.90</v>
      </c>
      <c r="R84" s="1039">
        <f t="shared" si="192"/>
        <v>2220.6999999999998</v>
      </c>
      <c r="S84" s="1039">
        <f t="shared" si="192"/>
        <v>2334.8000000000002</v>
      </c>
      <c r="T84" s="1039">
        <f t="shared" si="192"/>
        <v>2391.1999999999998</v>
      </c>
      <c r="U84" s="1039">
        <f t="shared" si="192"/>
        <v>2449.8000000000002</v>
      </c>
      <c r="V84" s="1348">
        <f t="shared" si="192"/>
        <v>9396.50</v>
      </c>
      <c r="W84" s="1039">
        <f t="shared" si="192"/>
        <v>2523.6999999999998</v>
      </c>
      <c r="X84" s="1039">
        <f t="shared" si="192"/>
        <v>2650</v>
      </c>
      <c r="Y84" s="1039">
        <f t="shared" si="192"/>
        <v>2734.80</v>
      </c>
      <c r="Z84" s="1039">
        <f t="shared" si="192"/>
        <v>2861.1000000000004</v>
      </c>
      <c r="AA84" s="1348">
        <f t="shared" si="192"/>
        <v>10769.60</v>
      </c>
      <c r="AB84" s="1039">
        <f t="shared" si="192"/>
        <v>3016.30</v>
      </c>
      <c r="AC84" s="1039">
        <f t="shared" si="192"/>
        <v>3211.80</v>
      </c>
      <c r="AD84" s="1039">
        <f t="shared" si="192"/>
        <v>3337.20</v>
      </c>
      <c r="AE84" s="1039">
        <f t="shared" si="192"/>
        <v>3452.2000000000007</v>
      </c>
      <c r="AF84" s="1348">
        <f t="shared" si="192"/>
        <v>13017.50</v>
      </c>
      <c r="AG84" s="1039">
        <f t="shared" si="192"/>
        <v>3576.30</v>
      </c>
      <c r="AH84" s="1039">
        <f t="shared" si="192"/>
        <v>3733.40</v>
      </c>
      <c r="AI84" s="1039">
        <f t="shared" si="192"/>
        <v>3804</v>
      </c>
      <c r="AJ84" s="1039">
        <f t="shared" si="192"/>
        <v>4192.1999999999989</v>
      </c>
      <c r="AK84" s="1348">
        <f t="shared" si="192"/>
        <v>15305.90</v>
      </c>
      <c r="AL84" s="1039">
        <f t="shared" si="192"/>
        <v>3992.40</v>
      </c>
      <c r="AM84" s="1039">
        <f t="shared" si="192"/>
        <v>4167.8999999999996</v>
      </c>
      <c r="AN84" s="1039">
        <f t="shared" si="192"/>
        <v>4309.80</v>
      </c>
      <c r="AO84" s="1039">
        <f t="shared" si="192"/>
        <v>4360.50</v>
      </c>
      <c r="AP84" s="1348">
        <f t="shared" si="192"/>
        <v>16830.60</v>
      </c>
      <c r="AQ84" s="1039">
        <f t="shared" si="192"/>
        <v>4431.70</v>
      </c>
      <c r="AR84" s="1039">
        <f t="shared" si="192"/>
        <v>4633.9000000000005</v>
      </c>
      <c r="AS84" s="1039">
        <f t="shared" si="192"/>
        <v>4690.20</v>
      </c>
      <c r="AT84" s="1039">
        <f t="shared" si="192"/>
        <v>4736.50</v>
      </c>
      <c r="AU84" s="1348">
        <f t="shared" si="192"/>
        <v>18492.299999999999</v>
      </c>
      <c r="AV84" s="1039">
        <f t="shared" si="193" ref="AV84:BA84">AV231</f>
        <v>4793.6000000000004</v>
      </c>
      <c r="AW84" s="1039">
        <f t="shared" si="193"/>
        <v>4905.8999999999996</v>
      </c>
      <c r="AX84" s="1039">
        <f t="shared" si="193"/>
        <v>5077.3999999999996</v>
      </c>
      <c r="AY84" s="1039">
        <f t="shared" si="193"/>
        <v>5358.60</v>
      </c>
      <c r="AZ84" s="1348">
        <f t="shared" si="193"/>
        <v>20135.50</v>
      </c>
      <c r="BA84" s="1039">
        <f t="shared" si="193"/>
        <v>5717.40</v>
      </c>
      <c r="BB84" s="1039">
        <f t="shared" si="194" ref="BB84:BG84">BB231</f>
        <v>6180.70</v>
      </c>
      <c r="BC84" s="1039">
        <f t="shared" si="194"/>
        <v>6361.80</v>
      </c>
      <c r="BD84" s="1039">
        <f t="shared" si="194"/>
        <v>6755.2000000000007</v>
      </c>
      <c r="BE84" s="1348">
        <f t="shared" si="194"/>
        <v>25015.099999999999</v>
      </c>
      <c r="BF84" s="1039">
        <f t="shared" si="194"/>
        <v>7020.50</v>
      </c>
      <c r="BG84" s="1039">
        <f t="shared" si="194"/>
        <v>7595.50</v>
      </c>
      <c r="BH84" s="1040">
        <f>BH231</f>
        <v>8180.2000000000007</v>
      </c>
      <c r="BI84" s="1023">
        <f>BI79*BI82</f>
        <v>8287.9463913203945</v>
      </c>
      <c r="BJ84" s="1321">
        <f>SUM(BF84,BG84,BH84,BI84)</f>
        <v>31084.146391320395</v>
      </c>
      <c r="BK84" s="1023">
        <f>BK79*BK82</f>
        <v>10116.08030627269</v>
      </c>
      <c r="BL84" s="1023">
        <f>BL79*BL82</f>
        <v>9591.0974475715866</v>
      </c>
      <c r="BM84" s="1023">
        <f>BM79*BM82</f>
        <v>10864.201885800785</v>
      </c>
      <c r="BN84" s="1023">
        <f>BN79*BN82</f>
        <v>9445.5040882564772</v>
      </c>
      <c r="BO84" s="1321">
        <f>SUM(BK84,BL84,BM84,BN84)</f>
        <v>40016.883727901542</v>
      </c>
      <c r="BP84" s="1322">
        <f>BP79*BP82</f>
        <v>41188.987697438766</v>
      </c>
      <c r="BQ84" s="1322">
        <f>BQ79*BQ82</f>
        <v>42853.022800415303</v>
      </c>
      <c r="BR84" s="1321">
        <f>BR79*BR82</f>
        <v>44584.284921552069</v>
      </c>
      <c r="BS84" s="648"/>
    </row>
    <row r="85" spans="1:71" s="669" customFormat="1" ht="15" hidden="1" outlineLevel="2">
      <c r="A85" s="107" t="s">
        <v>609</v>
      </c>
      <c r="B85" s="108"/>
      <c r="C85" s="1325"/>
      <c r="D85" s="1325"/>
      <c r="E85" s="1325"/>
      <c r="F85" s="1325"/>
      <c r="G85" s="1325"/>
      <c r="H85" s="726"/>
      <c r="I85" s="726"/>
      <c r="J85" s="726"/>
      <c r="K85" s="726"/>
      <c r="L85" s="1325"/>
      <c r="M85" s="726"/>
      <c r="N85" s="726"/>
      <c r="O85" s="726"/>
      <c r="P85" s="726"/>
      <c r="Q85" s="1325"/>
      <c r="R85" s="726"/>
      <c r="S85" s="725">
        <f t="shared" si="195" ref="S85:AU85">S84/N84-1</f>
        <v>0.14912885126488828</v>
      </c>
      <c r="T85" s="725">
        <f t="shared" si="195"/>
        <v>0.15544817588789561</v>
      </c>
      <c r="U85" s="725">
        <f t="shared" si="195"/>
        <v>0.15057298515874518</v>
      </c>
      <c r="V85" s="1327">
        <f t="shared" si="195"/>
        <v>0.14788844232155296</v>
      </c>
      <c r="W85" s="725">
        <f t="shared" si="195"/>
        <v>0.13644346377268435</v>
      </c>
      <c r="X85" s="725">
        <f t="shared" si="195"/>
        <v>0.13500085660442007</v>
      </c>
      <c r="Y85" s="725">
        <f t="shared" si="195"/>
        <v>0.14369354299096715</v>
      </c>
      <c r="Z85" s="725">
        <f t="shared" si="195"/>
        <v>0.16789125642909641</v>
      </c>
      <c r="AA85" s="1327">
        <f t="shared" si="195"/>
        <v>0.14612887777363914</v>
      </c>
      <c r="AB85" s="725">
        <f t="shared" si="195"/>
        <v>0.19518960256765872</v>
      </c>
      <c r="AC85" s="725">
        <f t="shared" si="195"/>
        <v>0.21199999999999997</v>
      </c>
      <c r="AD85" s="725">
        <f t="shared" si="195"/>
        <v>0.22027204914436149</v>
      </c>
      <c r="AE85" s="725">
        <f t="shared" si="195"/>
        <v>0.20659886057809951</v>
      </c>
      <c r="AF85" s="1327">
        <f t="shared" si="195"/>
        <v>0.20872641509433953</v>
      </c>
      <c r="AG85" s="725">
        <f t="shared" si="195"/>
        <v>0.1856579252726851</v>
      </c>
      <c r="AH85" s="725">
        <f t="shared" si="195"/>
        <v>0.16240114577495479</v>
      </c>
      <c r="AI85" s="725">
        <f t="shared" si="195"/>
        <v>0.13987774181948942</v>
      </c>
      <c r="AJ85" s="725">
        <f t="shared" si="195"/>
        <v>0.21435606280053232</v>
      </c>
      <c r="AK85" s="1327">
        <f t="shared" si="195"/>
        <v>0.17579412329556354</v>
      </c>
      <c r="AL85" s="725">
        <f t="shared" si="195"/>
        <v>0.11634929955540629</v>
      </c>
      <c r="AM85" s="725">
        <f t="shared" si="195"/>
        <v>0.1163818503241012</v>
      </c>
      <c r="AN85" s="725">
        <f t="shared" si="195"/>
        <v>0.13296529968454274</v>
      </c>
      <c r="AO85" s="725">
        <f t="shared" si="195"/>
        <v>0.040145985401460083</v>
      </c>
      <c r="AP85" s="1327">
        <f t="shared" si="195"/>
        <v>0.099615181073964942</v>
      </c>
      <c r="AQ85" s="725">
        <f t="shared" si="195"/>
        <v>0.11003406472297361</v>
      </c>
      <c r="AR85" s="725">
        <f t="shared" si="195"/>
        <v>0.11180690515607394</v>
      </c>
      <c r="AS85" s="725">
        <f t="shared" si="195"/>
        <v>0.08826395656410968</v>
      </c>
      <c r="AT85" s="725">
        <f t="shared" si="195"/>
        <v>0.086228643504185243</v>
      </c>
      <c r="AU85" s="1327">
        <f t="shared" si="195"/>
        <v>0.098730883034473083</v>
      </c>
      <c r="AV85" s="725">
        <f t="shared" si="196" ref="AV85:AZ85">AV84/AQ84-1</f>
        <v>0.081661664823882596</v>
      </c>
      <c r="AW85" s="725">
        <f t="shared" si="196"/>
        <v>0.058697857096613903</v>
      </c>
      <c r="AX85" s="725">
        <f t="shared" si="196"/>
        <v>0.082555114920472406</v>
      </c>
      <c r="AY85" s="725">
        <f t="shared" si="196"/>
        <v>0.13134170801224543</v>
      </c>
      <c r="AZ85" s="1327">
        <f t="shared" si="196"/>
        <v>0.088858606014395214</v>
      </c>
      <c r="BA85" s="725">
        <f t="shared" si="197" ref="BA85:BO85">BA84/AV84-1</f>
        <v>0.19271528704939911</v>
      </c>
      <c r="BB85" s="725">
        <f t="shared" si="197"/>
        <v>0.25985038423123186</v>
      </c>
      <c r="BC85" s="725">
        <f t="shared" si="197"/>
        <v>0.25296411549218112</v>
      </c>
      <c r="BD85" s="725">
        <f t="shared" si="197"/>
        <v>0.26062777591161868</v>
      </c>
      <c r="BE85" s="1327">
        <f t="shared" si="197"/>
        <v>0.24233815897295807</v>
      </c>
      <c r="BF85" s="725">
        <f>BF84/BA84-1</f>
        <v>0.22791828453492857</v>
      </c>
      <c r="BG85" s="725">
        <f>BG84/BB84-1</f>
        <v>0.22890611095830571</v>
      </c>
      <c r="BH85" s="809">
        <f>BH84/BC84-1</f>
        <v>0.28583105410418441</v>
      </c>
      <c r="BI85" s="98">
        <f t="shared" si="197"/>
        <v>0.22689874338589444</v>
      </c>
      <c r="BJ85" s="1326">
        <f t="shared" si="197"/>
        <v>0.24261531600195063</v>
      </c>
      <c r="BK85" s="98">
        <f t="shared" si="197"/>
        <v>0.44093445000679288</v>
      </c>
      <c r="BL85" s="98">
        <f t="shared" si="197"/>
        <v>0.26273417781207109</v>
      </c>
      <c r="BM85" s="98">
        <f t="shared" si="197"/>
        <v>0.32810956771237665</v>
      </c>
      <c r="BN85" s="98">
        <f t="shared" si="197"/>
        <v>0.13966761393972615</v>
      </c>
      <c r="BO85" s="1326">
        <f t="shared" si="197"/>
        <v>0.28737277273521755</v>
      </c>
      <c r="BP85" s="1325">
        <f>BP84/BO84-1</f>
        <v>0.029290236029048344</v>
      </c>
      <c r="BQ85" s="1325">
        <f>BQ84/BP84-1</f>
        <v>0.040400000000000214</v>
      </c>
      <c r="BR85" s="1326">
        <f>BR84/BQ84-1</f>
        <v>0.040399999999999769</v>
      </c>
      <c r="BS85" s="648"/>
    </row>
    <row r="86" spans="1:71" s="669" customFormat="1" ht="7.5" customHeight="1" hidden="1" outlineLevel="2">
      <c r="A86" s="107"/>
      <c r="B86" s="108"/>
      <c r="C86" s="1325"/>
      <c r="D86" s="1325"/>
      <c r="E86" s="1325"/>
      <c r="F86" s="1325"/>
      <c r="G86" s="1325"/>
      <c r="H86" s="726"/>
      <c r="I86" s="726"/>
      <c r="J86" s="726"/>
      <c r="K86" s="726"/>
      <c r="L86" s="1325"/>
      <c r="M86" s="726"/>
      <c r="N86" s="726"/>
      <c r="O86" s="726"/>
      <c r="P86" s="726"/>
      <c r="Q86" s="1325"/>
      <c r="R86" s="726"/>
      <c r="S86" s="726"/>
      <c r="T86" s="726"/>
      <c r="U86" s="726"/>
      <c r="V86" s="1325"/>
      <c r="W86" s="726"/>
      <c r="X86" s="726"/>
      <c r="Y86" s="726"/>
      <c r="Z86" s="726"/>
      <c r="AA86" s="1325"/>
      <c r="AB86" s="726"/>
      <c r="AC86" s="726"/>
      <c r="AD86" s="726"/>
      <c r="AE86" s="726"/>
      <c r="AF86" s="1325"/>
      <c r="AG86" s="726"/>
      <c r="AH86" s="726"/>
      <c r="AI86" s="726"/>
      <c r="AJ86" s="726"/>
      <c r="AK86" s="1325"/>
      <c r="AL86" s="726"/>
      <c r="AM86" s="726"/>
      <c r="AN86" s="726"/>
      <c r="AO86" s="726"/>
      <c r="AP86" s="1325"/>
      <c r="AQ86" s="726"/>
      <c r="AR86" s="726"/>
      <c r="AS86" s="726"/>
      <c r="AT86" s="726"/>
      <c r="AU86" s="1325"/>
      <c r="AV86" s="726"/>
      <c r="AW86" s="726"/>
      <c r="AX86" s="726"/>
      <c r="AY86" s="726"/>
      <c r="AZ86" s="1325"/>
      <c r="BA86" s="726"/>
      <c r="BB86" s="726"/>
      <c r="BC86" s="726"/>
      <c r="BD86" s="726"/>
      <c r="BE86" s="1325"/>
      <c r="BF86" s="726"/>
      <c r="BG86" s="726"/>
      <c r="BH86" s="808"/>
      <c r="BI86" s="98"/>
      <c r="BJ86" s="1326"/>
      <c r="BK86" s="98"/>
      <c r="BL86" s="98"/>
      <c r="BM86" s="98"/>
      <c r="BN86" s="98"/>
      <c r="BO86" s="1326"/>
      <c r="BP86" s="1325"/>
      <c r="BQ86" s="1325"/>
      <c r="BR86" s="1326"/>
      <c r="BS86" s="648"/>
    </row>
    <row r="87" spans="1:71" s="665" customFormat="1" ht="15" hidden="1" outlineLevel="2">
      <c r="A87" s="371" t="s">
        <v>671</v>
      </c>
      <c r="B87" s="308"/>
      <c r="C87" s="1349">
        <f t="shared" si="198" ref="C87:AU87">C279</f>
        <v>3579.6453000000001</v>
      </c>
      <c r="D87" s="1349">
        <f t="shared" si="198"/>
        <v>3925.6271999999999</v>
      </c>
      <c r="E87" s="1349">
        <f t="shared" si="198"/>
        <v>4143.8417999999992</v>
      </c>
      <c r="F87" s="1349">
        <f t="shared" si="198"/>
        <v>4648.0364</v>
      </c>
      <c r="G87" s="1349">
        <f t="shared" si="198"/>
        <v>4873.0923000000003</v>
      </c>
      <c r="H87" s="1042">
        <f t="shared" si="198"/>
        <v>1311.0768</v>
      </c>
      <c r="I87" s="1042">
        <f t="shared" si="198"/>
        <v>1344.288</v>
      </c>
      <c r="J87" s="1042">
        <f t="shared" si="198"/>
        <v>1373.7327</v>
      </c>
      <c r="K87" s="1042">
        <f t="shared" si="198"/>
        <v>1516.6104999999993</v>
      </c>
      <c r="L87" s="1349">
        <f t="shared" si="198"/>
        <v>5545.7079999999996</v>
      </c>
      <c r="M87" s="1042">
        <f t="shared" si="198"/>
        <v>1472.4162000000001</v>
      </c>
      <c r="N87" s="1042">
        <f t="shared" si="198"/>
        <v>1517.7546</v>
      </c>
      <c r="O87" s="1042">
        <f t="shared" si="198"/>
        <v>1545.9165</v>
      </c>
      <c r="P87" s="1042">
        <f t="shared" si="198"/>
        <v>1603.3376999999991</v>
      </c>
      <c r="Q87" s="1349">
        <f t="shared" si="198"/>
        <v>6139.4249999999993</v>
      </c>
      <c r="R87" s="1042">
        <f t="shared" si="198"/>
        <v>1674.4078</v>
      </c>
      <c r="S87" s="1042">
        <f t="shared" si="198"/>
        <v>1804.8004000000001</v>
      </c>
      <c r="T87" s="1042">
        <f t="shared" si="198"/>
        <v>1867.5272</v>
      </c>
      <c r="U87" s="1042">
        <f t="shared" si="198"/>
        <v>1869.7766000000001</v>
      </c>
      <c r="V87" s="1349">
        <f t="shared" si="198"/>
        <v>7216.5119999999997</v>
      </c>
      <c r="W87" s="1042">
        <f t="shared" si="198"/>
        <v>1832.2061999999999</v>
      </c>
      <c r="X87" s="1042">
        <f t="shared" si="198"/>
        <v>1987.50</v>
      </c>
      <c r="Y87" s="1042">
        <f t="shared" si="198"/>
        <v>2070.2436000000002</v>
      </c>
      <c r="Z87" s="1042">
        <f t="shared" si="198"/>
        <v>2090.3238000000001</v>
      </c>
      <c r="AA87" s="1349">
        <f t="shared" si="198"/>
        <v>7980.2736000000004</v>
      </c>
      <c r="AB87" s="1042">
        <f t="shared" si="198"/>
        <v>2099.3447999999999</v>
      </c>
      <c r="AC87" s="1042">
        <f t="shared" si="198"/>
        <v>2277.1662000000001</v>
      </c>
      <c r="AD87" s="1042">
        <f t="shared" si="198"/>
        <v>2349.3887999999997</v>
      </c>
      <c r="AE87" s="1042">
        <f t="shared" si="198"/>
        <v>2568.5951999999988</v>
      </c>
      <c r="AF87" s="1349">
        <f t="shared" si="198"/>
        <v>9294.494999999999</v>
      </c>
      <c r="AG87" s="1042">
        <f t="shared" si="198"/>
        <v>2499.8337000000001</v>
      </c>
      <c r="AH87" s="1042">
        <f t="shared" si="198"/>
        <v>2617.1133999999997</v>
      </c>
      <c r="AI87" s="1042">
        <f t="shared" si="198"/>
        <v>2712.252</v>
      </c>
      <c r="AJ87" s="1042">
        <f t="shared" si="198"/>
        <v>3099.2134999999998</v>
      </c>
      <c r="AK87" s="1349">
        <f t="shared" si="198"/>
        <v>10928.4126</v>
      </c>
      <c r="AL87" s="1042">
        <f t="shared" si="198"/>
        <v>2623.0068000000001</v>
      </c>
      <c r="AM87" s="1042">
        <f t="shared" si="198"/>
        <v>2096.4537</v>
      </c>
      <c r="AN87" s="1042">
        <f t="shared" si="198"/>
        <v>2861.7072000000003</v>
      </c>
      <c r="AO87" s="1042">
        <f t="shared" si="198"/>
        <v>3005.2796999999991</v>
      </c>
      <c r="AP87" s="1349">
        <f t="shared" si="198"/>
        <v>10586.447399999999</v>
      </c>
      <c r="AQ87" s="1042">
        <f t="shared" si="198"/>
        <v>3031.2828</v>
      </c>
      <c r="AR87" s="1042">
        <f t="shared" si="198"/>
        <v>3568.1030000000005</v>
      </c>
      <c r="AS87" s="1042">
        <f t="shared" si="198"/>
        <v>3878.7953999999995</v>
      </c>
      <c r="AT87" s="1042">
        <f t="shared" si="198"/>
        <v>3797.8744000000006</v>
      </c>
      <c r="AU87" s="1349">
        <f t="shared" si="198"/>
        <v>14276.0556</v>
      </c>
      <c r="AV87" s="1042">
        <f t="shared" si="199" ref="AV87:BA87">AV279</f>
        <v>3700.6592000000005</v>
      </c>
      <c r="AW87" s="1042">
        <f t="shared" si="199"/>
        <v>3821.6960999999997</v>
      </c>
      <c r="AX87" s="1042">
        <f t="shared" si="199"/>
        <v>4133.0035999999991</v>
      </c>
      <c r="AY87" s="1042">
        <f t="shared" si="199"/>
        <v>4171.1441000000013</v>
      </c>
      <c r="AZ87" s="1349">
        <f t="shared" si="199"/>
        <v>15826.503000000001</v>
      </c>
      <c r="BA87" s="1042">
        <f t="shared" si="199"/>
        <v>4556.7677999999996</v>
      </c>
      <c r="BB87" s="1042">
        <f t="shared" si="200" ref="BB87:BG87">BB279</f>
        <v>5247.4142999999995</v>
      </c>
      <c r="BC87" s="1042">
        <f t="shared" si="200"/>
        <v>4898.5860000000002</v>
      </c>
      <c r="BD87" s="1042">
        <f t="shared" si="200"/>
        <v>4909.070300000003</v>
      </c>
      <c r="BE87" s="1349">
        <f t="shared" si="200"/>
        <v>19611.838400000001</v>
      </c>
      <c r="BF87" s="1042">
        <f t="shared" si="200"/>
        <v>4766.9195</v>
      </c>
      <c r="BG87" s="1042">
        <f t="shared" si="200"/>
        <v>5392.8049999999994</v>
      </c>
      <c r="BH87" s="1043">
        <f>BH279</f>
        <v>5717.9598000000005</v>
      </c>
      <c r="BI87" s="1044"/>
      <c r="BJ87" s="1350"/>
      <c r="BK87" s="1044"/>
      <c r="BL87" s="1044"/>
      <c r="BM87" s="1044"/>
      <c r="BN87" s="1044"/>
      <c r="BO87" s="1350"/>
      <c r="BP87" s="1351"/>
      <c r="BQ87" s="1351"/>
      <c r="BR87" s="1350"/>
      <c r="BS87" s="648"/>
    </row>
    <row r="88" spans="1:71" s="676" customFormat="1" ht="15" hidden="1" outlineLevel="2">
      <c r="A88" s="24" t="str">
        <f>A260</f>
        <v>Direct Auto - Loss &amp; LAE Ratio, %</v>
      </c>
      <c r="B88" s="396"/>
      <c r="C88" s="1352">
        <f t="shared" si="201" ref="C88:AU88">C260</f>
        <v>0.72299999999999998</v>
      </c>
      <c r="D88" s="1352">
        <f t="shared" si="201"/>
        <v>0.72599999999999998</v>
      </c>
      <c r="E88" s="1352">
        <f t="shared" si="201"/>
        <v>0.71399999999999997</v>
      </c>
      <c r="F88" s="1352">
        <f t="shared" si="201"/>
        <v>0.74199999999999999</v>
      </c>
      <c r="G88" s="1352">
        <f t="shared" si="201"/>
        <v>0.72299999999999998</v>
      </c>
      <c r="H88" s="197">
        <f t="shared" si="201"/>
        <v>0.74399999999999999</v>
      </c>
      <c r="I88" s="197">
        <f t="shared" si="201"/>
        <v>0.73699999999999999</v>
      </c>
      <c r="J88" s="197">
        <f t="shared" si="201"/>
        <v>0.74299999999999999</v>
      </c>
      <c r="K88" s="197">
        <f t="shared" si="201"/>
        <v>0.74383760851439484</v>
      </c>
      <c r="L88" s="1352">
        <f t="shared" si="201"/>
        <v>0.74199999999999999</v>
      </c>
      <c r="M88" s="197">
        <f t="shared" si="201"/>
        <v>0.753</v>
      </c>
      <c r="N88" s="197">
        <f t="shared" si="201"/>
        <v>0.747</v>
      </c>
      <c r="O88" s="197">
        <f t="shared" si="201"/>
        <v>0.747</v>
      </c>
      <c r="P88" s="197">
        <f t="shared" si="201"/>
        <v>0.75302352996430555</v>
      </c>
      <c r="Q88" s="1352">
        <f t="shared" si="201"/>
        <v>0.75</v>
      </c>
      <c r="R88" s="197">
        <f t="shared" si="201"/>
        <v>0.754</v>
      </c>
      <c r="S88" s="197">
        <f t="shared" si="201"/>
        <v>0.77300000000000002</v>
      </c>
      <c r="T88" s="197">
        <f t="shared" si="201"/>
        <v>0.78100000000000003</v>
      </c>
      <c r="U88" s="197">
        <f t="shared" si="201"/>
        <v>0.76323642746346643</v>
      </c>
      <c r="V88" s="1352">
        <f t="shared" si="201"/>
        <v>0.76800000000000002</v>
      </c>
      <c r="W88" s="197">
        <f t="shared" si="201"/>
        <v>0.72599999999999998</v>
      </c>
      <c r="X88" s="197">
        <f t="shared" si="201"/>
        <v>0.75</v>
      </c>
      <c r="Y88" s="197">
        <f t="shared" si="201"/>
        <v>0.75700000000000001</v>
      </c>
      <c r="Z88" s="197">
        <f t="shared" si="201"/>
        <v>0.73060144699591056</v>
      </c>
      <c r="AA88" s="1352">
        <f t="shared" si="201"/>
        <v>0.74099999999999999</v>
      </c>
      <c r="AB88" s="197">
        <f t="shared" si="201"/>
        <v>0.69599999999999995</v>
      </c>
      <c r="AC88" s="197">
        <f t="shared" si="201"/>
        <v>0.70899999999999996</v>
      </c>
      <c r="AD88" s="197">
        <f t="shared" si="201"/>
        <v>0.70399999999999996</v>
      </c>
      <c r="AE88" s="197">
        <f t="shared" si="201"/>
        <v>0.74404588378425307</v>
      </c>
      <c r="AF88" s="1352">
        <f t="shared" si="201"/>
        <v>0.71399999999999997</v>
      </c>
      <c r="AG88" s="197">
        <f t="shared" si="201"/>
        <v>0.69899999999999995</v>
      </c>
      <c r="AH88" s="197">
        <f t="shared" si="201"/>
        <v>0.70099999999999996</v>
      </c>
      <c r="AI88" s="197">
        <f t="shared" si="201"/>
        <v>0.71299999999999997</v>
      </c>
      <c r="AJ88" s="197">
        <f t="shared" si="201"/>
        <v>0.73928092648251531</v>
      </c>
      <c r="AK88" s="1352">
        <f t="shared" si="201"/>
        <v>0.71399999999999997</v>
      </c>
      <c r="AL88" s="197">
        <f t="shared" si="201"/>
        <v>0.65700000000000003</v>
      </c>
      <c r="AM88" s="197">
        <f t="shared" si="201"/>
        <v>0.503</v>
      </c>
      <c r="AN88" s="197">
        <f t="shared" si="201"/>
        <v>0.66400000000000003</v>
      </c>
      <c r="AO88" s="197">
        <f t="shared" si="201"/>
        <v>0.68920529755761939</v>
      </c>
      <c r="AP88" s="1352">
        <f t="shared" si="201"/>
        <v>0.629</v>
      </c>
      <c r="AQ88" s="197">
        <f t="shared" si="201"/>
        <v>0.68400000000000005</v>
      </c>
      <c r="AR88" s="197">
        <f t="shared" si="201"/>
        <v>0.77</v>
      </c>
      <c r="AS88" s="197">
        <f t="shared" si="201"/>
        <v>0.82699999999999996</v>
      </c>
      <c r="AT88" s="197">
        <f t="shared" si="201"/>
        <v>0.80183139448960217</v>
      </c>
      <c r="AU88" s="1352">
        <f t="shared" si="201"/>
        <v>0.77200000000000002</v>
      </c>
      <c r="AV88" s="197">
        <f t="shared" si="202" ref="AV88:BA88">AV260</f>
        <v>0.77200000000000002</v>
      </c>
      <c r="AW88" s="197">
        <f t="shared" si="202"/>
        <v>0.77900000000000003</v>
      </c>
      <c r="AX88" s="197">
        <f t="shared" si="202"/>
        <v>0.81399999999999995</v>
      </c>
      <c r="AY88" s="197">
        <f t="shared" si="202"/>
        <v>0.77840184003284463</v>
      </c>
      <c r="AZ88" s="1352">
        <f t="shared" si="202"/>
        <v>0.78600000000000003</v>
      </c>
      <c r="BA88" s="197">
        <f t="shared" si="202"/>
        <v>0.79700000000000004</v>
      </c>
      <c r="BB88" s="197">
        <f t="shared" si="203" ref="BB88:BG88">BB260</f>
        <v>0.84899999999999998</v>
      </c>
      <c r="BC88" s="197">
        <f t="shared" si="203"/>
        <v>0.77</v>
      </c>
      <c r="BD88" s="197">
        <f t="shared" si="203"/>
        <v>0.72670983834675551</v>
      </c>
      <c r="BE88" s="1352">
        <f t="shared" si="203"/>
        <v>0.78400000000000003</v>
      </c>
      <c r="BF88" s="197">
        <f t="shared" si="203"/>
        <v>0.67900000000000005</v>
      </c>
      <c r="BG88" s="197">
        <f t="shared" si="203"/>
        <v>0.71</v>
      </c>
      <c r="BH88" s="815">
        <f>BH260</f>
        <v>0.69899999999999995</v>
      </c>
      <c r="BI88" s="909"/>
      <c r="BJ88" s="1340"/>
      <c r="BK88" s="909"/>
      <c r="BL88" s="909"/>
      <c r="BM88" s="909"/>
      <c r="BN88" s="909"/>
      <c r="BO88" s="1340"/>
      <c r="BP88" s="1339"/>
      <c r="BQ88" s="1339"/>
      <c r="BR88" s="1340"/>
      <c r="BS88" s="648"/>
    </row>
    <row r="89" spans="1:71" s="669" customFormat="1" ht="7.5" customHeight="1" hidden="1" outlineLevel="2">
      <c r="A89" s="107"/>
      <c r="B89" s="108"/>
      <c r="C89" s="1325"/>
      <c r="D89" s="1325"/>
      <c r="E89" s="1325"/>
      <c r="F89" s="1325"/>
      <c r="G89" s="1325"/>
      <c r="H89" s="726"/>
      <c r="I89" s="726"/>
      <c r="J89" s="726"/>
      <c r="K89" s="726"/>
      <c r="L89" s="1325"/>
      <c r="M89" s="726"/>
      <c r="N89" s="726"/>
      <c r="O89" s="726"/>
      <c r="P89" s="726"/>
      <c r="Q89" s="1325"/>
      <c r="R89" s="726"/>
      <c r="S89" s="726"/>
      <c r="T89" s="726"/>
      <c r="U89" s="726"/>
      <c r="V89" s="1325"/>
      <c r="W89" s="726"/>
      <c r="X89" s="726"/>
      <c r="Y89" s="726"/>
      <c r="Z89" s="726"/>
      <c r="AA89" s="1325"/>
      <c r="AB89" s="726"/>
      <c r="AC89" s="726"/>
      <c r="AD89" s="726"/>
      <c r="AE89" s="726"/>
      <c r="AF89" s="1325"/>
      <c r="AG89" s="726"/>
      <c r="AH89" s="726"/>
      <c r="AI89" s="726"/>
      <c r="AJ89" s="726"/>
      <c r="AK89" s="1325"/>
      <c r="AL89" s="726"/>
      <c r="AM89" s="726"/>
      <c r="AN89" s="726"/>
      <c r="AO89" s="726"/>
      <c r="AP89" s="1325"/>
      <c r="AQ89" s="726"/>
      <c r="AR89" s="726"/>
      <c r="AS89" s="726"/>
      <c r="AT89" s="726"/>
      <c r="AU89" s="1325"/>
      <c r="AV89" s="726"/>
      <c r="AW89" s="726"/>
      <c r="AX89" s="726"/>
      <c r="AY89" s="726"/>
      <c r="AZ89" s="1325"/>
      <c r="BA89" s="726"/>
      <c r="BB89" s="726"/>
      <c r="BC89" s="726"/>
      <c r="BD89" s="726"/>
      <c r="BE89" s="1325"/>
      <c r="BF89" s="726"/>
      <c r="BG89" s="726"/>
      <c r="BH89" s="808"/>
      <c r="BI89" s="98"/>
      <c r="BJ89" s="1326"/>
      <c r="BK89" s="98"/>
      <c r="BL89" s="98"/>
      <c r="BM89" s="98"/>
      <c r="BN89" s="98"/>
      <c r="BO89" s="1326"/>
      <c r="BP89" s="1325"/>
      <c r="BQ89" s="1325"/>
      <c r="BR89" s="1326"/>
      <c r="BS89" s="648"/>
    </row>
    <row r="90" spans="1:71" s="665" customFormat="1" ht="15" hidden="1" outlineLevel="2">
      <c r="A90" s="371" t="s">
        <v>668</v>
      </c>
      <c r="B90" s="308"/>
      <c r="C90" s="1349">
        <f>C91*C84</f>
        <v>1014.9755</v>
      </c>
      <c r="D90" s="1349">
        <f t="shared" si="204" ref="D90:J90">D91*D84</f>
        <v>1189.5840000000001</v>
      </c>
      <c r="E90" s="1349">
        <f t="shared" si="204"/>
        <v>1305.8325</v>
      </c>
      <c r="F90" s="1349">
        <f t="shared" si="204"/>
        <v>1328.0103999999999</v>
      </c>
      <c r="G90" s="1349">
        <f t="shared" si="204"/>
        <v>1395.2007000000001</v>
      </c>
      <c r="H90" s="1042">
        <f t="shared" si="204"/>
        <v>380.6352</v>
      </c>
      <c r="I90" s="1042">
        <f t="shared" si="204"/>
        <v>364.80</v>
      </c>
      <c r="J90" s="1042">
        <f t="shared" si="204"/>
        <v>367.93110000000001</v>
      </c>
      <c r="K90" s="1042">
        <f>L90-SUM(H90,I90,J90)</f>
        <v>388.90769999999998</v>
      </c>
      <c r="L90" s="1349">
        <f t="shared" si="205" ref="L90">L91*L84</f>
        <v>1502.2740000000001</v>
      </c>
      <c r="M90" s="1042">
        <f t="shared" si="206" ref="M90">M91*M84</f>
        <v>414.54480000000001</v>
      </c>
      <c r="N90" s="1042">
        <f t="shared" si="207" ref="N90">N91*N84</f>
        <v>396.20100000000002</v>
      </c>
      <c r="O90" s="1042">
        <f t="shared" si="208" ref="O90">O91*O84</f>
        <v>422.178</v>
      </c>
      <c r="P90" s="1042">
        <f>Q90-SUM(M90,N90,O90)</f>
        <v>412.44209999999998</v>
      </c>
      <c r="Q90" s="1349">
        <f t="shared" si="209" ref="Q90">Q91*Q84</f>
        <v>1645.3659</v>
      </c>
      <c r="R90" s="1042">
        <f t="shared" si="210" ref="R90">R91*R84</f>
        <v>466.34699999999992</v>
      </c>
      <c r="S90" s="1042">
        <f t="shared" si="211" ref="S90">S91*S84</f>
        <v>455.28600000000006</v>
      </c>
      <c r="T90" s="1042">
        <f t="shared" si="212" ref="T90">T91*T84</f>
        <v>439.98079999999993</v>
      </c>
      <c r="U90" s="1042">
        <f>V90-SUM(R90,S90,T90)</f>
        <v>404.92819999999983</v>
      </c>
      <c r="V90" s="1349">
        <f t="shared" si="213" ref="V90">V91*V84</f>
        <v>1766.5419999999999</v>
      </c>
      <c r="W90" s="1042">
        <f t="shared" si="214" ref="W90">W91*W84</f>
        <v>517.35849999999994</v>
      </c>
      <c r="X90" s="1042">
        <f t="shared" si="215" ref="X90">X91*X84</f>
        <v>500.85</v>
      </c>
      <c r="Y90" s="1042">
        <f t="shared" si="216" ref="Y90">Y91*Y84</f>
        <v>536.02080000000001</v>
      </c>
      <c r="Z90" s="1042">
        <f>AA90-SUM(W90,X90,Y90)</f>
        <v>556.61230000000023</v>
      </c>
      <c r="AA90" s="1349">
        <f t="shared" si="217" ref="AA90">AA91*AA84</f>
        <v>2110.8416000000002</v>
      </c>
      <c r="AB90" s="1042">
        <f t="shared" si="218" ref="AB90">AB91*AB84</f>
        <v>618.3415</v>
      </c>
      <c r="AC90" s="1042">
        <f t="shared" si="219" ref="AC90">AC91*AC84</f>
        <v>645.57180000000005</v>
      </c>
      <c r="AD90" s="1042">
        <f t="shared" si="220" ref="AD90">AD91*AD84</f>
        <v>694.13759999999991</v>
      </c>
      <c r="AE90" s="1042">
        <f>AF90-SUM(AB90,AC90,AD90)</f>
        <v>671.48410000000013</v>
      </c>
      <c r="AF90" s="1349">
        <f t="shared" si="221" ref="AF90">AF91*AF84</f>
        <v>2629.5350000000003</v>
      </c>
      <c r="AG90" s="1042">
        <f t="shared" si="222" ref="AG90">AG91*AG84</f>
        <v>754.59929999999997</v>
      </c>
      <c r="AH90" s="1042">
        <f t="shared" si="223" ref="AH90">AH91*AH84</f>
        <v>791.48080000000004</v>
      </c>
      <c r="AI90" s="1042">
        <f t="shared" si="224" ref="AI90">AI91*AI84</f>
        <v>798.83999999999992</v>
      </c>
      <c r="AJ90" s="1042">
        <f>AK90-SUM(AG90,AH90,AI90)</f>
        <v>854.01299999999947</v>
      </c>
      <c r="AK90" s="1349">
        <f t="shared" si="225" ref="AK90">AK91*AK84</f>
        <v>3198.9330999999997</v>
      </c>
      <c r="AL90" s="1042">
        <f t="shared" si="226" ref="AL90">AL91*AL84</f>
        <v>894.29759999999999</v>
      </c>
      <c r="AM90" s="1042">
        <f t="shared" si="227" ref="AM90">AM91*AM84</f>
        <v>1425.4218000000001</v>
      </c>
      <c r="AN90" s="1042">
        <f t="shared" si="228" ref="AN90">AN91*AN84</f>
        <v>930.91680000000008</v>
      </c>
      <c r="AO90" s="1042">
        <f>AP90-SUM(AL90,AM90,AN90)</f>
        <v>923.35259999999926</v>
      </c>
      <c r="AP90" s="1349">
        <f t="shared" si="229" ref="AP90">AP91*AP84</f>
        <v>4173.9887999999992</v>
      </c>
      <c r="AQ90" s="1042">
        <f t="shared" si="230" ref="AQ90">AQ91*AQ84</f>
        <v>983.8374</v>
      </c>
      <c r="AR90" s="1042">
        <f t="shared" si="231" ref="AR90">AR91*AR84</f>
        <v>936.04780000000017</v>
      </c>
      <c r="AS90" s="1042">
        <f t="shared" si="232" ref="AS90:AU90">AS91*AS84</f>
        <v>872.37720000000002</v>
      </c>
      <c r="AT90" s="1042">
        <f>AU90-SUM(AQ90,AR90,AS90)</f>
        <v>795.24379999999974</v>
      </c>
      <c r="AU90" s="1349">
        <f t="shared" si="232"/>
        <v>3587.5061999999998</v>
      </c>
      <c r="AV90" s="1042">
        <f>AV91*AV84</f>
        <v>944.33920000000012</v>
      </c>
      <c r="AW90" s="1042">
        <f>AW91*AW84</f>
        <v>887.96789999999987</v>
      </c>
      <c r="AX90" s="1042">
        <f>AX91*AX84</f>
        <v>903.77719999999988</v>
      </c>
      <c r="AY90" s="1042">
        <f>AZ90-SUM(AV90,AW90,AX90)</f>
        <v>807.76369999999997</v>
      </c>
      <c r="AZ90" s="1349">
        <f>AZ91*AZ84</f>
        <v>3543.848</v>
      </c>
      <c r="BA90" s="1042">
        <f>BA91*BA84</f>
        <v>1183.5017999999998</v>
      </c>
      <c r="BB90" s="1042">
        <f>BB91*BB84</f>
        <v>809.67169999999999</v>
      </c>
      <c r="BC90" s="1042">
        <f>BC91*BC84</f>
        <v>757.05420000000004</v>
      </c>
      <c r="BD90" s="1042">
        <f>BE90-SUM(BA90,BB90,BC90)</f>
        <v>826.93159999999943</v>
      </c>
      <c r="BE90" s="1349">
        <f>BE91*BE84</f>
        <v>3577.1592999999993</v>
      </c>
      <c r="BF90" s="1042">
        <f>BF91*BF84</f>
        <v>1207.5259999999998</v>
      </c>
      <c r="BG90" s="1042">
        <f>BG91*BG84</f>
        <v>1420.3585</v>
      </c>
      <c r="BH90" s="1043">
        <f>BH91*BH84</f>
        <v>1799.6440000000002</v>
      </c>
      <c r="BI90" s="1044"/>
      <c r="BJ90" s="1350"/>
      <c r="BK90" s="1044"/>
      <c r="BL90" s="1044"/>
      <c r="BM90" s="1044"/>
      <c r="BN90" s="1044"/>
      <c r="BO90" s="1350"/>
      <c r="BP90" s="1351"/>
      <c r="BQ90" s="1351"/>
      <c r="BR90" s="1350"/>
      <c r="BS90" s="648"/>
    </row>
    <row r="91" spans="1:71" s="676" customFormat="1" ht="15" hidden="1" outlineLevel="2">
      <c r="A91" s="24" t="str">
        <f>A287</f>
        <v>Direct Auto - Underwriting Expense Ratio, %</v>
      </c>
      <c r="B91" s="396"/>
      <c r="C91" s="1352">
        <f t="shared" si="233" ref="C91:J91">C287</f>
        <v>0.205</v>
      </c>
      <c r="D91" s="1352">
        <f t="shared" si="233"/>
        <v>0.22</v>
      </c>
      <c r="E91" s="1352">
        <f t="shared" si="233"/>
        <v>0.225</v>
      </c>
      <c r="F91" s="1352">
        <f t="shared" si="233"/>
        <v>0.21199999999999999</v>
      </c>
      <c r="G91" s="1352">
        <f t="shared" si="233"/>
        <v>0.20699999999999999</v>
      </c>
      <c r="H91" s="197">
        <f t="shared" si="233"/>
        <v>0.216</v>
      </c>
      <c r="I91" s="197">
        <f t="shared" si="233"/>
        <v>0.20</v>
      </c>
      <c r="J91" s="197">
        <f t="shared" si="233"/>
        <v>0.19900000000000001</v>
      </c>
      <c r="K91" s="197">
        <f>K90/K84</f>
        <v>0.19074388150473295</v>
      </c>
      <c r="L91" s="1352">
        <f>L287</f>
        <v>0.20100000000000001</v>
      </c>
      <c r="M91" s="197">
        <f>M287</f>
        <v>0.21199999999999999</v>
      </c>
      <c r="N91" s="197">
        <f>N287</f>
        <v>0.195</v>
      </c>
      <c r="O91" s="197">
        <f>O287</f>
        <v>0.20399999999999999</v>
      </c>
      <c r="P91" s="197">
        <f>P90/P84</f>
        <v>0.19370754273905694</v>
      </c>
      <c r="Q91" s="1352">
        <f>Q287</f>
        <v>0.20100000000000001</v>
      </c>
      <c r="R91" s="197">
        <f>R287</f>
        <v>0.21</v>
      </c>
      <c r="S91" s="197">
        <f>S287</f>
        <v>0.195</v>
      </c>
      <c r="T91" s="197">
        <f>T287</f>
        <v>0.184</v>
      </c>
      <c r="U91" s="197">
        <f>U90/U84</f>
        <v>0.16529030941301323</v>
      </c>
      <c r="V91" s="1352">
        <f>V287</f>
        <v>0.188</v>
      </c>
      <c r="W91" s="197">
        <f>W287</f>
        <v>0.205</v>
      </c>
      <c r="X91" s="197">
        <f>X287</f>
        <v>0.189</v>
      </c>
      <c r="Y91" s="197">
        <f>Y287</f>
        <v>0.19600000000000001</v>
      </c>
      <c r="Z91" s="197">
        <f>Z90/Z84</f>
        <v>0.19454486036838983</v>
      </c>
      <c r="AA91" s="1352">
        <f>AA287</f>
        <v>0.19600000000000001</v>
      </c>
      <c r="AB91" s="197">
        <f>AB287</f>
        <v>0.205</v>
      </c>
      <c r="AC91" s="197">
        <f>AC287</f>
        <v>0.20100000000000001</v>
      </c>
      <c r="AD91" s="197">
        <f>AD287</f>
        <v>0.20799999999999999</v>
      </c>
      <c r="AE91" s="197">
        <f>AE90/AE84</f>
        <v>0.19450903771508024</v>
      </c>
      <c r="AF91" s="1352">
        <f>AF287</f>
        <v>0.20200000000000001</v>
      </c>
      <c r="AG91" s="197">
        <f>AG287</f>
        <v>0.21099999999999999</v>
      </c>
      <c r="AH91" s="197">
        <f>AH287</f>
        <v>0.21199999999999999</v>
      </c>
      <c r="AI91" s="197">
        <f>AI287</f>
        <v>0.21</v>
      </c>
      <c r="AJ91" s="197">
        <f>AJ90/AJ84</f>
        <v>0.20371475597538277</v>
      </c>
      <c r="AK91" s="1352">
        <f>AK287</f>
        <v>0.20899999999999999</v>
      </c>
      <c r="AL91" s="197">
        <f>AL287</f>
        <v>0.224</v>
      </c>
      <c r="AM91" s="197">
        <f>AM287</f>
        <v>0.34200000000000003</v>
      </c>
      <c r="AN91" s="197">
        <f>AN287</f>
        <v>0.216</v>
      </c>
      <c r="AO91" s="197">
        <f>AO90/AO84</f>
        <v>0.21175383556931526</v>
      </c>
      <c r="AP91" s="1352">
        <f>AP287</f>
        <v>0.248</v>
      </c>
      <c r="AQ91" s="197">
        <f>AQ287</f>
        <v>0.222</v>
      </c>
      <c r="AR91" s="197">
        <f>AR287</f>
        <v>0.20200000000000001</v>
      </c>
      <c r="AS91" s="197">
        <f>AS287</f>
        <v>0.186</v>
      </c>
      <c r="AT91" s="197">
        <f>AT90/AT84</f>
        <v>0.16789692811147466</v>
      </c>
      <c r="AU91" s="1352">
        <f>AU287</f>
        <v>0.19400000000000001</v>
      </c>
      <c r="AV91" s="197">
        <f>AV287</f>
        <v>0.19700000000000001</v>
      </c>
      <c r="AW91" s="197">
        <f>AW287</f>
        <v>0.18099999999999999</v>
      </c>
      <c r="AX91" s="197">
        <f>AX287</f>
        <v>0.17799999999999999</v>
      </c>
      <c r="AY91" s="197">
        <f>AY90/AY84</f>
        <v>0.15074155563020189</v>
      </c>
      <c r="AZ91" s="1352">
        <f>AZ287</f>
        <v>0.17599999999999999</v>
      </c>
      <c r="BA91" s="197">
        <f>BA287</f>
        <v>0.20699999999999999</v>
      </c>
      <c r="BB91" s="197">
        <f>BB287</f>
        <v>0.13100000000000001</v>
      </c>
      <c r="BC91" s="197">
        <f>BC287</f>
        <v>0.11899999999999999</v>
      </c>
      <c r="BD91" s="197">
        <f>BD90/BD84</f>
        <v>0.12241408100426329</v>
      </c>
      <c r="BE91" s="1352">
        <f>BE287</f>
        <v>0.14299999999999999</v>
      </c>
      <c r="BF91" s="197">
        <f>BF287</f>
        <v>0.17199999999999999</v>
      </c>
      <c r="BG91" s="197">
        <f>BG287</f>
        <v>0.187</v>
      </c>
      <c r="BH91" s="815">
        <f>BH287</f>
        <v>0.22</v>
      </c>
      <c r="BI91" s="909"/>
      <c r="BJ91" s="1340"/>
      <c r="BK91" s="909"/>
      <c r="BL91" s="909"/>
      <c r="BM91" s="909"/>
      <c r="BN91" s="909"/>
      <c r="BO91" s="1340"/>
      <c r="BP91" s="1339"/>
      <c r="BQ91" s="1339"/>
      <c r="BR91" s="1340"/>
      <c r="BS91" s="648"/>
    </row>
    <row r="92" spans="1:71" s="669" customFormat="1" ht="7.5" customHeight="1" hidden="1" outlineLevel="2">
      <c r="A92" s="107"/>
      <c r="B92" s="108"/>
      <c r="C92" s="1325"/>
      <c r="D92" s="1325"/>
      <c r="E92" s="1325"/>
      <c r="F92" s="1325"/>
      <c r="G92" s="1325"/>
      <c r="H92" s="726"/>
      <c r="I92" s="726"/>
      <c r="J92" s="726"/>
      <c r="K92" s="726"/>
      <c r="L92" s="1325"/>
      <c r="M92" s="726"/>
      <c r="N92" s="726"/>
      <c r="O92" s="726"/>
      <c r="P92" s="726"/>
      <c r="Q92" s="1325"/>
      <c r="R92" s="726"/>
      <c r="S92" s="726"/>
      <c r="T92" s="726"/>
      <c r="U92" s="726"/>
      <c r="V92" s="1325"/>
      <c r="W92" s="726"/>
      <c r="X92" s="726"/>
      <c r="Y92" s="726"/>
      <c r="Z92" s="726"/>
      <c r="AA92" s="1325"/>
      <c r="AB92" s="726"/>
      <c r="AC92" s="726"/>
      <c r="AD92" s="726"/>
      <c r="AE92" s="726"/>
      <c r="AF92" s="1325"/>
      <c r="AG92" s="726"/>
      <c r="AH92" s="726"/>
      <c r="AI92" s="726"/>
      <c r="AJ92" s="726"/>
      <c r="AK92" s="1325"/>
      <c r="AL92" s="726"/>
      <c r="AM92" s="726"/>
      <c r="AN92" s="726"/>
      <c r="AO92" s="726"/>
      <c r="AP92" s="1325"/>
      <c r="AQ92" s="726"/>
      <c r="AR92" s="726"/>
      <c r="AS92" s="726"/>
      <c r="AT92" s="726"/>
      <c r="AU92" s="1325"/>
      <c r="AV92" s="726"/>
      <c r="AW92" s="726"/>
      <c r="AX92" s="726"/>
      <c r="AY92" s="726"/>
      <c r="AZ92" s="1325"/>
      <c r="BA92" s="726"/>
      <c r="BB92" s="726"/>
      <c r="BC92" s="726"/>
      <c r="BD92" s="726"/>
      <c r="BE92" s="1325"/>
      <c r="BF92" s="726"/>
      <c r="BG92" s="726"/>
      <c r="BH92" s="808"/>
      <c r="BI92" s="98"/>
      <c r="BJ92" s="1326"/>
      <c r="BK92" s="98"/>
      <c r="BL92" s="98"/>
      <c r="BM92" s="98"/>
      <c r="BN92" s="98"/>
      <c r="BO92" s="1326"/>
      <c r="BP92" s="1325"/>
      <c r="BQ92" s="1325"/>
      <c r="BR92" s="1326"/>
      <c r="BS92" s="648"/>
    </row>
    <row r="93" spans="1:71" s="665" customFormat="1" ht="15" hidden="1" outlineLevel="2">
      <c r="A93" s="371" t="str">
        <f>A294</f>
        <v>Direct Auto - Underwriting Income, mm</v>
      </c>
      <c r="B93" s="308"/>
      <c r="C93" s="1349">
        <f t="shared" si="234" ref="C93:AU93">C294</f>
        <v>357.90</v>
      </c>
      <c r="D93" s="1349">
        <f t="shared" si="234"/>
        <v>291.10000000000002</v>
      </c>
      <c r="E93" s="1349">
        <f t="shared" si="234"/>
        <v>354.40</v>
      </c>
      <c r="F93" s="1349">
        <f t="shared" si="234"/>
        <v>289.50</v>
      </c>
      <c r="G93" s="1349">
        <f t="shared" si="234"/>
        <v>473.90</v>
      </c>
      <c r="H93" s="1042">
        <f t="shared" si="234"/>
        <v>71</v>
      </c>
      <c r="I93" s="1042">
        <f t="shared" si="234"/>
        <v>115.70</v>
      </c>
      <c r="J93" s="1042">
        <f t="shared" si="234"/>
        <v>107.59999999999999</v>
      </c>
      <c r="K93" s="1042">
        <f t="shared" si="234"/>
        <v>129.10000000000002</v>
      </c>
      <c r="L93" s="1349">
        <f t="shared" si="234"/>
        <v>423.40</v>
      </c>
      <c r="M93" s="1042">
        <f t="shared" si="234"/>
        <v>68.20</v>
      </c>
      <c r="N93" s="1042">
        <f t="shared" si="234"/>
        <v>118.09999999999999</v>
      </c>
      <c r="O93" s="1042">
        <f t="shared" si="234"/>
        <v>100.90000000000001</v>
      </c>
      <c r="P93" s="1042">
        <f t="shared" si="234"/>
        <v>116.19999999999993</v>
      </c>
      <c r="Q93" s="1349">
        <f t="shared" si="234"/>
        <v>403.40</v>
      </c>
      <c r="R93" s="1042">
        <f t="shared" si="234"/>
        <v>79.50</v>
      </c>
      <c r="S93" s="1042">
        <f t="shared" si="234"/>
        <v>73.599999999999994</v>
      </c>
      <c r="T93" s="1042">
        <f t="shared" si="234"/>
        <v>84.40</v>
      </c>
      <c r="U93" s="1042">
        <f t="shared" si="234"/>
        <v>174.70</v>
      </c>
      <c r="V93" s="1349">
        <f t="shared" si="234"/>
        <v>412.20</v>
      </c>
      <c r="W93" s="1042">
        <f t="shared" si="234"/>
        <v>175.30</v>
      </c>
      <c r="X93" s="1042">
        <f t="shared" si="234"/>
        <v>162.69999999999999</v>
      </c>
      <c r="Y93" s="1042">
        <f t="shared" si="234"/>
        <v>128.69999999999999</v>
      </c>
      <c r="Z93" s="1042">
        <f t="shared" si="234"/>
        <v>217.00000000000006</v>
      </c>
      <c r="AA93" s="1349">
        <f t="shared" si="234"/>
        <v>683.70</v>
      </c>
      <c r="AB93" s="1042">
        <f t="shared" si="234"/>
        <v>298</v>
      </c>
      <c r="AC93" s="1042">
        <f t="shared" si="234"/>
        <v>287.89999999999998</v>
      </c>
      <c r="AD93" s="1042">
        <f t="shared" si="234"/>
        <v>294.39999999999998</v>
      </c>
      <c r="AE93" s="1042">
        <f t="shared" si="234"/>
        <v>208.20000000000005</v>
      </c>
      <c r="AF93" s="1349">
        <f t="shared" si="234"/>
        <v>1088.50</v>
      </c>
      <c r="AG93" s="1042">
        <f t="shared" si="234"/>
        <v>321.89999999999998</v>
      </c>
      <c r="AH93" s="1042">
        <f t="shared" si="234"/>
        <v>326.60000000000002</v>
      </c>
      <c r="AI93" s="1042">
        <f t="shared" si="234"/>
        <v>291.70</v>
      </c>
      <c r="AJ93" s="1042">
        <f t="shared" si="234"/>
        <v>241.20000000000005</v>
      </c>
      <c r="AK93" s="1349">
        <f t="shared" si="234"/>
        <v>1181.4000000000001</v>
      </c>
      <c r="AL93" s="1042">
        <f t="shared" si="234"/>
        <v>473</v>
      </c>
      <c r="AM93" s="1042">
        <f t="shared" si="234"/>
        <v>647.20000000000005</v>
      </c>
      <c r="AN93" s="1042">
        <f t="shared" si="234"/>
        <v>517.60</v>
      </c>
      <c r="AO93" s="1042">
        <f t="shared" si="234"/>
        <v>438.69999999999982</v>
      </c>
      <c r="AP93" s="1349">
        <f t="shared" si="234"/>
        <v>2076.50</v>
      </c>
      <c r="AQ93" s="1042">
        <f t="shared" si="234"/>
        <v>414.60</v>
      </c>
      <c r="AR93" s="1042">
        <f t="shared" si="234"/>
        <v>128.40000000000001</v>
      </c>
      <c r="AS93" s="1042">
        <f t="shared" si="234"/>
        <v>-62.40</v>
      </c>
      <c r="AT93" s="1042">
        <f t="shared" si="234"/>
        <v>138.60000000000002</v>
      </c>
      <c r="AU93" s="1349">
        <f t="shared" si="234"/>
        <v>619.20000000000005</v>
      </c>
      <c r="AV93" s="1042">
        <f t="shared" si="235" ref="AV93:BA93">AV294</f>
        <v>150.40000000000001</v>
      </c>
      <c r="AW93" s="1042">
        <f t="shared" si="235"/>
        <v>198.40</v>
      </c>
      <c r="AX93" s="1042">
        <f t="shared" si="235"/>
        <v>40.60</v>
      </c>
      <c r="AY93" s="1042">
        <f t="shared" si="235"/>
        <v>379.99999999999994</v>
      </c>
      <c r="AZ93" s="1349">
        <f t="shared" si="235"/>
        <v>769.40</v>
      </c>
      <c r="BA93" s="1042">
        <f t="shared" si="235"/>
        <v>-22.86960000000002</v>
      </c>
      <c r="BB93" s="1042">
        <f t="shared" si="236" ref="BB93:BG93">BB294</f>
        <v>126.50</v>
      </c>
      <c r="BC93" s="1042">
        <f t="shared" si="236"/>
        <v>706.20</v>
      </c>
      <c r="BD93" s="1042">
        <f t="shared" si="236"/>
        <v>1018.3696</v>
      </c>
      <c r="BE93" s="1349">
        <f t="shared" si="236"/>
        <v>1828.20</v>
      </c>
      <c r="BF93" s="1042">
        <f t="shared" si="236"/>
        <v>1046.0545000000002</v>
      </c>
      <c r="BG93" s="1042">
        <f t="shared" si="236"/>
        <v>782.70</v>
      </c>
      <c r="BH93" s="1043">
        <f>BH294</f>
        <v>664.50</v>
      </c>
      <c r="BI93" s="1044"/>
      <c r="BJ93" s="1350"/>
      <c r="BK93" s="1044"/>
      <c r="BL93" s="1044"/>
      <c r="BM93" s="1044"/>
      <c r="BN93" s="1044"/>
      <c r="BO93" s="1350"/>
      <c r="BP93" s="1351"/>
      <c r="BQ93" s="1351"/>
      <c r="BR93" s="1350"/>
      <c r="BS93" s="648"/>
    </row>
    <row r="94" spans="1:71" s="676" customFormat="1" ht="15" hidden="1" outlineLevel="2">
      <c r="A94" s="24" t="s">
        <v>613</v>
      </c>
      <c r="B94" s="396"/>
      <c r="C94" s="1352">
        <f>C91+C88</f>
        <v>0.92799999999999994</v>
      </c>
      <c r="D94" s="1352">
        <f t="shared" si="237" ref="D94:AU94">D91+D88</f>
        <v>0.94599999999999995</v>
      </c>
      <c r="E94" s="1352">
        <f t="shared" si="237"/>
        <v>0.93899999999999995</v>
      </c>
      <c r="F94" s="1352">
        <f t="shared" si="237"/>
        <v>0.95399999999999996</v>
      </c>
      <c r="G94" s="1352">
        <f t="shared" si="237"/>
        <v>0.93</v>
      </c>
      <c r="H94" s="197">
        <f t="shared" si="237"/>
        <v>0.96</v>
      </c>
      <c r="I94" s="197">
        <f t="shared" si="237"/>
        <v>0.93700000000000006</v>
      </c>
      <c r="J94" s="197">
        <f t="shared" si="237"/>
        <v>0.94199999999999995</v>
      </c>
      <c r="K94" s="197">
        <f t="shared" si="237"/>
        <v>0.93458149001912783</v>
      </c>
      <c r="L94" s="1352">
        <f t="shared" si="237"/>
        <v>0.94300000000000006</v>
      </c>
      <c r="M94" s="197">
        <f t="shared" si="237"/>
        <v>0.965</v>
      </c>
      <c r="N94" s="197">
        <f t="shared" si="237"/>
        <v>0.94199999999999995</v>
      </c>
      <c r="O94" s="197">
        <f t="shared" si="237"/>
        <v>0.95099999999999996</v>
      </c>
      <c r="P94" s="197">
        <f t="shared" si="237"/>
        <v>0.94673107270336243</v>
      </c>
      <c r="Q94" s="1352">
        <f t="shared" si="237"/>
        <v>0.95100000000000007</v>
      </c>
      <c r="R94" s="197">
        <f t="shared" si="237"/>
        <v>0.96399999999999997</v>
      </c>
      <c r="S94" s="197">
        <f t="shared" si="237"/>
        <v>0.96799999999999997</v>
      </c>
      <c r="T94" s="197">
        <f t="shared" si="237"/>
        <v>0.96500000000000008</v>
      </c>
      <c r="U94" s="197">
        <f t="shared" si="237"/>
        <v>0.92852673687647969</v>
      </c>
      <c r="V94" s="1352">
        <f t="shared" si="237"/>
        <v>0.95599999999999996</v>
      </c>
      <c r="W94" s="197">
        <f t="shared" si="237"/>
        <v>0.93099999999999994</v>
      </c>
      <c r="X94" s="197">
        <f t="shared" si="237"/>
        <v>0.93900000000000006</v>
      </c>
      <c r="Y94" s="197">
        <f t="shared" si="237"/>
        <v>0.95300000000000007</v>
      </c>
      <c r="Z94" s="197">
        <f t="shared" si="237"/>
        <v>0.92514630736430037</v>
      </c>
      <c r="AA94" s="1352">
        <f t="shared" si="237"/>
        <v>0.93700000000000006</v>
      </c>
      <c r="AB94" s="197">
        <f t="shared" si="237"/>
        <v>0.90099999999999991</v>
      </c>
      <c r="AC94" s="197">
        <f t="shared" si="237"/>
        <v>0.90999999999999992</v>
      </c>
      <c r="AD94" s="197">
        <f t="shared" si="237"/>
        <v>0.91199999999999992</v>
      </c>
      <c r="AE94" s="197">
        <f t="shared" si="237"/>
        <v>0.93855492149933328</v>
      </c>
      <c r="AF94" s="1352">
        <f t="shared" si="237"/>
        <v>0.91599999999999993</v>
      </c>
      <c r="AG94" s="197">
        <f t="shared" si="237"/>
        <v>0.90999999999999992</v>
      </c>
      <c r="AH94" s="197">
        <f t="shared" si="237"/>
        <v>0.91299999999999992</v>
      </c>
      <c r="AI94" s="197">
        <f t="shared" si="237"/>
        <v>0.92299999999999993</v>
      </c>
      <c r="AJ94" s="197">
        <f t="shared" si="237"/>
        <v>0.94299568245789811</v>
      </c>
      <c r="AK94" s="1352">
        <f t="shared" si="237"/>
        <v>0.92299999999999993</v>
      </c>
      <c r="AL94" s="197">
        <f t="shared" si="237"/>
        <v>0.88100000000000001</v>
      </c>
      <c r="AM94" s="197">
        <f t="shared" si="237"/>
        <v>0.845</v>
      </c>
      <c r="AN94" s="197">
        <f t="shared" si="237"/>
        <v>0.88</v>
      </c>
      <c r="AO94" s="197">
        <f t="shared" si="237"/>
        <v>0.90095913312693465</v>
      </c>
      <c r="AP94" s="1352">
        <f t="shared" si="237"/>
        <v>0.877</v>
      </c>
      <c r="AQ94" s="197">
        <f t="shared" si="237"/>
        <v>0.90600000000000003</v>
      </c>
      <c r="AR94" s="197">
        <f t="shared" si="237"/>
        <v>0.97199999999999998</v>
      </c>
      <c r="AS94" s="197">
        <f t="shared" si="237"/>
        <v>1.0129999999999999</v>
      </c>
      <c r="AT94" s="197">
        <f t="shared" si="237"/>
        <v>0.96972832260107689</v>
      </c>
      <c r="AU94" s="1352">
        <f t="shared" si="237"/>
        <v>0.96599999999999997</v>
      </c>
      <c r="AV94" s="197">
        <f t="shared" si="238" ref="AV94:BA94">AV91+AV88</f>
        <v>0.96900000000000008</v>
      </c>
      <c r="AW94" s="197">
        <f t="shared" si="238"/>
        <v>0.96</v>
      </c>
      <c r="AX94" s="197">
        <f t="shared" si="238"/>
        <v>0.99199999999999999</v>
      </c>
      <c r="AY94" s="197">
        <f t="shared" si="238"/>
        <v>0.92914339566304649</v>
      </c>
      <c r="AZ94" s="1352">
        <f t="shared" si="238"/>
        <v>0.96199999999999997</v>
      </c>
      <c r="BA94" s="197">
        <f t="shared" si="238"/>
        <v>1.004</v>
      </c>
      <c r="BB94" s="197">
        <f t="shared" si="239" ref="BB94:BG94">BB91+BB88</f>
        <v>0.98</v>
      </c>
      <c r="BC94" s="197">
        <f t="shared" si="239"/>
        <v>0.88900000000000001</v>
      </c>
      <c r="BD94" s="197">
        <f t="shared" si="239"/>
        <v>0.84912391935101883</v>
      </c>
      <c r="BE94" s="1352">
        <f t="shared" si="239"/>
        <v>0.92700000000000005</v>
      </c>
      <c r="BF94" s="197">
        <f t="shared" si="239"/>
        <v>0.85099999999999998</v>
      </c>
      <c r="BG94" s="197">
        <f t="shared" si="239"/>
        <v>0.89700000000000002</v>
      </c>
      <c r="BH94" s="815">
        <f>BH91+BH88</f>
        <v>0.91899999999999993</v>
      </c>
      <c r="BI94" s="909"/>
      <c r="BJ94" s="1340"/>
      <c r="BK94" s="909"/>
      <c r="BL94" s="909"/>
      <c r="BM94" s="909"/>
      <c r="BN94" s="909"/>
      <c r="BO94" s="1340"/>
      <c r="BP94" s="1339"/>
      <c r="BQ94" s="1339"/>
      <c r="BR94" s="1340"/>
      <c r="BS94" s="648"/>
    </row>
    <row r="95" spans="1:71" s="669" customFormat="1" ht="7.5" customHeight="1" hidden="1" outlineLevel="2">
      <c r="A95" s="107"/>
      <c r="B95" s="108"/>
      <c r="C95" s="1325"/>
      <c r="D95" s="1325"/>
      <c r="E95" s="1325"/>
      <c r="F95" s="1325"/>
      <c r="G95" s="1325"/>
      <c r="H95" s="726"/>
      <c r="I95" s="726"/>
      <c r="J95" s="726"/>
      <c r="K95" s="726"/>
      <c r="L95" s="1325"/>
      <c r="M95" s="726"/>
      <c r="N95" s="726"/>
      <c r="O95" s="726"/>
      <c r="P95" s="726"/>
      <c r="Q95" s="1325"/>
      <c r="R95" s="726"/>
      <c r="S95" s="726"/>
      <c r="T95" s="726"/>
      <c r="U95" s="726"/>
      <c r="V95" s="1325"/>
      <c r="W95" s="726"/>
      <c r="X95" s="726"/>
      <c r="Y95" s="726"/>
      <c r="Z95" s="726"/>
      <c r="AA95" s="1325"/>
      <c r="AB95" s="726"/>
      <c r="AC95" s="726"/>
      <c r="AD95" s="726"/>
      <c r="AE95" s="726"/>
      <c r="AF95" s="1325"/>
      <c r="AG95" s="726"/>
      <c r="AH95" s="726"/>
      <c r="AI95" s="726"/>
      <c r="AJ95" s="726"/>
      <c r="AK95" s="1325"/>
      <c r="AL95" s="726"/>
      <c r="AM95" s="726"/>
      <c r="AN95" s="726"/>
      <c r="AO95" s="726"/>
      <c r="AP95" s="1325"/>
      <c r="AQ95" s="726"/>
      <c r="AR95" s="726"/>
      <c r="AS95" s="726"/>
      <c r="AT95" s="726"/>
      <c r="AU95" s="1325"/>
      <c r="AV95" s="726"/>
      <c r="AW95" s="726"/>
      <c r="AX95" s="726"/>
      <c r="AY95" s="726"/>
      <c r="AZ95" s="1325"/>
      <c r="BA95" s="726"/>
      <c r="BB95" s="726"/>
      <c r="BC95" s="726"/>
      <c r="BD95" s="726"/>
      <c r="BE95" s="1325"/>
      <c r="BF95" s="726"/>
      <c r="BG95" s="726"/>
      <c r="BH95" s="808"/>
      <c r="BI95" s="98"/>
      <c r="BJ95" s="1326"/>
      <c r="BK95" s="98"/>
      <c r="BL95" s="98"/>
      <c r="BM95" s="98"/>
      <c r="BN95" s="98"/>
      <c r="BO95" s="1326"/>
      <c r="BP95" s="1325"/>
      <c r="BQ95" s="1325"/>
      <c r="BR95" s="1326"/>
      <c r="BS95" s="648"/>
    </row>
    <row r="96" spans="1:71" s="671" customFormat="1" ht="15" hidden="1" outlineLevel="2">
      <c r="A96" s="23" t="s">
        <v>614</v>
      </c>
      <c r="B96" s="414"/>
      <c r="C96" s="1330">
        <f t="shared" si="240" ref="C96:AU96">1-C94</f>
        <v>0.072000000000000064</v>
      </c>
      <c r="D96" s="1330">
        <f t="shared" si="240"/>
        <v>0.054000000000000048</v>
      </c>
      <c r="E96" s="1330">
        <f t="shared" si="240"/>
        <v>0.061000000000000054</v>
      </c>
      <c r="F96" s="1330">
        <f t="shared" si="240"/>
        <v>0.046000000000000041</v>
      </c>
      <c r="G96" s="1330">
        <f t="shared" si="240"/>
        <v>0.070000000000000062</v>
      </c>
      <c r="H96" s="199">
        <f t="shared" si="240"/>
        <v>0.040000000000000036</v>
      </c>
      <c r="I96" s="199">
        <f t="shared" si="240"/>
        <v>0.062999999999999945</v>
      </c>
      <c r="J96" s="199">
        <f t="shared" si="240"/>
        <v>0.058000000000000052</v>
      </c>
      <c r="K96" s="199">
        <f t="shared" si="240"/>
        <v>0.065418509980872175</v>
      </c>
      <c r="L96" s="1330">
        <f t="shared" si="240"/>
        <v>0.05699999999999994</v>
      </c>
      <c r="M96" s="199">
        <f t="shared" si="240"/>
        <v>0.035000000000000031</v>
      </c>
      <c r="N96" s="199">
        <f t="shared" si="240"/>
        <v>0.058000000000000052</v>
      </c>
      <c r="O96" s="199">
        <f t="shared" si="240"/>
        <v>0.049000000000000044</v>
      </c>
      <c r="P96" s="199">
        <f t="shared" si="240"/>
        <v>0.053268927296637569</v>
      </c>
      <c r="Q96" s="1330">
        <f t="shared" si="240"/>
        <v>0.048999999999999932</v>
      </c>
      <c r="R96" s="199">
        <f t="shared" si="240"/>
        <v>0.036000000000000032</v>
      </c>
      <c r="S96" s="199">
        <f t="shared" si="240"/>
        <v>0.032000000000000028</v>
      </c>
      <c r="T96" s="199">
        <f t="shared" si="240"/>
        <v>0.03499999999999992</v>
      </c>
      <c r="U96" s="199">
        <f t="shared" si="240"/>
        <v>0.071473263123520314</v>
      </c>
      <c r="V96" s="1330">
        <f t="shared" si="240"/>
        <v>0.044000000000000039</v>
      </c>
      <c r="W96" s="199">
        <f t="shared" si="240"/>
        <v>0.069000000000000061</v>
      </c>
      <c r="X96" s="199">
        <f t="shared" si="240"/>
        <v>0.060999999999999943</v>
      </c>
      <c r="Y96" s="199">
        <f t="shared" si="240"/>
        <v>0.046999999999999931</v>
      </c>
      <c r="Z96" s="199">
        <f t="shared" si="240"/>
        <v>0.074853692635699631</v>
      </c>
      <c r="AA96" s="1330">
        <f t="shared" si="240"/>
        <v>0.062999999999999945</v>
      </c>
      <c r="AB96" s="199">
        <f t="shared" si="240"/>
        <v>0.099000000000000088</v>
      </c>
      <c r="AC96" s="199">
        <f t="shared" si="240"/>
        <v>0.09000000000000008</v>
      </c>
      <c r="AD96" s="199">
        <f t="shared" si="240"/>
        <v>0.088000000000000078</v>
      </c>
      <c r="AE96" s="199">
        <f t="shared" si="240"/>
        <v>0.061445078500666717</v>
      </c>
      <c r="AF96" s="1330">
        <f t="shared" si="240"/>
        <v>0.084000000000000075</v>
      </c>
      <c r="AG96" s="199">
        <f t="shared" si="240"/>
        <v>0.09000000000000008</v>
      </c>
      <c r="AH96" s="199">
        <f t="shared" si="240"/>
        <v>0.087000000000000077</v>
      </c>
      <c r="AI96" s="199">
        <f t="shared" si="240"/>
        <v>0.077000000000000068</v>
      </c>
      <c r="AJ96" s="199">
        <f t="shared" si="240"/>
        <v>0.05700431754210189</v>
      </c>
      <c r="AK96" s="1330">
        <f t="shared" si="240"/>
        <v>0.077000000000000068</v>
      </c>
      <c r="AL96" s="199">
        <f t="shared" si="240"/>
        <v>0.11899999999999999</v>
      </c>
      <c r="AM96" s="199">
        <f t="shared" si="240"/>
        <v>0.15500000000000003</v>
      </c>
      <c r="AN96" s="199">
        <f t="shared" si="240"/>
        <v>0.12</v>
      </c>
      <c r="AO96" s="199">
        <f t="shared" si="240"/>
        <v>0.099040866873065347</v>
      </c>
      <c r="AP96" s="1330">
        <f t="shared" si="240"/>
        <v>0.123</v>
      </c>
      <c r="AQ96" s="199">
        <f t="shared" si="240"/>
        <v>0.093999999999999972</v>
      </c>
      <c r="AR96" s="199">
        <f t="shared" si="240"/>
        <v>0.028000000000000025</v>
      </c>
      <c r="AS96" s="199">
        <f t="shared" si="240"/>
        <v>-0.012999999999999901</v>
      </c>
      <c r="AT96" s="199">
        <f t="shared" si="240"/>
        <v>0.030271677398923114</v>
      </c>
      <c r="AU96" s="1330">
        <f t="shared" si="240"/>
        <v>0.03400000000000003</v>
      </c>
      <c r="AV96" s="199">
        <f t="shared" si="241" ref="AV96:BA96">1-AV94</f>
        <v>0.030999999999999917</v>
      </c>
      <c r="AW96" s="199">
        <f t="shared" si="241"/>
        <v>0.040000000000000036</v>
      </c>
      <c r="AX96" s="199">
        <f t="shared" si="241"/>
        <v>0.0080000000000000071</v>
      </c>
      <c r="AY96" s="199">
        <f t="shared" si="241"/>
        <v>0.07085660433695351</v>
      </c>
      <c r="AZ96" s="1330">
        <f t="shared" si="241"/>
        <v>0.038000000000000034</v>
      </c>
      <c r="BA96" s="199">
        <f t="shared" si="241"/>
        <v>-0.0040000000000000036</v>
      </c>
      <c r="BB96" s="199">
        <f t="shared" si="242" ref="BB96:BG96">1-BB94</f>
        <v>0.020000000000000018</v>
      </c>
      <c r="BC96" s="199">
        <f t="shared" si="242"/>
        <v>0.11099999999999999</v>
      </c>
      <c r="BD96" s="199">
        <f t="shared" si="242"/>
        <v>0.15087608064898117</v>
      </c>
      <c r="BE96" s="1330">
        <f t="shared" si="242"/>
        <v>0.072999999999999954</v>
      </c>
      <c r="BF96" s="199">
        <f t="shared" si="242"/>
        <v>0.14900000000000002</v>
      </c>
      <c r="BG96" s="199">
        <f t="shared" si="242"/>
        <v>0.10299999999999998</v>
      </c>
      <c r="BH96" s="810">
        <f>1-BH94</f>
        <v>0.081000000000000072</v>
      </c>
      <c r="BI96" s="931"/>
      <c r="BJ96" s="1353"/>
      <c r="BK96" s="931"/>
      <c r="BL96" s="931"/>
      <c r="BM96" s="931"/>
      <c r="BN96" s="931"/>
      <c r="BO96" s="1353"/>
      <c r="BP96" s="1331"/>
      <c r="BQ96" s="1331"/>
      <c r="BR96" s="1353"/>
      <c r="BS96" s="648"/>
    </row>
    <row r="97" spans="1:71" s="668" customFormat="1" ht="15" hidden="1" outlineLevel="2">
      <c r="A97" s="904"/>
      <c r="B97" s="394"/>
      <c r="C97" s="1322"/>
      <c r="D97" s="1322"/>
      <c r="E97" s="1322"/>
      <c r="F97" s="1322"/>
      <c r="G97" s="1322"/>
      <c r="H97" s="1031"/>
      <c r="I97" s="1031"/>
      <c r="J97" s="1031"/>
      <c r="K97" s="1031"/>
      <c r="L97" s="1322"/>
      <c r="M97" s="1031"/>
      <c r="N97" s="1031"/>
      <c r="O97" s="1031"/>
      <c r="P97" s="1031"/>
      <c r="Q97" s="1322"/>
      <c r="R97" s="1031"/>
      <c r="S97" s="1031"/>
      <c r="T97" s="1031"/>
      <c r="U97" s="1031"/>
      <c r="V97" s="1322"/>
      <c r="W97" s="1031"/>
      <c r="X97" s="1031"/>
      <c r="Y97" s="1031"/>
      <c r="Z97" s="1031"/>
      <c r="AA97" s="1322"/>
      <c r="AB97" s="1031"/>
      <c r="AC97" s="1031"/>
      <c r="AD97" s="1031"/>
      <c r="AE97" s="1031"/>
      <c r="AF97" s="1322"/>
      <c r="AG97" s="1031"/>
      <c r="AH97" s="1031"/>
      <c r="AI97" s="1031"/>
      <c r="AJ97" s="1031"/>
      <c r="AK97" s="1322"/>
      <c r="AL97" s="1031"/>
      <c r="AM97" s="1031"/>
      <c r="AN97" s="1031"/>
      <c r="AO97" s="1031"/>
      <c r="AP97" s="1322"/>
      <c r="AQ97" s="1031"/>
      <c r="AR97" s="1031"/>
      <c r="AS97" s="1031"/>
      <c r="AT97" s="1031"/>
      <c r="AU97" s="1322"/>
      <c r="AV97" s="1031"/>
      <c r="AW97" s="1031"/>
      <c r="AX97" s="1031"/>
      <c r="AY97" s="1031"/>
      <c r="AZ97" s="1322"/>
      <c r="BA97" s="1031"/>
      <c r="BB97" s="1031"/>
      <c r="BC97" s="1031"/>
      <c r="BD97" s="1031"/>
      <c r="BE97" s="1322"/>
      <c r="BF97" s="1031"/>
      <c r="BG97" s="1031"/>
      <c r="BH97" s="1049"/>
      <c r="BI97" s="1023"/>
      <c r="BJ97" s="1321"/>
      <c r="BK97" s="1023"/>
      <c r="BL97" s="1023"/>
      <c r="BM97" s="1023"/>
      <c r="BN97" s="1023"/>
      <c r="BO97" s="1321"/>
      <c r="BP97" s="1322"/>
      <c r="BQ97" s="1322"/>
      <c r="BR97" s="1321"/>
      <c r="BS97" s="648"/>
    </row>
    <row r="98" spans="1:71" s="668" customFormat="1" ht="15" hidden="1" outlineLevel="2">
      <c r="A98" s="25" t="s">
        <v>588</v>
      </c>
      <c r="B98" s="394"/>
      <c r="C98" s="1354">
        <v>10464.90</v>
      </c>
      <c r="D98" s="1320">
        <f t="shared" si="243" ref="D98:K98">C100</f>
        <v>10940.60</v>
      </c>
      <c r="E98" s="1320">
        <f t="shared" si="243"/>
        <v>11702.700000000001</v>
      </c>
      <c r="F98" s="1320">
        <f t="shared" si="243"/>
        <v>12283.80</v>
      </c>
      <c r="G98" s="1320">
        <f t="shared" si="243"/>
        <v>12735.299999999999</v>
      </c>
      <c r="H98" s="1021">
        <f t="shared" si="243"/>
        <v>13056.399999999998</v>
      </c>
      <c r="I98" s="1021">
        <f t="shared" si="243"/>
        <v>13278.80</v>
      </c>
      <c r="J98" s="1021">
        <f t="shared" si="243"/>
        <v>13360.899999999998</v>
      </c>
      <c r="K98" s="1021">
        <f t="shared" si="243"/>
        <v>13319.80</v>
      </c>
      <c r="L98" s="1320">
        <f>G100</f>
        <v>13056.399999999998</v>
      </c>
      <c r="M98" s="1021">
        <f>L100</f>
        <v>13261.90</v>
      </c>
      <c r="N98" s="1021">
        <f>M100</f>
        <v>13492.300000000001</v>
      </c>
      <c r="O98" s="1021">
        <f>N100</f>
        <v>13626.20</v>
      </c>
      <c r="P98" s="1021">
        <f>O100</f>
        <v>13720.700000000001</v>
      </c>
      <c r="Q98" s="1320">
        <f>L100</f>
        <v>13261.90</v>
      </c>
      <c r="R98" s="1021">
        <f>Q100</f>
        <v>13764.699999999999</v>
      </c>
      <c r="S98" s="1021">
        <f>R100</f>
        <v>14185.80</v>
      </c>
      <c r="T98" s="1021">
        <f>S100</f>
        <v>14479.299999999999</v>
      </c>
      <c r="U98" s="1021">
        <f>T100</f>
        <v>14595.20</v>
      </c>
      <c r="V98" s="1320">
        <f>Q100</f>
        <v>13764.699999999999</v>
      </c>
      <c r="W98" s="1021">
        <f>V100</f>
        <v>14656.80</v>
      </c>
      <c r="X98" s="1021">
        <f>W100</f>
        <v>15054.40</v>
      </c>
      <c r="Y98" s="1021">
        <f>X100</f>
        <v>15399.20</v>
      </c>
      <c r="Z98" s="1021">
        <f>Y100</f>
        <v>15801.000000000002</v>
      </c>
      <c r="AA98" s="1320">
        <f>V100</f>
        <v>14656.80</v>
      </c>
      <c r="AB98" s="1021">
        <f>AA100</f>
        <v>16075.50</v>
      </c>
      <c r="AC98" s="1021">
        <f>AB100</f>
        <v>16580.900000000001</v>
      </c>
      <c r="AD98" s="1021">
        <f>AC100</f>
        <v>17145.699999999997</v>
      </c>
      <c r="AE98" s="1021">
        <f>AD100</f>
        <v>17544</v>
      </c>
      <c r="AF98" s="1320">
        <f>AA100</f>
        <v>16075.50</v>
      </c>
      <c r="AG98" s="1021">
        <f>AF100</f>
        <v>17759</v>
      </c>
      <c r="AH98" s="1021">
        <f>AG100</f>
        <v>18346.50</v>
      </c>
      <c r="AI98" s="1021">
        <f>AH100</f>
        <v>18822.299999999999</v>
      </c>
      <c r="AJ98" s="1021">
        <f>AI100</f>
        <v>19187.40</v>
      </c>
      <c r="AK98" s="1320">
        <f>AF100</f>
        <v>17759</v>
      </c>
      <c r="AL98" s="1021">
        <f>AK100</f>
        <v>19408.60</v>
      </c>
      <c r="AM98" s="1021">
        <f>AL100</f>
        <v>19865.40</v>
      </c>
      <c r="AN98" s="1021">
        <f>AM100</f>
        <v>20660.60</v>
      </c>
      <c r="AO98" s="1021">
        <f>AN100</f>
        <v>21207.20</v>
      </c>
      <c r="AP98" s="1320">
        <f>AK100</f>
        <v>19408.60</v>
      </c>
      <c r="AQ98" s="1021">
        <f>AP100</f>
        <v>21413.50</v>
      </c>
      <c r="AR98" s="1021">
        <f>AQ100</f>
        <v>22229</v>
      </c>
      <c r="AS98" s="1021">
        <f>AR100</f>
        <v>22807.20</v>
      </c>
      <c r="AT98" s="1021">
        <f>AS100</f>
        <v>22869.099999999999</v>
      </c>
      <c r="AU98" s="1320">
        <f>AP100</f>
        <v>21413.50</v>
      </c>
      <c r="AV98" s="1021">
        <f>AU100</f>
        <v>22735.700000000001</v>
      </c>
      <c r="AW98" s="1021">
        <f>AV100</f>
        <v>22645.60</v>
      </c>
      <c r="AX98" s="1021">
        <f>AW100</f>
        <v>22661.50</v>
      </c>
      <c r="AY98" s="1021">
        <f>AX100</f>
        <v>22982.099999999999</v>
      </c>
      <c r="AZ98" s="1320">
        <f>AU100</f>
        <v>22735.700000000001</v>
      </c>
      <c r="BA98" s="1021">
        <f>AZ100</f>
        <v>23455.400000000001</v>
      </c>
      <c r="BB98" s="1021">
        <f>BA100</f>
        <v>24805.700000000001</v>
      </c>
      <c r="BC98" s="1021">
        <f>BB100</f>
        <v>25501.400000000001</v>
      </c>
      <c r="BD98" s="1021">
        <f>BC100</f>
        <v>25473.799999999999</v>
      </c>
      <c r="BE98" s="1320">
        <f>AZ100</f>
        <v>23455.400000000001</v>
      </c>
      <c r="BF98" s="1021">
        <f>BE100</f>
        <v>25494.50</v>
      </c>
      <c r="BG98" s="1021">
        <f>BF100</f>
        <v>26524</v>
      </c>
      <c r="BH98" s="1022">
        <f>BG100</f>
        <v>27853.399999999998</v>
      </c>
      <c r="BI98" s="1023">
        <f>BH100</f>
        <v>29278.50</v>
      </c>
      <c r="BJ98" s="1321">
        <f>BE100</f>
        <v>25494.50</v>
      </c>
      <c r="BK98" s="1023">
        <f>BI100</f>
        <v>29864.07</v>
      </c>
      <c r="BL98" s="1023">
        <f>BK100</f>
        <v>30461.351400000003</v>
      </c>
      <c r="BM98" s="1023">
        <f>BL100</f>
        <v>31070.578428000001</v>
      </c>
      <c r="BN98" s="1023">
        <f>BM100</f>
        <v>31691.989996560002</v>
      </c>
      <c r="BO98" s="1321">
        <f>BJ100</f>
        <v>29864.07</v>
      </c>
      <c r="BP98" s="1322">
        <f>BO100</f>
        <v>32325.829796491205</v>
      </c>
      <c r="BQ98" s="1322">
        <f>BP100</f>
        <v>32972.346392421023</v>
      </c>
      <c r="BR98" s="1321">
        <f>BQ100</f>
        <v>33631.793320269448</v>
      </c>
      <c r="BS98" s="648"/>
    </row>
    <row r="99" spans="1:71" s="665" customFormat="1" ht="15" hidden="1" outlineLevel="2">
      <c r="A99" s="1000" t="s">
        <v>591</v>
      </c>
      <c r="B99" s="260"/>
      <c r="C99" s="1323">
        <f t="shared" si="244" ref="C99:AM99">C100-C98</f>
        <v>475.69999999999891</v>
      </c>
      <c r="D99" s="1323">
        <f t="shared" si="244"/>
        <v>762.10000000000218</v>
      </c>
      <c r="E99" s="1323">
        <f t="shared" si="244"/>
        <v>581.09999999999854</v>
      </c>
      <c r="F99" s="1323">
        <f t="shared" si="244"/>
        <v>451.50</v>
      </c>
      <c r="G99" s="1323">
        <f t="shared" si="244"/>
        <v>321.09999999999854</v>
      </c>
      <c r="H99" s="1027">
        <f t="shared" si="244"/>
        <v>222.40000000000327</v>
      </c>
      <c r="I99" s="1027">
        <f t="shared" si="244"/>
        <v>82.099999999996726</v>
      </c>
      <c r="J99" s="1027">
        <f t="shared" si="244"/>
        <v>-41.099999999998545</v>
      </c>
      <c r="K99" s="1027">
        <f t="shared" si="244"/>
        <v>-57.899999999999636</v>
      </c>
      <c r="L99" s="1323">
        <f t="shared" si="244"/>
        <v>205.50000000000182</v>
      </c>
      <c r="M99" s="1027">
        <f t="shared" si="244"/>
        <v>230.40000000000146</v>
      </c>
      <c r="N99" s="1027">
        <f t="shared" si="244"/>
        <v>133.89999999999964</v>
      </c>
      <c r="O99" s="1027">
        <f t="shared" si="244"/>
        <v>94.50</v>
      </c>
      <c r="P99" s="1027">
        <f t="shared" si="244"/>
        <v>43.999999999998181</v>
      </c>
      <c r="Q99" s="1323">
        <f t="shared" si="244"/>
        <v>502.79999999999927</v>
      </c>
      <c r="R99" s="1027">
        <f t="shared" si="244"/>
        <v>421.10000000000036</v>
      </c>
      <c r="S99" s="1027">
        <f t="shared" si="244"/>
        <v>293.50</v>
      </c>
      <c r="T99" s="1027">
        <f t="shared" si="244"/>
        <v>115.90000000000146</v>
      </c>
      <c r="U99" s="1027">
        <f t="shared" si="244"/>
        <v>61.600000000000364</v>
      </c>
      <c r="V99" s="1323">
        <f t="shared" si="244"/>
        <v>892.10000000000218</v>
      </c>
      <c r="W99" s="1027">
        <f t="shared" si="244"/>
        <v>397.59999999999854</v>
      </c>
      <c r="X99" s="1027">
        <f t="shared" si="244"/>
        <v>344.80000000000109</v>
      </c>
      <c r="Y99" s="1027">
        <f t="shared" si="244"/>
        <v>401.80000000000109</v>
      </c>
      <c r="Z99" s="1027">
        <f t="shared" si="244"/>
        <v>274.49999999999818</v>
      </c>
      <c r="AA99" s="1323">
        <f t="shared" si="244"/>
        <v>1418.6999999999989</v>
      </c>
      <c r="AB99" s="1027">
        <f t="shared" si="244"/>
        <v>505.40000000000146</v>
      </c>
      <c r="AC99" s="1027">
        <f t="shared" si="244"/>
        <v>564.79999999999563</v>
      </c>
      <c r="AD99" s="1027">
        <f t="shared" si="244"/>
        <v>398.30000000000291</v>
      </c>
      <c r="AE99" s="1027">
        <f t="shared" si="244"/>
        <v>215</v>
      </c>
      <c r="AF99" s="1323">
        <f t="shared" si="244"/>
        <v>1683.50</v>
      </c>
      <c r="AG99" s="1027">
        <f t="shared" si="244"/>
        <v>587.50</v>
      </c>
      <c r="AH99" s="1027">
        <f t="shared" si="244"/>
        <v>475.79999999999927</v>
      </c>
      <c r="AI99" s="1027">
        <f t="shared" si="244"/>
        <v>365.10000000000218</v>
      </c>
      <c r="AJ99" s="1027">
        <f t="shared" si="244"/>
        <v>221.19999999999709</v>
      </c>
      <c r="AK99" s="1323">
        <f t="shared" si="244"/>
        <v>1649.5999999999985</v>
      </c>
      <c r="AL99" s="1027">
        <f t="shared" si="244"/>
        <v>456.80000000000291</v>
      </c>
      <c r="AM99" s="1027">
        <f t="shared" si="244"/>
        <v>795.19999999999709</v>
      </c>
      <c r="AN99" s="1027">
        <f t="shared" si="245" ref="AN99:AU99">AN100-AN98</f>
        <v>546.60000000000218</v>
      </c>
      <c r="AO99" s="1027">
        <f t="shared" si="245"/>
        <v>206.29999999999927</v>
      </c>
      <c r="AP99" s="1323">
        <f t="shared" si="245"/>
        <v>2004.9000000000015</v>
      </c>
      <c r="AQ99" s="1027">
        <f t="shared" si="245"/>
        <v>815.50</v>
      </c>
      <c r="AR99" s="1027">
        <f t="shared" si="245"/>
        <v>578.20000000000073</v>
      </c>
      <c r="AS99" s="1027">
        <f t="shared" si="245"/>
        <v>61.899999999997817</v>
      </c>
      <c r="AT99" s="1027">
        <f t="shared" si="245"/>
        <v>-133.39999999999782</v>
      </c>
      <c r="AU99" s="1323">
        <f t="shared" si="245"/>
        <v>1322.2000000000007</v>
      </c>
      <c r="AV99" s="1027">
        <f t="shared" si="246" ref="AV99:AZ99">AV100-AV98</f>
        <v>-90.100000000002183</v>
      </c>
      <c r="AW99" s="1027">
        <f t="shared" si="246"/>
        <v>15.900000000001455</v>
      </c>
      <c r="AX99" s="1027">
        <f t="shared" si="246"/>
        <v>320.59999999999854</v>
      </c>
      <c r="AY99" s="1027">
        <f t="shared" si="246"/>
        <v>473.30000000000291</v>
      </c>
      <c r="AZ99" s="1323">
        <f t="shared" si="246"/>
        <v>719.70000000000073</v>
      </c>
      <c r="BA99" s="1027">
        <f t="shared" si="247" ref="BA99:BI99">BA100-BA98</f>
        <v>1350.2999999999993</v>
      </c>
      <c r="BB99" s="1027">
        <f t="shared" si="247"/>
        <v>695.70000000000073</v>
      </c>
      <c r="BC99" s="1027">
        <f t="shared" si="247"/>
        <v>-27.600000000002183</v>
      </c>
      <c r="BD99" s="1027">
        <f t="shared" si="247"/>
        <v>20.700000000000728</v>
      </c>
      <c r="BE99" s="1323">
        <f t="shared" si="247"/>
        <v>2039.0999999999985</v>
      </c>
      <c r="BF99" s="1027">
        <f>BF100-BF98</f>
        <v>1029.50</v>
      </c>
      <c r="BG99" s="1027">
        <f>BG100-BG98</f>
        <v>1329.3999999999978</v>
      </c>
      <c r="BH99" s="1028">
        <f>BH100-BH98</f>
        <v>1425.1000000000022</v>
      </c>
      <c r="BI99" s="1029">
        <f t="shared" si="247"/>
        <v>585.56999999999971</v>
      </c>
      <c r="BJ99" s="1324">
        <f>SUM(BF99,BG99,BH99,BI99)</f>
        <v>4369.5699999999997</v>
      </c>
      <c r="BK99" s="1029">
        <f>BK100-BK98</f>
        <v>597.28140000000349</v>
      </c>
      <c r="BL99" s="1029">
        <f>BL100-BL98</f>
        <v>609.22702799999752</v>
      </c>
      <c r="BM99" s="1029">
        <f>BM100-BM98</f>
        <v>621.41156856000089</v>
      </c>
      <c r="BN99" s="1029">
        <f>BN100-BN98</f>
        <v>633.83979993120374</v>
      </c>
      <c r="BO99" s="1324">
        <f>SUM(BK99,BL99,BM99,BN99)</f>
        <v>2461.7597964912056</v>
      </c>
      <c r="BP99" s="1324">
        <f>BP100-BP98</f>
        <v>646.51659592981741</v>
      </c>
      <c r="BQ99" s="1324">
        <f>BQ100-BQ98</f>
        <v>659.44692784842482</v>
      </c>
      <c r="BR99" s="1324">
        <f>BR100-BR98</f>
        <v>672.63586640539143</v>
      </c>
      <c r="BS99" s="648"/>
    </row>
    <row r="100" spans="1:71" s="668" customFormat="1" ht="15" hidden="1" outlineLevel="2">
      <c r="A100" s="25" t="s">
        <v>589</v>
      </c>
      <c r="B100" s="394"/>
      <c r="C100" s="1320">
        <f t="shared" si="248" ref="C100:AU100">C207</f>
        <v>10940.60</v>
      </c>
      <c r="D100" s="1320">
        <f t="shared" si="248"/>
        <v>11702.700000000001</v>
      </c>
      <c r="E100" s="1320">
        <f t="shared" si="248"/>
        <v>12283.80</v>
      </c>
      <c r="F100" s="1320">
        <f t="shared" si="248"/>
        <v>12735.299999999999</v>
      </c>
      <c r="G100" s="1320">
        <f t="shared" si="248"/>
        <v>13056.399999999998</v>
      </c>
      <c r="H100" s="1021">
        <f t="shared" si="248"/>
        <v>13278.80</v>
      </c>
      <c r="I100" s="1021">
        <f t="shared" si="248"/>
        <v>13360.899999999998</v>
      </c>
      <c r="J100" s="1021">
        <f t="shared" si="248"/>
        <v>13319.80</v>
      </c>
      <c r="K100" s="1021">
        <f t="shared" si="248"/>
        <v>13261.90</v>
      </c>
      <c r="L100" s="1320">
        <f t="shared" si="248"/>
        <v>13261.90</v>
      </c>
      <c r="M100" s="1021">
        <f t="shared" si="248"/>
        <v>13492.300000000001</v>
      </c>
      <c r="N100" s="1021">
        <f t="shared" si="248"/>
        <v>13626.20</v>
      </c>
      <c r="O100" s="1021">
        <f t="shared" si="248"/>
        <v>13720.700000000001</v>
      </c>
      <c r="P100" s="1021">
        <f t="shared" si="248"/>
        <v>13764.699999999999</v>
      </c>
      <c r="Q100" s="1320">
        <f t="shared" si="248"/>
        <v>13764.699999999999</v>
      </c>
      <c r="R100" s="1021">
        <f t="shared" si="248"/>
        <v>14185.80</v>
      </c>
      <c r="S100" s="1021">
        <f t="shared" si="248"/>
        <v>14479.299999999999</v>
      </c>
      <c r="T100" s="1021">
        <f t="shared" si="248"/>
        <v>14595.20</v>
      </c>
      <c r="U100" s="1021">
        <f t="shared" si="248"/>
        <v>14656.80</v>
      </c>
      <c r="V100" s="1320">
        <f t="shared" si="248"/>
        <v>14656.80</v>
      </c>
      <c r="W100" s="1021">
        <f t="shared" si="248"/>
        <v>15054.40</v>
      </c>
      <c r="X100" s="1021">
        <f t="shared" si="248"/>
        <v>15399.20</v>
      </c>
      <c r="Y100" s="1021">
        <f t="shared" si="248"/>
        <v>15801.000000000002</v>
      </c>
      <c r="Z100" s="1021">
        <f t="shared" si="248"/>
        <v>16075.50</v>
      </c>
      <c r="AA100" s="1320">
        <f t="shared" si="248"/>
        <v>16075.50</v>
      </c>
      <c r="AB100" s="1021">
        <f t="shared" si="248"/>
        <v>16580.900000000001</v>
      </c>
      <c r="AC100" s="1021">
        <f t="shared" si="248"/>
        <v>17145.699999999997</v>
      </c>
      <c r="AD100" s="1021">
        <f t="shared" si="248"/>
        <v>17544</v>
      </c>
      <c r="AE100" s="1021">
        <f t="shared" si="248"/>
        <v>17759</v>
      </c>
      <c r="AF100" s="1320">
        <f t="shared" si="248"/>
        <v>17759</v>
      </c>
      <c r="AG100" s="1021">
        <f t="shared" si="248"/>
        <v>18346.50</v>
      </c>
      <c r="AH100" s="1021">
        <f t="shared" si="248"/>
        <v>18822.299999999999</v>
      </c>
      <c r="AI100" s="1021">
        <f t="shared" si="248"/>
        <v>19187.40</v>
      </c>
      <c r="AJ100" s="1021">
        <f t="shared" si="248"/>
        <v>19408.60</v>
      </c>
      <c r="AK100" s="1320">
        <f t="shared" si="248"/>
        <v>19408.60</v>
      </c>
      <c r="AL100" s="1021">
        <f t="shared" si="248"/>
        <v>19865.40</v>
      </c>
      <c r="AM100" s="1021">
        <f t="shared" si="248"/>
        <v>20660.60</v>
      </c>
      <c r="AN100" s="1021">
        <f t="shared" si="248"/>
        <v>21207.20</v>
      </c>
      <c r="AO100" s="1021">
        <f t="shared" si="248"/>
        <v>21413.50</v>
      </c>
      <c r="AP100" s="1320">
        <f t="shared" si="248"/>
        <v>21413.50</v>
      </c>
      <c r="AQ100" s="1021">
        <f t="shared" si="248"/>
        <v>22229</v>
      </c>
      <c r="AR100" s="1021">
        <f t="shared" si="248"/>
        <v>22807.20</v>
      </c>
      <c r="AS100" s="1021">
        <f t="shared" si="248"/>
        <v>22869.099999999999</v>
      </c>
      <c r="AT100" s="1021">
        <f t="shared" si="248"/>
        <v>22735.700000000001</v>
      </c>
      <c r="AU100" s="1320">
        <f t="shared" si="248"/>
        <v>22735.700000000001</v>
      </c>
      <c r="AV100" s="1021">
        <f t="shared" si="249" ref="AV100:BA100">AV207</f>
        <v>22645.60</v>
      </c>
      <c r="AW100" s="1021">
        <f t="shared" si="249"/>
        <v>22661.50</v>
      </c>
      <c r="AX100" s="1021">
        <f t="shared" si="249"/>
        <v>22982.099999999999</v>
      </c>
      <c r="AY100" s="1021">
        <f t="shared" si="249"/>
        <v>23455.400000000001</v>
      </c>
      <c r="AZ100" s="1320">
        <f t="shared" si="249"/>
        <v>23455.400000000001</v>
      </c>
      <c r="BA100" s="1021">
        <f t="shared" si="249"/>
        <v>24805.700000000001</v>
      </c>
      <c r="BB100" s="1021">
        <f t="shared" si="250" ref="BB100:BG100">BB207</f>
        <v>25501.400000000001</v>
      </c>
      <c r="BC100" s="1021">
        <f t="shared" si="250"/>
        <v>25473.799999999999</v>
      </c>
      <c r="BD100" s="1021">
        <f t="shared" si="250"/>
        <v>25494.50</v>
      </c>
      <c r="BE100" s="1320">
        <f t="shared" si="250"/>
        <v>25494.50</v>
      </c>
      <c r="BF100" s="1021">
        <f t="shared" si="250"/>
        <v>26524</v>
      </c>
      <c r="BG100" s="1021">
        <f t="shared" si="250"/>
        <v>27853.399999999998</v>
      </c>
      <c r="BH100" s="1022">
        <f>BH207</f>
        <v>29278.50</v>
      </c>
      <c r="BI100" s="1023">
        <f>BI42+BI33+BI71</f>
        <v>29864.07</v>
      </c>
      <c r="BJ100" s="1321">
        <f>BJ98+BJ99</f>
        <v>29864.07</v>
      </c>
      <c r="BK100" s="1023">
        <f>BK42+BK33+BK71</f>
        <v>30461.351400000003</v>
      </c>
      <c r="BL100" s="1023">
        <f>BL42+BL33+BL71</f>
        <v>31070.578428000001</v>
      </c>
      <c r="BM100" s="1023">
        <f>BM42+BM33+BM71</f>
        <v>31691.989996560002</v>
      </c>
      <c r="BN100" s="1023">
        <f>BN42+BN33+BN71</f>
        <v>32325.829796491205</v>
      </c>
      <c r="BO100" s="1321">
        <f>BO98+BO99</f>
        <v>32325.829796491205</v>
      </c>
      <c r="BP100" s="1322">
        <f>BP42+BP33+BP71</f>
        <v>32972.346392421023</v>
      </c>
      <c r="BQ100" s="1322">
        <f>BQ42+BQ33+BQ71</f>
        <v>33631.793320269448</v>
      </c>
      <c r="BR100" s="1321">
        <f>BR42+BR33+BR71</f>
        <v>34304.429186674839</v>
      </c>
      <c r="BS100" s="648"/>
    </row>
    <row r="101" spans="1:71" s="669" customFormat="1" ht="15" hidden="1" outlineLevel="2">
      <c r="A101" s="107" t="s">
        <v>540</v>
      </c>
      <c r="B101" s="108"/>
      <c r="C101" s="1325"/>
      <c r="D101" s="1325"/>
      <c r="E101" s="1325"/>
      <c r="F101" s="1325"/>
      <c r="G101" s="1325"/>
      <c r="H101" s="726">
        <f>H100/G100-1</f>
        <v>0.017033791856867486</v>
      </c>
      <c r="I101" s="726">
        <f>I100/H100-1</f>
        <v>0.006182787601288986</v>
      </c>
      <c r="J101" s="726">
        <f>J100/I100-1</f>
        <v>-0.0030761400803837047</v>
      </c>
      <c r="K101" s="726">
        <f>K100/J100-1</f>
        <v>-0.0043469121157975188</v>
      </c>
      <c r="L101" s="1325"/>
      <c r="M101" s="726">
        <f>M100/K100-1</f>
        <v>0.017373076256041786</v>
      </c>
      <c r="N101" s="726">
        <f>N100/M100-1</f>
        <v>0.0099241789761568278</v>
      </c>
      <c r="O101" s="726">
        <f>O100/N100-1</f>
        <v>0.0069351690126373544</v>
      </c>
      <c r="P101" s="726">
        <f>P100/O100-1</f>
        <v>0.0032068334705954715</v>
      </c>
      <c r="Q101" s="1325"/>
      <c r="R101" s="726">
        <f>R100/P100-1</f>
        <v>0.030592748116559099</v>
      </c>
      <c r="S101" s="726">
        <f>S100/R100-1</f>
        <v>0.020689703788295377</v>
      </c>
      <c r="T101" s="726">
        <f>T100/S100-1</f>
        <v>0.0080045306057614507</v>
      </c>
      <c r="U101" s="726">
        <f>U100/T100-1</f>
        <v>0.0042205656654241697</v>
      </c>
      <c r="V101" s="1325"/>
      <c r="W101" s="726">
        <f>W100/U100-1</f>
        <v>0.027127340210687079</v>
      </c>
      <c r="X101" s="726">
        <f>X100/W100-1</f>
        <v>0.0229036029333618</v>
      </c>
      <c r="Y101" s="726">
        <f>Y100/X100-1</f>
        <v>0.026092264533222664</v>
      </c>
      <c r="Z101" s="726">
        <f>Z100/Y100-1</f>
        <v>0.017372318207708348</v>
      </c>
      <c r="AA101" s="1325"/>
      <c r="AB101" s="726">
        <f>AB100/Z100-1</f>
        <v>0.031439146527324269</v>
      </c>
      <c r="AC101" s="726">
        <f>AC100/AB100-1</f>
        <v>0.034063289688738063</v>
      </c>
      <c r="AD101" s="726">
        <f>AD100/AC100-1</f>
        <v>0.023230314306211142</v>
      </c>
      <c r="AE101" s="726">
        <f>AE100/AD100-1</f>
        <v>0.01225490196078427</v>
      </c>
      <c r="AF101" s="1325"/>
      <c r="AG101" s="726">
        <f>AG100/AE100-1</f>
        <v>0.033081817669913915</v>
      </c>
      <c r="AH101" s="726">
        <f>AH100/AG100-1</f>
        <v>0.025934101872291615</v>
      </c>
      <c r="AI101" s="726">
        <f>AI100/AH100-1</f>
        <v>0.019397204379911104</v>
      </c>
      <c r="AJ101" s="726">
        <f>AJ100/AI100-1</f>
        <v>0.011528398845075172</v>
      </c>
      <c r="AK101" s="1325"/>
      <c r="AL101" s="726">
        <f>AL100/AJ100-1</f>
        <v>0.023535958286532876</v>
      </c>
      <c r="AM101" s="726">
        <f>AM100/AL100-1</f>
        <v>0.040029397847513692</v>
      </c>
      <c r="AN101" s="726">
        <f>AN100/AM100-1</f>
        <v>0.026456153257891968</v>
      </c>
      <c r="AO101" s="726">
        <f>AO100/AN100-1</f>
        <v>0.0097278282847335085</v>
      </c>
      <c r="AP101" s="1325"/>
      <c r="AQ101" s="726">
        <f>AQ100/AO100-1</f>
        <v>0.03808345202792629</v>
      </c>
      <c r="AR101" s="726">
        <f>AR100/AQ100-1</f>
        <v>0.026011066624679557</v>
      </c>
      <c r="AS101" s="726">
        <f>AS100/AR100-1</f>
        <v>0.0027140552106350579</v>
      </c>
      <c r="AT101" s="726">
        <f>AT100/AS100-1</f>
        <v>-0.0058331985080304349</v>
      </c>
      <c r="AU101" s="1325"/>
      <c r="AV101" s="726">
        <f>AV100/AT100-1</f>
        <v>-0.0039629305453539043</v>
      </c>
      <c r="AW101" s="726">
        <f>AW100/AV100-1</f>
        <v>0.00070212314975104384</v>
      </c>
      <c r="AX101" s="726">
        <f>AX100/AW100-1</f>
        <v>0.01414734240893134</v>
      </c>
      <c r="AY101" s="726">
        <f>AY100/AX100-1</f>
        <v>0.020594288598518196</v>
      </c>
      <c r="AZ101" s="1325"/>
      <c r="BA101" s="726">
        <f>BA100/AY100-1</f>
        <v>0.057568832763457367</v>
      </c>
      <c r="BB101" s="726">
        <f>BB100/BA100-1</f>
        <v>0.028045973304522853</v>
      </c>
      <c r="BC101" s="726">
        <f>BC100/BB100-1</f>
        <v>-0.0010822935211400875</v>
      </c>
      <c r="BD101" s="726">
        <f>BD100/BC100-1</f>
        <v>0.00081259961215063292</v>
      </c>
      <c r="BE101" s="1325"/>
      <c r="BF101" s="726">
        <f>BF100/BD100-1</f>
        <v>0.040381258702857581</v>
      </c>
      <c r="BG101" s="726">
        <f>BG100/BF100-1</f>
        <v>0.050120645453174406</v>
      </c>
      <c r="BH101" s="808">
        <f>BH100/BG100-1</f>
        <v>0.051164310281689218</v>
      </c>
      <c r="BI101" s="98">
        <f>BI100/BH100-1</f>
        <v>0.020000000000000018</v>
      </c>
      <c r="BJ101" s="1326"/>
      <c r="BK101" s="98">
        <f>BK100/BJ100-1</f>
        <v>0.020000000000000018</v>
      </c>
      <c r="BL101" s="98">
        <f>BL100/BK100-1</f>
        <v>0.020000000000000018</v>
      </c>
      <c r="BM101" s="98">
        <f>BM100/BL100-1</f>
        <v>0.020000000000000018</v>
      </c>
      <c r="BN101" s="98">
        <f>BN100/BM100-1</f>
        <v>0.020000000000000018</v>
      </c>
      <c r="BO101" s="1326"/>
      <c r="BP101" s="1325"/>
      <c r="BQ101" s="1325"/>
      <c r="BR101" s="1326"/>
      <c r="BS101" s="648"/>
    </row>
    <row r="102" spans="1:71" s="669" customFormat="1" ht="15" hidden="1" outlineLevel="2">
      <c r="A102" s="107" t="s">
        <v>541</v>
      </c>
      <c r="B102" s="108"/>
      <c r="C102" s="1325"/>
      <c r="D102" s="1325">
        <f>D100/C100-1</f>
        <v>0.069657971226441129</v>
      </c>
      <c r="E102" s="1325">
        <f>E100/D100-1</f>
        <v>0.049655207772565157</v>
      </c>
      <c r="F102" s="1325">
        <f>F100/E100-1</f>
        <v>0.036755727055145737</v>
      </c>
      <c r="G102" s="1325">
        <f>G100/F100-1</f>
        <v>0.025213383273263945</v>
      </c>
      <c r="H102" s="726"/>
      <c r="I102" s="726"/>
      <c r="J102" s="726"/>
      <c r="K102" s="726"/>
      <c r="L102" s="1325">
        <f t="shared" si="251" ref="L102:AU102">L100/G100-1</f>
        <v>0.015739407493642998</v>
      </c>
      <c r="M102" s="726">
        <f t="shared" si="251"/>
        <v>0.016078260083742579</v>
      </c>
      <c r="N102" s="726">
        <f t="shared" si="251"/>
        <v>0.019856446796248983</v>
      </c>
      <c r="O102" s="726">
        <f t="shared" si="251"/>
        <v>0.030098049520263181</v>
      </c>
      <c r="P102" s="726">
        <f t="shared" si="251"/>
        <v>0.037913119537924311</v>
      </c>
      <c r="Q102" s="1325">
        <f t="shared" si="251"/>
        <v>0.037913119537924311</v>
      </c>
      <c r="R102" s="726">
        <f t="shared" si="251"/>
        <v>0.051399687229011892</v>
      </c>
      <c r="S102" s="726">
        <f t="shared" si="251"/>
        <v>0.062607329996624106</v>
      </c>
      <c r="T102" s="726">
        <f t="shared" si="251"/>
        <v>0.063735815228086024</v>
      </c>
      <c r="U102" s="726">
        <f t="shared" si="251"/>
        <v>0.064810711457569115</v>
      </c>
      <c r="V102" s="1325">
        <f t="shared" si="251"/>
        <v>0.064810711457569115</v>
      </c>
      <c r="W102" s="726">
        <f t="shared" si="251"/>
        <v>0.061230244328835948</v>
      </c>
      <c r="X102" s="726">
        <f t="shared" si="251"/>
        <v>0.063532076826918527</v>
      </c>
      <c r="Y102" s="726">
        <f t="shared" si="251"/>
        <v>0.082616202587151966</v>
      </c>
      <c r="Z102" s="726">
        <f t="shared" si="251"/>
        <v>0.096794661863435216</v>
      </c>
      <c r="AA102" s="1325">
        <f t="shared" si="251"/>
        <v>0.096794661863435216</v>
      </c>
      <c r="AB102" s="726">
        <f t="shared" si="251"/>
        <v>0.10139892655967708</v>
      </c>
      <c r="AC102" s="726">
        <f t="shared" si="251"/>
        <v>0.11341498259649829</v>
      </c>
      <c r="AD102" s="726">
        <f t="shared" si="251"/>
        <v>0.11030947408391856</v>
      </c>
      <c r="AE102" s="726">
        <f t="shared" si="251"/>
        <v>0.10472458088395387</v>
      </c>
      <c r="AF102" s="1325">
        <f t="shared" si="251"/>
        <v>0.10472458088395387</v>
      </c>
      <c r="AG102" s="726">
        <f t="shared" si="251"/>
        <v>0.10648396649156555</v>
      </c>
      <c r="AH102" s="726">
        <f t="shared" si="251"/>
        <v>0.097785450579445765</v>
      </c>
      <c r="AI102" s="726">
        <f t="shared" si="251"/>
        <v>0.093673050615595166</v>
      </c>
      <c r="AJ102" s="726">
        <f t="shared" si="251"/>
        <v>0.092888113069429457</v>
      </c>
      <c r="AK102" s="1325">
        <f t="shared" si="251"/>
        <v>0.092888113069429457</v>
      </c>
      <c r="AL102" s="726">
        <f t="shared" si="251"/>
        <v>0.082789632900008181</v>
      </c>
      <c r="AM102" s="726">
        <f t="shared" si="251"/>
        <v>0.097666066314956224</v>
      </c>
      <c r="AN102" s="726">
        <f t="shared" si="251"/>
        <v>0.10526699813419227</v>
      </c>
      <c r="AO102" s="726">
        <f t="shared" si="251"/>
        <v>0.10329956823263919</v>
      </c>
      <c r="AP102" s="1325">
        <f t="shared" si="251"/>
        <v>0.10329956823263919</v>
      </c>
      <c r="AQ102" s="726">
        <f t="shared" si="251"/>
        <v>0.11898074038277606</v>
      </c>
      <c r="AR102" s="726">
        <f t="shared" si="251"/>
        <v>0.10389824109658008</v>
      </c>
      <c r="AS102" s="726">
        <f t="shared" si="251"/>
        <v>0.078364894941340468</v>
      </c>
      <c r="AT102" s="726">
        <f t="shared" si="251"/>
        <v>0.061746094753309944</v>
      </c>
      <c r="AU102" s="1325">
        <f t="shared" si="251"/>
        <v>0.061746094753309944</v>
      </c>
      <c r="AV102" s="726">
        <f t="shared" si="252" ref="AV102:AZ102">AV100/AQ100-1</f>
        <v>0.018741283908407791</v>
      </c>
      <c r="AW102" s="726">
        <f t="shared" si="252"/>
        <v>-0.0063883335087165927</v>
      </c>
      <c r="AX102" s="726">
        <f t="shared" si="252"/>
        <v>0.0049411651529793765</v>
      </c>
      <c r="AY102" s="726">
        <f t="shared" si="252"/>
        <v>0.031655062302898163</v>
      </c>
      <c r="AZ102" s="1325">
        <f t="shared" si="252"/>
        <v>0.031655062302898163</v>
      </c>
      <c r="BA102" s="726">
        <f t="shared" si="253" ref="BA102:BO102">BA100/AV100-1</f>
        <v>0.095387183382202423</v>
      </c>
      <c r="BB102" s="726">
        <f t="shared" si="253"/>
        <v>0.12531827107649551</v>
      </c>
      <c r="BC102" s="726">
        <f t="shared" si="253"/>
        <v>0.10841916099921245</v>
      </c>
      <c r="BD102" s="726">
        <f t="shared" si="253"/>
        <v>0.08693520468634075</v>
      </c>
      <c r="BE102" s="1325">
        <f t="shared" si="253"/>
        <v>0.08693520468634075</v>
      </c>
      <c r="BF102" s="726">
        <f>BF100/BA100-1</f>
        <v>0.069270369310279412</v>
      </c>
      <c r="BG102" s="726">
        <f>BG100/BB100-1</f>
        <v>0.092230230497148957</v>
      </c>
      <c r="BH102" s="808">
        <f>BH100/BC100-1</f>
        <v>0.14935737895406254</v>
      </c>
      <c r="BI102" s="98">
        <f t="shared" si="253"/>
        <v>0.17139265331738218</v>
      </c>
      <c r="BJ102" s="1326">
        <f t="shared" si="253"/>
        <v>0.17139265331738218</v>
      </c>
      <c r="BK102" s="98">
        <f t="shared" si="253"/>
        <v>0.14844485748755853</v>
      </c>
      <c r="BL102" s="98">
        <f t="shared" si="253"/>
        <v>0.1155039753854108</v>
      </c>
      <c r="BM102" s="98">
        <f t="shared" si="253"/>
        <v>0.082432159999999977</v>
      </c>
      <c r="BN102" s="98">
        <f t="shared" si="253"/>
        <v>0.082432160000000199</v>
      </c>
      <c r="BO102" s="1326">
        <f t="shared" si="253"/>
        <v>0.082432160000000199</v>
      </c>
      <c r="BP102" s="1325">
        <f>BP100/BO100-1</f>
        <v>0.019999999999999796</v>
      </c>
      <c r="BQ102" s="1325">
        <f>BQ100/BP100-1</f>
        <v>0.02000000000000024</v>
      </c>
      <c r="BR102" s="1326">
        <f>BR100/BQ100-1</f>
        <v>0.020000000000000018</v>
      </c>
      <c r="BS102" s="648"/>
    </row>
    <row r="103" spans="1:71" s="668" customFormat="1" ht="15" hidden="1" outlineLevel="2">
      <c r="A103" s="25" t="s">
        <v>590</v>
      </c>
      <c r="B103" s="394"/>
      <c r="C103" s="1320">
        <f>AVERAGE(C100,C98)</f>
        <v>10702.75</v>
      </c>
      <c r="D103" s="1320">
        <f>AVERAGE(D100,D98)</f>
        <v>11321.65</v>
      </c>
      <c r="E103" s="1320">
        <f>AVERAGE(E100,E98)</f>
        <v>11993.25</v>
      </c>
      <c r="F103" s="1320">
        <f t="shared" si="254" ref="F103:K103">AVERAGE(F100,F98)</f>
        <v>12509.549999999999</v>
      </c>
      <c r="G103" s="1320">
        <f t="shared" si="254"/>
        <v>12895.849999999999</v>
      </c>
      <c r="H103" s="1021">
        <f t="shared" si="254"/>
        <v>13167.60</v>
      </c>
      <c r="I103" s="1021">
        <f t="shared" si="254"/>
        <v>13319.849999999999</v>
      </c>
      <c r="J103" s="1021">
        <f t="shared" si="254"/>
        <v>13340.349999999999</v>
      </c>
      <c r="K103" s="1021">
        <f t="shared" si="254"/>
        <v>13290.849999999999</v>
      </c>
      <c r="L103" s="1320">
        <f>SUM(H103*H$3,I103*I$3,J103*J$3,K103*K$3)/L$3</f>
        <v>13280.166438356164</v>
      </c>
      <c r="M103" s="1021">
        <f>AVERAGE(M100,M98)</f>
        <v>13377.10</v>
      </c>
      <c r="N103" s="1021">
        <f>AVERAGE(N100,N98)</f>
        <v>13559.25</v>
      </c>
      <c r="O103" s="1021">
        <f>AVERAGE(O100,O98)</f>
        <v>13673.450000000001</v>
      </c>
      <c r="P103" s="1021">
        <f>AVERAGE(P100,P98)</f>
        <v>13742.700000000001</v>
      </c>
      <c r="Q103" s="1320">
        <f>SUM(M103*M$3,N103*N$3,O103*O$3,P103*P$3)/Q$3</f>
        <v>13589.360410958907</v>
      </c>
      <c r="R103" s="1021">
        <f>AVERAGE(R100,R98)</f>
        <v>13975.25</v>
      </c>
      <c r="S103" s="1021">
        <f>AVERAGE(S100,S98)</f>
        <v>14332.549999999999</v>
      </c>
      <c r="T103" s="1021">
        <f>AVERAGE(T100,T98)</f>
        <v>14537.25</v>
      </c>
      <c r="U103" s="1021">
        <f>AVERAGE(U100,U98)</f>
        <v>14626</v>
      </c>
      <c r="V103" s="1320">
        <f>SUM(R103*R$3,S103*S$3,T103*T$3,U103*U$3)/V$3</f>
        <v>14368.931147540983</v>
      </c>
      <c r="W103" s="1021">
        <f>AVERAGE(W100,W98)</f>
        <v>14855.60</v>
      </c>
      <c r="X103" s="1021">
        <f>AVERAGE(X100,X98)</f>
        <v>15226.80</v>
      </c>
      <c r="Y103" s="1021">
        <f>AVERAGE(Y100,Y98)</f>
        <v>15600.100000000002</v>
      </c>
      <c r="Z103" s="1021">
        <f>AVERAGE(Z100,Z98)</f>
        <v>15938.25</v>
      </c>
      <c r="AA103" s="1320">
        <f>SUM(W103*W$3,X103*X$3,Y103*Y$3,Z103*Z$3)/AA$3</f>
        <v>15408.687671232878</v>
      </c>
      <c r="AB103" s="1021">
        <f>AVERAGE(AB100,AB98)</f>
        <v>16328.20</v>
      </c>
      <c r="AC103" s="1021">
        <f>AVERAGE(AC100,AC98)</f>
        <v>16863.299999999999</v>
      </c>
      <c r="AD103" s="1021">
        <f>AVERAGE(AD100,AD98)</f>
        <v>17344.849999999999</v>
      </c>
      <c r="AE103" s="1021">
        <f>AVERAGE(AE100,AE98)</f>
        <v>17651.50</v>
      </c>
      <c r="AF103" s="1320">
        <f>SUM(AB103*AB$3,AC103*AC$3,AD103*AD$3,AE103*AE$3)/AF$3</f>
        <v>17051.404109589042</v>
      </c>
      <c r="AG103" s="1021">
        <f>AVERAGE(AG100,AG98)</f>
        <v>18052.75</v>
      </c>
      <c r="AH103" s="1021">
        <f>AVERAGE(AH100,AH98)</f>
        <v>18584.40</v>
      </c>
      <c r="AI103" s="1021">
        <f>AVERAGE(AI100,AI98)</f>
        <v>19004.849999999999</v>
      </c>
      <c r="AJ103" s="1021">
        <f>AVERAGE(AJ100,AJ98)</f>
        <v>19298</v>
      </c>
      <c r="AK103" s="1320">
        <f>SUM(AG103*AG$3,AH103*AH$3,AI103*AI$3,AJ103*AJ$3)/AK$3</f>
        <v>18739.150958904112</v>
      </c>
      <c r="AL103" s="1021">
        <f>AVERAGE(AL100,AL98)</f>
        <v>19637</v>
      </c>
      <c r="AM103" s="1021">
        <f>AVERAGE(AM100,AM98)</f>
        <v>20263</v>
      </c>
      <c r="AN103" s="1021">
        <f>AVERAGE(AN100,AN98)</f>
        <v>20933.900000000001</v>
      </c>
      <c r="AO103" s="1021">
        <f>AVERAGE(AO100,AO98)</f>
        <v>21310.349999999999</v>
      </c>
      <c r="AP103" s="1320">
        <f>SUM(AL103*AL$3,AM103*AM$3,AN103*AN$3,AO103*AO$3)/AP$3</f>
        <v>20539.265027322403</v>
      </c>
      <c r="AQ103" s="1021">
        <f>AVERAGE(AQ100,AQ98)</f>
        <v>21821.25</v>
      </c>
      <c r="AR103" s="1021">
        <f>AVERAGE(AR100,AR98)</f>
        <v>22518.099999999999</v>
      </c>
      <c r="AS103" s="1021">
        <f>AVERAGE(AS100,AS98)</f>
        <v>22838.150000000001</v>
      </c>
      <c r="AT103" s="1021">
        <f>AVERAGE(AT100,AT98)</f>
        <v>22802.40</v>
      </c>
      <c r="AU103" s="1320">
        <f>SUM(AQ103*AQ$3,AR103*AR$3,AS103*AS$3,AT103*AT$3)/AU$3</f>
        <v>22498.603287671234</v>
      </c>
      <c r="AV103" s="1021">
        <f>AVERAGE(AV100,AV98)</f>
        <v>22690.650000000001</v>
      </c>
      <c r="AW103" s="1021">
        <f>AVERAGE(AW100,AW98)</f>
        <v>22653.549999999999</v>
      </c>
      <c r="AX103" s="1021">
        <f>AVERAGE(AX100,AX98)</f>
        <v>22821.799999999999</v>
      </c>
      <c r="AY103" s="1021">
        <f>AVERAGE(AY100,AY98)</f>
        <v>23218.75</v>
      </c>
      <c r="AZ103" s="1320">
        <f>SUM(AV103*AV$3,AW103*AW$3,AX103*AX$3,AY103*AY$3)/AZ$3</f>
        <v>22847.567534246577</v>
      </c>
      <c r="BA103" s="1021">
        <f>AVERAGE(BA100,BA98)</f>
        <v>24130.550000000003</v>
      </c>
      <c r="BB103" s="1021">
        <f>AVERAGE(BB100,BB98)</f>
        <v>25153.550000000003</v>
      </c>
      <c r="BC103" s="1021">
        <f>AVERAGE(BC100,BC98)</f>
        <v>25487.60</v>
      </c>
      <c r="BD103" s="1021">
        <f>AVERAGE(BD100,BD98)</f>
        <v>25484.150000000001</v>
      </c>
      <c r="BE103" s="1320">
        <f>SUM(BA103*BA$3,BB103*BB$3,BC103*BC$3,BD103*BD$3)/BE$3</f>
        <v>25068.83164383562</v>
      </c>
      <c r="BF103" s="1021">
        <f>AVERAGE(BF100,BF98)</f>
        <v>26009.25</v>
      </c>
      <c r="BG103" s="1021">
        <f>AVERAGE(BG100,BG98)</f>
        <v>27188.699999999997</v>
      </c>
      <c r="BH103" s="1022">
        <f>AVERAGE(BH100,BH98)</f>
        <v>28565.949999999997</v>
      </c>
      <c r="BI103" s="1023">
        <f>AVERAGE(BI100,BI98)</f>
        <v>29571.285</v>
      </c>
      <c r="BJ103" s="1321">
        <f>SUM(BF103*BF$3,BG103*BG$3,BH103*BH$3,BI103*BI$3)/BJ$3</f>
        <v>27840.543907103827</v>
      </c>
      <c r="BK103" s="1023">
        <f>AVERAGE(BK100,BK98)</f>
        <v>30162.710700000003</v>
      </c>
      <c r="BL103" s="1023">
        <f>AVERAGE(BL100,BL98)</f>
        <v>30765.964914000004</v>
      </c>
      <c r="BM103" s="1023">
        <f>AVERAGE(BM100,BM98)</f>
        <v>31381.284212279999</v>
      </c>
      <c r="BN103" s="1023">
        <f>AVERAGE(BN100,BN98)</f>
        <v>32008.909896525605</v>
      </c>
      <c r="BO103" s="1321">
        <f>SUM(BK103*BK$3,BL103*BL$3,BM103*BM$3,BN103*BN$3)/BO$3</f>
        <v>31085.601721052375</v>
      </c>
      <c r="BP103" s="1322">
        <f>AVERAGE(BP100,BP98)</f>
        <v>32649.088094456114</v>
      </c>
      <c r="BQ103" s="1322">
        <f>AVERAGE(BQ100,BQ98)</f>
        <v>33302.069856345232</v>
      </c>
      <c r="BR103" s="1321">
        <f>AVERAGE(BR100,BR98)</f>
        <v>33968.111253472147</v>
      </c>
      <c r="BS103" s="648"/>
    </row>
    <row r="104" spans="1:71" s="669" customFormat="1" ht="7.5" customHeight="1" hidden="1" outlineLevel="2">
      <c r="A104" s="107"/>
      <c r="B104" s="108"/>
      <c r="C104" s="1325"/>
      <c r="D104" s="1325"/>
      <c r="E104" s="1325"/>
      <c r="F104" s="1325"/>
      <c r="G104" s="1325"/>
      <c r="H104" s="726"/>
      <c r="I104" s="726"/>
      <c r="J104" s="726"/>
      <c r="K104" s="726"/>
      <c r="L104" s="1325"/>
      <c r="M104" s="726"/>
      <c r="N104" s="726"/>
      <c r="O104" s="726"/>
      <c r="P104" s="726"/>
      <c r="Q104" s="1325"/>
      <c r="R104" s="726"/>
      <c r="S104" s="726"/>
      <c r="T104" s="726"/>
      <c r="U104" s="726"/>
      <c r="V104" s="1325"/>
      <c r="W104" s="726"/>
      <c r="X104" s="726"/>
      <c r="Y104" s="726"/>
      <c r="Z104" s="726"/>
      <c r="AA104" s="1325"/>
      <c r="AB104" s="726"/>
      <c r="AC104" s="726"/>
      <c r="AD104" s="726"/>
      <c r="AE104" s="726"/>
      <c r="AF104" s="1325"/>
      <c r="AG104" s="726"/>
      <c r="AH104" s="726"/>
      <c r="AI104" s="726"/>
      <c r="AJ104" s="726"/>
      <c r="AK104" s="1325"/>
      <c r="AL104" s="726"/>
      <c r="AM104" s="726"/>
      <c r="AN104" s="726"/>
      <c r="AO104" s="726"/>
      <c r="AP104" s="1325"/>
      <c r="AQ104" s="726"/>
      <c r="AR104" s="726"/>
      <c r="AS104" s="726"/>
      <c r="AT104" s="726"/>
      <c r="AU104" s="1325"/>
      <c r="AV104" s="726"/>
      <c r="AW104" s="726"/>
      <c r="AX104" s="726"/>
      <c r="AY104" s="726"/>
      <c r="AZ104" s="1325"/>
      <c r="BA104" s="726"/>
      <c r="BB104" s="726"/>
      <c r="BC104" s="726"/>
      <c r="BD104" s="726"/>
      <c r="BE104" s="1325"/>
      <c r="BF104" s="726"/>
      <c r="BG104" s="726"/>
      <c r="BH104" s="808"/>
      <c r="BI104" s="98"/>
      <c r="BJ104" s="1326"/>
      <c r="BK104" s="98"/>
      <c r="BL104" s="98"/>
      <c r="BM104" s="98"/>
      <c r="BN104" s="98"/>
      <c r="BO104" s="1326"/>
      <c r="BP104" s="1325"/>
      <c r="BQ104" s="1325"/>
      <c r="BR104" s="1326"/>
      <c r="BS104" s="648"/>
    </row>
    <row r="105" spans="1:71" s="674" customFormat="1" ht="15" hidden="1" outlineLevel="2">
      <c r="A105" s="476" t="s">
        <v>624</v>
      </c>
      <c r="B105" s="477"/>
      <c r="C105" s="1346">
        <f>(C108*1000)/(C103)*(C$3/C$3)</f>
        <v>1163.542080306463</v>
      </c>
      <c r="D105" s="1346">
        <f>(D108*1000)/(D103)*(D$3/D$3)</f>
        <v>1150.3976893827314</v>
      </c>
      <c r="E105" s="1346">
        <f>(E108*1000)/(E103)*(E$3/E$3)</f>
        <v>1134.9884309924332</v>
      </c>
      <c r="F105" s="1346">
        <f>(F108*1000)/(F103)*(F$3/F$3)</f>
        <v>1170.0500817375525</v>
      </c>
      <c r="G105" s="1346">
        <f>(G108*1000)/(G103)*(G$3/G$3)</f>
        <v>1207.3031246486273</v>
      </c>
      <c r="H105" s="481">
        <f>(H108*1000)/(H103)*(L$3/H$3)</f>
        <v>1299.4926941887663</v>
      </c>
      <c r="I105" s="481">
        <f>(I108*1000)/(I103)*(L$3/I$3)</f>
        <v>1240.6200990531895</v>
      </c>
      <c r="J105" s="481">
        <f>(J108*1000)/(J103)*(L$3/J$3)</f>
        <v>1269.561648617198</v>
      </c>
      <c r="K105" s="481">
        <f>(K108*1000)/(K103)*(L$3/K$3)</f>
        <v>1239.1558690835195</v>
      </c>
      <c r="L105" s="1346">
        <f>(L108*1000)/(L103)*(L$3/L$3)</f>
        <v>1261.9721354994156</v>
      </c>
      <c r="M105" s="481">
        <f>(M108*1000)/(M103)*(Q$3/M$3)</f>
        <v>1375.0950006603323</v>
      </c>
      <c r="N105" s="481">
        <f>(N108*1000)/(N103)*(Q$3/N$3)</f>
        <v>1300.1233698174899</v>
      </c>
      <c r="O105" s="481">
        <f>(O108*1000)/(O103)*(Q$3/O$3)</f>
        <v>1344.8877521607646</v>
      </c>
      <c r="P105" s="481">
        <f>(P108*1000)/(P103)*(Q$3/P$3)</f>
        <v>1194.5159975841725</v>
      </c>
      <c r="Q105" s="1346">
        <f>(Q108*1000)/(Q103)*(Q$3/Q$3)</f>
        <v>1302.7544685416715</v>
      </c>
      <c r="R105" s="481">
        <f>(R108*1000)/(R103)*(V$3/R$3)</f>
        <v>1434.8779465110117</v>
      </c>
      <c r="S105" s="481">
        <f>(S108*1000)/(S103)*(V$3/S$3)</f>
        <v>1377.3034337693105</v>
      </c>
      <c r="T105" s="481">
        <f>(T108*1000)/(T103)*(V$3/T$3)</f>
        <v>1405.5440782936191</v>
      </c>
      <c r="U105" s="481">
        <f>(U108*1000)/(U103)*(V$3/U$3)</f>
        <v>1302.7403551745253</v>
      </c>
      <c r="V105" s="1346">
        <f>(V108*1000)/(V103)*(V$3/V$3)</f>
        <v>1379.3301531263719</v>
      </c>
      <c r="W105" s="481">
        <f>(W108*1000)/(W103)*(AA$3/W$3)</f>
        <v>1532.4221169121404</v>
      </c>
      <c r="X105" s="481">
        <f>(X108*1000)/(X103)*(AA$3/X$3)</f>
        <v>1474.63141188021</v>
      </c>
      <c r="Y105" s="481">
        <f>(Y108*1000)/(Y103)*(AA$3/Y$3)</f>
        <v>1529.9790441700065</v>
      </c>
      <c r="Z105" s="481">
        <f>(Z108*1000)/(Z103)*(AA$3/Z$3)</f>
        <v>1419.1079840062084</v>
      </c>
      <c r="AA105" s="1346">
        <f>(AA108*1000)/(AA103)*(AA$3/AA$3)</f>
        <v>1488.0177007420293</v>
      </c>
      <c r="AB105" s="481">
        <f>(AB108*1000)/(AB103)*(AF$3/AB$3)</f>
        <v>1675.2557606540286</v>
      </c>
      <c r="AC105" s="481">
        <f>(AC108*1000)/(AC103)*(AF$3/AC$3)</f>
        <v>1582.4132163460765</v>
      </c>
      <c r="AD105" s="481">
        <f>(AD108*1000)/(AD103)*(AF$3/AD$3)</f>
        <v>1629.1720346510574</v>
      </c>
      <c r="AE105" s="481">
        <f>(AE108*1000)/(AE103)*(AF$3/AE$3)</f>
        <v>1491.8371267868597</v>
      </c>
      <c r="AF105" s="1346">
        <f>(AF108*1000)/(AF103)*(AF$3/AF$3)</f>
        <v>1592.6899524202602</v>
      </c>
      <c r="AG105" s="481">
        <f>(AG108*1000)/(AG103)*(AK$3/AG$3)</f>
        <v>1734.8618785380495</v>
      </c>
      <c r="AH105" s="481">
        <f>(AH108*1000)/(AH103)*(AK$3/AH$3)</f>
        <v>1615.5192550717827</v>
      </c>
      <c r="AI105" s="481">
        <f>(AI108*1000)/(AI103)*(AK$3/AI$3)</f>
        <v>1660.9733259164625</v>
      </c>
      <c r="AJ105" s="481">
        <f>(AJ108*1000)/(AJ103)*(AK$3/AJ$3)</f>
        <v>1631.9180969417876</v>
      </c>
      <c r="AK105" s="1346">
        <f>(AK108*1000)/(AK103)*(AK$3/AK$3)</f>
        <v>1659.7443538508585</v>
      </c>
      <c r="AL105" s="481">
        <f>(AL108*1000)/(AL103)*(AP$3/AL$3)</f>
        <v>1704.8705432165227</v>
      </c>
      <c r="AM105" s="481">
        <f>(AM108*1000)/(AM103)*(AP$3/AM$3)</f>
        <v>1673.5580956574886</v>
      </c>
      <c r="AN105" s="481">
        <f>(AN108*1000)/(AN103)*(AP$3/AN$3)</f>
        <v>1688.4409664623449</v>
      </c>
      <c r="AO105" s="481">
        <f>(AO108*1000)/(AO103)*(AP$3/AO$3)</f>
        <v>1437.9188679597512</v>
      </c>
      <c r="AP105" s="1346">
        <f>(AP108*1000)/(AP103)*(AP$3/AP$3)</f>
        <v>1623.3589641910717</v>
      </c>
      <c r="AQ105" s="481">
        <f>(AQ108*1000)/(AQ103)*(AU$3/AQ$3)</f>
        <v>1758.434247961658</v>
      </c>
      <c r="AR105" s="481">
        <f>(AR108*1000)/(AR103)*(AU$3/AR$3)</f>
        <v>1585.3293304321585</v>
      </c>
      <c r="AS105" s="481">
        <f>(AS108*1000)/(AS103)*(AU$3/AS$3)</f>
        <v>1644.6030093239292</v>
      </c>
      <c r="AT105" s="481">
        <f>(AT108*1000)/(AT103)*(AU$3/AT$3)</f>
        <v>1451.0946311524804</v>
      </c>
      <c r="AU105" s="1346">
        <f>(AU108*1000)/(AU103)*(AU$3/AU$3)</f>
        <v>1607.6020158913486</v>
      </c>
      <c r="AV105" s="481">
        <f>(AV108*1000)/(AV103)*(AZ$3/AV$3)</f>
        <v>1737.0828464098156</v>
      </c>
      <c r="AW105" s="481">
        <f>(AW108*1000)/(AW103)*(AZ$3/AW$3)</f>
        <v>1677.180548152206</v>
      </c>
      <c r="AX105" s="481">
        <f>(AX108*1000)/(AX103)*(AZ$3/AX$3)</f>
        <v>1795.6158051778868</v>
      </c>
      <c r="AY105" s="481">
        <f>(AY108*1000)/(AY103)*(AZ$3/AY$3)</f>
        <v>1667.3680145122594</v>
      </c>
      <c r="AZ105" s="1346">
        <f>(AZ108*1000)/(AZ103)*(AZ$3/AZ$3)</f>
        <v>1719.1545638775262</v>
      </c>
      <c r="BA105" s="481">
        <f>(BA108*1000)/(BA103)*(BE$3/BA$3)</f>
        <v>2035.8324014809255</v>
      </c>
      <c r="BB105" s="481">
        <f>(BB108*1000)/(BB103)*(BE$3/BB$3)</f>
        <v>1849.7537574765238</v>
      </c>
      <c r="BC105" s="481">
        <f>(BC108*1000)/(BC103)*(BE$3/BC$3)</f>
        <v>1969.6551502964444</v>
      </c>
      <c r="BD105" s="481">
        <f>(BD108*1000)/(BD103)*(BE$3/BD$3)</f>
        <v>1901.5001140094839</v>
      </c>
      <c r="BE105" s="1346">
        <f>(BE108*1000)/(BE103)*(BE$3/BE$3)</f>
        <v>1937.9044340882149</v>
      </c>
      <c r="BF105" s="481">
        <f>(BF108*1000)/(BF103)*(BJ$3/BF$3)</f>
        <v>2239.2749325129157</v>
      </c>
      <c r="BG105" s="481">
        <f>(BG108*1000)/(BG103)*(BJ$3/BG$3)</f>
        <v>2154.1318252084125</v>
      </c>
      <c r="BH105" s="814">
        <f>(BH108*1000)/(BH103)*(BJ$3/BH$3)</f>
        <v>2268.5847402543782</v>
      </c>
      <c r="BI105" s="482">
        <f>(BI113*1000)/(BI103)*(BJ$3/BI$3)</f>
        <v>1973.1658371596832</v>
      </c>
      <c r="BJ105" s="1347">
        <f>(BJ113*1000)/(BJ103)*(BJ$3/BJ$3)</f>
        <v>2017.2764703929752</v>
      </c>
      <c r="BK105" s="482">
        <f>(BK113*1000)/(BK103)*(BO$3/BK$3)</f>
        <v>2329.0013338078761</v>
      </c>
      <c r="BL105" s="482">
        <f>(BL113*1000)/(BL103)*(BO$3/BL$3)</f>
        <v>2155.1683404489745</v>
      </c>
      <c r="BM105" s="482">
        <f>(BM113*1000)/(BM103)*(BO$3/BM$3)</f>
        <v>2278.7454477581546</v>
      </c>
      <c r="BN105" s="482">
        <f>(BN113*1000)/(BN103)*(BO$3/BN$3)</f>
        <v>2046.0787785819978</v>
      </c>
      <c r="BO105" s="1347">
        <f>(BO113*1000)/(BO103)*(BO$3/BO$3)</f>
        <v>2199.8899533415129</v>
      </c>
      <c r="BP105" s="1345">
        <f>(BP113*1000)/(BP103)*(BP$3/BP$3)</f>
        <v>2233.5209029311677</v>
      </c>
      <c r="BQ105" s="1345">
        <f>(BQ113*1000)/(BQ103)*(BQ$3/BQ$3)</f>
        <v>2278.1913209897921</v>
      </c>
      <c r="BR105" s="1347">
        <f>(BR113*1000)/(BR103)*(BR$3/BR$3)</f>
        <v>2323.7551474095862</v>
      </c>
      <c r="BS105" s="648"/>
    </row>
    <row r="106" spans="1:71" s="669" customFormat="1" ht="15" hidden="1" outlineLevel="2">
      <c r="A106" s="107" t="s">
        <v>629</v>
      </c>
      <c r="B106" s="108"/>
      <c r="C106" s="1325"/>
      <c r="D106" s="1325">
        <f>D105/C105-1</f>
        <v>-0.011296876276506995</v>
      </c>
      <c r="E106" s="1325">
        <f>E105/D105-1</f>
        <v>-0.013394723001022624</v>
      </c>
      <c r="F106" s="1325">
        <f>F105/E105-1</f>
        <v>0.030891637119561999</v>
      </c>
      <c r="G106" s="1325">
        <f>G105/F105-1</f>
        <v>0.031838844757613449</v>
      </c>
      <c r="H106" s="726"/>
      <c r="I106" s="726"/>
      <c r="J106" s="726"/>
      <c r="K106" s="726"/>
      <c r="L106" s="1325">
        <f t="shared" si="255" ref="L106:AU106">L105/G105-1</f>
        <v>0.04528192608355841</v>
      </c>
      <c r="M106" s="726">
        <f t="shared" si="255"/>
        <v>0.05817832359477948</v>
      </c>
      <c r="N106" s="726">
        <f t="shared" si="255"/>
        <v>0.04796252358777009</v>
      </c>
      <c r="O106" s="726">
        <f t="shared" si="255"/>
        <v>0.059332371630484992</v>
      </c>
      <c r="P106" s="726">
        <f t="shared" si="255"/>
        <v>-0.036024420020995929</v>
      </c>
      <c r="Q106" s="1325">
        <f t="shared" si="255"/>
        <v>0.032316349858324322</v>
      </c>
      <c r="R106" s="726">
        <f t="shared" si="255"/>
        <v>0.043475502290366119</v>
      </c>
      <c r="S106" s="726">
        <f t="shared" si="255"/>
        <v>0.05936364636123348</v>
      </c>
      <c r="T106" s="726">
        <f t="shared" si="255"/>
        <v>0.045101404214144214</v>
      </c>
      <c r="U106" s="726">
        <f t="shared" si="255"/>
        <v>0.090601011463412151</v>
      </c>
      <c r="V106" s="1325">
        <f t="shared" si="255"/>
        <v>0.058779828765754161</v>
      </c>
      <c r="W106" s="726">
        <f t="shared" si="255"/>
        <v>0.067980813725873279</v>
      </c>
      <c r="X106" s="726">
        <f t="shared" si="255"/>
        <v>0.070665603326449888</v>
      </c>
      <c r="Y106" s="726">
        <f t="shared" si="255"/>
        <v>0.088531528678528426</v>
      </c>
      <c r="Z106" s="726">
        <f t="shared" si="255"/>
        <v>0.089325266058940533</v>
      </c>
      <c r="AA106" s="1325">
        <f t="shared" si="255"/>
        <v>0.078797340411436378</v>
      </c>
      <c r="AB106" s="726">
        <f t="shared" si="255"/>
        <v>0.093207767080326853</v>
      </c>
      <c r="AC106" s="726">
        <f t="shared" si="255"/>
        <v>0.073090674454330706</v>
      </c>
      <c r="AD106" s="726">
        <f t="shared" si="255"/>
        <v>0.064832907914017746</v>
      </c>
      <c r="AE106" s="726">
        <f t="shared" si="255"/>
        <v>0.051249900360178069</v>
      </c>
      <c r="AF106" s="1325">
        <f t="shared" si="255"/>
        <v>0.070343418378715494</v>
      </c>
      <c r="AG106" s="726">
        <f t="shared" si="255"/>
        <v>0.035580309158734336</v>
      </c>
      <c r="AH106" s="726">
        <f t="shared" si="255"/>
        <v>0.02092123497435816</v>
      </c>
      <c r="AI106" s="726">
        <f t="shared" si="255"/>
        <v>0.019519909861585916</v>
      </c>
      <c r="AJ106" s="726">
        <f t="shared" si="255"/>
        <v>0.093898300048770311</v>
      </c>
      <c r="AK106" s="1325">
        <f t="shared" si="255"/>
        <v>0.04210135270125992</v>
      </c>
      <c r="AL106" s="726">
        <f t="shared" si="255"/>
        <v>-0.017287448466387523</v>
      </c>
      <c r="AM106" s="726">
        <f t="shared" si="255"/>
        <v>0.035925811718738654</v>
      </c>
      <c r="AN106" s="726">
        <f t="shared" si="255"/>
        <v>0.016537075049490424</v>
      </c>
      <c r="AO106" s="726">
        <f t="shared" si="255"/>
        <v>-0.11887804255960555</v>
      </c>
      <c r="AP106" s="1325">
        <f t="shared" si="255"/>
        <v>-0.021922285546787545</v>
      </c>
      <c r="AQ106" s="726">
        <f t="shared" si="255"/>
        <v>0.031418048108261987</v>
      </c>
      <c r="AR106" s="726">
        <f t="shared" si="255"/>
        <v>-0.052719272461627775</v>
      </c>
      <c r="AS106" s="726">
        <f t="shared" si="255"/>
        <v>-0.025963571134065666</v>
      </c>
      <c r="AT106" s="726">
        <f t="shared" si="255"/>
        <v>0.0091630783115212999</v>
      </c>
      <c r="AU106" s="1325">
        <f t="shared" si="255"/>
        <v>-0.0097063857392593045</v>
      </c>
      <c r="AV106" s="726">
        <f t="shared" si="256" ref="AV106:AZ106">AV105/AQ105-1</f>
        <v>-0.012142280313632736</v>
      </c>
      <c r="AW106" s="726">
        <f t="shared" si="256"/>
        <v>0.057938256712256164</v>
      </c>
      <c r="AX106" s="726">
        <f t="shared" si="256"/>
        <v>0.09182325156758453</v>
      </c>
      <c r="AY106" s="726">
        <f t="shared" si="256"/>
        <v>0.14904154334029318</v>
      </c>
      <c r="AZ106" s="1325">
        <f t="shared" si="256"/>
        <v>0.069390649478830335</v>
      </c>
      <c r="BA106" s="726">
        <f t="shared" si="257" ref="BA106:BO106">BA105/AV105-1</f>
        <v>0.17198348120733686</v>
      </c>
      <c r="BB106" s="726">
        <f t="shared" si="257"/>
        <v>0.10289483115842613</v>
      </c>
      <c r="BC106" s="726">
        <f t="shared" si="257"/>
        <v>0.096924600806415739</v>
      </c>
      <c r="BD106" s="726">
        <f t="shared" si="257"/>
        <v>0.14042016966824988</v>
      </c>
      <c r="BE106" s="1325">
        <f t="shared" si="257"/>
        <v>0.1272427010386441</v>
      </c>
      <c r="BF106" s="726">
        <f>BF105/BA105-1</f>
        <v>0.099930883742689325</v>
      </c>
      <c r="BG106" s="726">
        <f>BG105/BB105-1</f>
        <v>0.16455058761287678</v>
      </c>
      <c r="BH106" s="808">
        <f>BH105/BC105-1</f>
        <v>0.15176747559741255</v>
      </c>
      <c r="BI106" s="98">
        <f t="shared" si="257"/>
        <v>0.037689044887347256</v>
      </c>
      <c r="BJ106" s="1326">
        <f t="shared" si="257"/>
        <v>0.040957662776650139</v>
      </c>
      <c r="BK106" s="98">
        <f t="shared" si="257"/>
        <v>0.040069399247134596</v>
      </c>
      <c r="BL106" s="98">
        <f t="shared" si="257"/>
        <v>0.00048117539903191897</v>
      </c>
      <c r="BM106" s="98">
        <f t="shared" si="257"/>
        <v>0.0044788750111388609</v>
      </c>
      <c r="BN106" s="98">
        <f t="shared" si="257"/>
        <v>0.036952262222049503</v>
      </c>
      <c r="BO106" s="1326">
        <f t="shared" si="257"/>
        <v>0.090524767243710391</v>
      </c>
      <c r="BP106" s="1325">
        <f>BP105/BO105-1</f>
        <v>0.015287559970248221</v>
      </c>
      <c r="BQ106" s="1325">
        <f>BQ105/BP105-1</f>
        <v>0.020000000000000462</v>
      </c>
      <c r="BR106" s="1326">
        <f>BR105/BQ105-1</f>
        <v>0.019999999999999352</v>
      </c>
      <c r="BS106" s="648"/>
    </row>
    <row r="107" spans="1:71" s="669" customFormat="1" ht="7.5" customHeight="1" hidden="1" outlineLevel="2">
      <c r="A107" s="107"/>
      <c r="B107" s="108"/>
      <c r="C107" s="1325"/>
      <c r="D107" s="1325"/>
      <c r="E107" s="1325"/>
      <c r="F107" s="1325"/>
      <c r="G107" s="1325"/>
      <c r="H107" s="726"/>
      <c r="I107" s="726"/>
      <c r="J107" s="726"/>
      <c r="K107" s="726"/>
      <c r="L107" s="1325"/>
      <c r="M107" s="726"/>
      <c r="N107" s="726"/>
      <c r="O107" s="726"/>
      <c r="P107" s="726"/>
      <c r="Q107" s="1325"/>
      <c r="R107" s="726"/>
      <c r="S107" s="726"/>
      <c r="T107" s="726"/>
      <c r="U107" s="726"/>
      <c r="V107" s="1325"/>
      <c r="W107" s="726"/>
      <c r="X107" s="726"/>
      <c r="Y107" s="726"/>
      <c r="Z107" s="726"/>
      <c r="AA107" s="1325"/>
      <c r="AB107" s="726"/>
      <c r="AC107" s="726"/>
      <c r="AD107" s="726"/>
      <c r="AE107" s="726"/>
      <c r="AF107" s="1325"/>
      <c r="AG107" s="726"/>
      <c r="AH107" s="726"/>
      <c r="AI107" s="726"/>
      <c r="AJ107" s="726"/>
      <c r="AK107" s="1325"/>
      <c r="AL107" s="726"/>
      <c r="AM107" s="726"/>
      <c r="AN107" s="726"/>
      <c r="AO107" s="726"/>
      <c r="AP107" s="1325"/>
      <c r="AQ107" s="726"/>
      <c r="AR107" s="726"/>
      <c r="AS107" s="726"/>
      <c r="AT107" s="726"/>
      <c r="AU107" s="1325"/>
      <c r="AV107" s="726"/>
      <c r="AW107" s="726"/>
      <c r="AX107" s="726"/>
      <c r="AY107" s="726"/>
      <c r="AZ107" s="1325"/>
      <c r="BA107" s="726"/>
      <c r="BB107" s="726"/>
      <c r="BC107" s="726"/>
      <c r="BD107" s="726"/>
      <c r="BE107" s="1325"/>
      <c r="BF107" s="726"/>
      <c r="BG107" s="726"/>
      <c r="BH107" s="808"/>
      <c r="BI107" s="98"/>
      <c r="BJ107" s="1326"/>
      <c r="BK107" s="98"/>
      <c r="BL107" s="98"/>
      <c r="BM107" s="98"/>
      <c r="BN107" s="98"/>
      <c r="BO107" s="1326"/>
      <c r="BP107" s="1325"/>
      <c r="BQ107" s="1325"/>
      <c r="BR107" s="1326"/>
      <c r="BS107" s="648"/>
    </row>
    <row r="108" spans="1:71" s="668" customFormat="1" ht="15" hidden="1" outlineLevel="2">
      <c r="A108" s="25" t="s">
        <v>542</v>
      </c>
      <c r="B108" s="394"/>
      <c r="C108" s="1320">
        <f t="shared" si="258" ref="C108:AH108">C50+C79</f>
        <v>12453.099999999999</v>
      </c>
      <c r="D108" s="1320">
        <f t="shared" si="258"/>
        <v>13024.40</v>
      </c>
      <c r="E108" s="1320">
        <f t="shared" si="258"/>
        <v>13612.20</v>
      </c>
      <c r="F108" s="1320">
        <f t="shared" si="258"/>
        <v>14636.80</v>
      </c>
      <c r="G108" s="1320">
        <f t="shared" si="258"/>
        <v>15569.20</v>
      </c>
      <c r="H108" s="1021">
        <f t="shared" si="258"/>
        <v>4219.20</v>
      </c>
      <c r="I108" s="1021">
        <f t="shared" si="258"/>
        <v>4119.8999999999996</v>
      </c>
      <c r="J108" s="1021">
        <f t="shared" si="258"/>
        <v>4268.8999999999996</v>
      </c>
      <c r="K108" s="1021">
        <f t="shared" si="258"/>
        <v>4151.1999999999989</v>
      </c>
      <c r="L108" s="1320">
        <f t="shared" si="258"/>
        <v>16759.199999999997</v>
      </c>
      <c r="M108" s="1021">
        <f t="shared" si="258"/>
        <v>4535.70</v>
      </c>
      <c r="N108" s="1021">
        <f t="shared" si="258"/>
        <v>4395.1000000000004</v>
      </c>
      <c r="O108" s="1021">
        <f t="shared" si="258"/>
        <v>4635.1000000000004</v>
      </c>
      <c r="P108" s="1021">
        <f t="shared" si="258"/>
        <v>4137.7000000000016</v>
      </c>
      <c r="Q108" s="1320">
        <f t="shared" si="258"/>
        <v>17703.60</v>
      </c>
      <c r="R108" s="1021">
        <f t="shared" si="258"/>
        <v>4985.7999999999993</v>
      </c>
      <c r="S108" s="1021">
        <f t="shared" si="258"/>
        <v>4908.1000000000004</v>
      </c>
      <c r="T108" s="1021">
        <f t="shared" si="258"/>
        <v>5136.1000000000004</v>
      </c>
      <c r="U108" s="1021">
        <f t="shared" si="258"/>
        <v>4789.50</v>
      </c>
      <c r="V108" s="1320">
        <f t="shared" si="258"/>
        <v>19819.50</v>
      </c>
      <c r="W108" s="1021">
        <f t="shared" si="258"/>
        <v>5613.2999999999993</v>
      </c>
      <c r="X108" s="1021">
        <f t="shared" si="258"/>
        <v>5598.10</v>
      </c>
      <c r="Y108" s="1021">
        <f t="shared" si="258"/>
        <v>6016</v>
      </c>
      <c r="Z108" s="1021">
        <f t="shared" si="258"/>
        <v>5700.9999999999982</v>
      </c>
      <c r="AA108" s="1320">
        <f t="shared" si="258"/>
        <v>22928.40</v>
      </c>
      <c r="AB108" s="1021">
        <f t="shared" si="258"/>
        <v>6744.80</v>
      </c>
      <c r="AC108" s="1021">
        <f t="shared" si="258"/>
        <v>6652.90</v>
      </c>
      <c r="AD108" s="1021">
        <f t="shared" si="258"/>
        <v>7122.50</v>
      </c>
      <c r="AE108" s="1021">
        <f t="shared" si="258"/>
        <v>6637.3999999999978</v>
      </c>
      <c r="AF108" s="1320">
        <f t="shared" si="258"/>
        <v>27157.60</v>
      </c>
      <c r="AG108" s="1021">
        <f t="shared" si="258"/>
        <v>7722.50</v>
      </c>
      <c r="AH108" s="1021">
        <f t="shared" si="258"/>
        <v>7485.30</v>
      </c>
      <c r="AI108" s="1021">
        <f t="shared" si="259" ref="AI108:AU108">AI50+AI79</f>
        <v>7956.50</v>
      </c>
      <c r="AJ108" s="1021">
        <f t="shared" si="259"/>
        <v>7937.9000000000015</v>
      </c>
      <c r="AK108" s="1320">
        <f t="shared" si="259"/>
        <v>31102.200000000001</v>
      </c>
      <c r="AL108" s="1021">
        <f t="shared" si="259"/>
        <v>8323.90</v>
      </c>
      <c r="AM108" s="1021">
        <f t="shared" si="259"/>
        <v>8431.50</v>
      </c>
      <c r="AN108" s="1021">
        <f t="shared" si="259"/>
        <v>8884.7000000000007</v>
      </c>
      <c r="AO108" s="1021">
        <f t="shared" si="259"/>
        <v>7702.4999999999982</v>
      </c>
      <c r="AP108" s="1320">
        <f t="shared" si="259"/>
        <v>33342.599999999999</v>
      </c>
      <c r="AQ108" s="1021">
        <f t="shared" si="259"/>
        <v>9461.40</v>
      </c>
      <c r="AR108" s="1021">
        <f t="shared" si="259"/>
        <v>8900.1999999999989</v>
      </c>
      <c r="AS108" s="1021">
        <f t="shared" si="259"/>
        <v>9467.0999999999985</v>
      </c>
      <c r="AT108" s="1021">
        <f t="shared" si="259"/>
        <v>8340.100000000004</v>
      </c>
      <c r="AU108" s="1320">
        <f t="shared" si="259"/>
        <v>36168.800000000003</v>
      </c>
      <c r="AV108" s="1021">
        <f t="shared" si="260" ref="AV108:AZ108">AV50+AV79</f>
        <v>9718.90</v>
      </c>
      <c r="AW108" s="1021">
        <f t="shared" si="260"/>
        <v>9472.50</v>
      </c>
      <c r="AX108" s="1021">
        <f t="shared" si="260"/>
        <v>10329</v>
      </c>
      <c r="AY108" s="1021">
        <f t="shared" si="260"/>
        <v>9758.10</v>
      </c>
      <c r="AZ108" s="1320">
        <f t="shared" si="260"/>
        <v>39278.50</v>
      </c>
      <c r="BA108" s="1021">
        <f t="shared" si="261" ref="BA108:BR108">BA50+BA79</f>
        <v>12113.20</v>
      </c>
      <c r="BB108" s="1021">
        <f t="shared" si="261"/>
        <v>11600.099999999999</v>
      </c>
      <c r="BC108" s="1021">
        <f t="shared" si="261"/>
        <v>12653.60</v>
      </c>
      <c r="BD108" s="1021">
        <f t="shared" si="261"/>
        <v>12214.100000000002</v>
      </c>
      <c r="BE108" s="1320">
        <f t="shared" si="261"/>
        <v>48581</v>
      </c>
      <c r="BF108" s="1021">
        <f>BF50+BF79</f>
        <v>14480.900000000001</v>
      </c>
      <c r="BG108" s="1021">
        <f>BG50+BG79</f>
        <v>14562</v>
      </c>
      <c r="BH108" s="1022">
        <f>BH50+BH79</f>
        <v>16289.599999999995</v>
      </c>
      <c r="BI108" s="1023">
        <f t="shared" si="261"/>
        <v>14634.649633878651</v>
      </c>
      <c r="BJ108" s="1321">
        <f t="shared" si="261"/>
        <v>59967.149633878646</v>
      </c>
      <c r="BK108" s="1023">
        <f t="shared" si="261"/>
        <v>17270.3679454843</v>
      </c>
      <c r="BL108" s="1023">
        <f t="shared" si="261"/>
        <v>17114.08780713773</v>
      </c>
      <c r="BM108" s="1023">
        <f t="shared" si="261"/>
        <v>18606.985009483156</v>
      </c>
      <c r="BN108" s="1023">
        <f t="shared" si="261"/>
        <v>16466.683711847945</v>
      </c>
      <c r="BO108" s="1321">
        <f t="shared" si="261"/>
        <v>69458.124473953125</v>
      </c>
      <c r="BP108" s="1322">
        <f t="shared" si="261"/>
        <v>74410.633388376387</v>
      </c>
      <c r="BQ108" s="1322">
        <f t="shared" si="261"/>
        <v>77416.822977266798</v>
      </c>
      <c r="BR108" s="1321">
        <f t="shared" si="261"/>
        <v>80544.46262554836</v>
      </c>
      <c r="BS108" s="648"/>
    </row>
    <row r="109" spans="1:71" s="669" customFormat="1" ht="15" hidden="1" outlineLevel="2">
      <c r="A109" s="107" t="s">
        <v>546</v>
      </c>
      <c r="B109" s="108"/>
      <c r="C109" s="1325"/>
      <c r="D109" s="1325"/>
      <c r="E109" s="1325"/>
      <c r="F109" s="1325"/>
      <c r="G109" s="1325"/>
      <c r="H109" s="726"/>
      <c r="I109" s="726"/>
      <c r="J109" s="726"/>
      <c r="K109" s="726"/>
      <c r="L109" s="1325"/>
      <c r="M109" s="726"/>
      <c r="N109" s="726"/>
      <c r="O109" s="726"/>
      <c r="P109" s="726"/>
      <c r="Q109" s="1325"/>
      <c r="R109" s="726"/>
      <c r="S109" s="725">
        <f t="shared" si="262" ref="S109:AU109">S108/N108-1</f>
        <v>0.11672089372255456</v>
      </c>
      <c r="T109" s="725">
        <f t="shared" si="262"/>
        <v>0.10808828288494321</v>
      </c>
      <c r="U109" s="725">
        <f t="shared" si="262"/>
        <v>0.15752712859801288</v>
      </c>
      <c r="V109" s="1327">
        <f t="shared" si="262"/>
        <v>0.1195180641225515</v>
      </c>
      <c r="W109" s="725">
        <f t="shared" si="262"/>
        <v>0.12585743511572867</v>
      </c>
      <c r="X109" s="725">
        <f t="shared" si="262"/>
        <v>0.14058393268270808</v>
      </c>
      <c r="Y109" s="725">
        <f t="shared" si="262"/>
        <v>0.17131675785128775</v>
      </c>
      <c r="Z109" s="725">
        <f t="shared" si="262"/>
        <v>0.19031214114208117</v>
      </c>
      <c r="AA109" s="1327">
        <f t="shared" si="262"/>
        <v>0.15686066752440775</v>
      </c>
      <c r="AB109" s="725">
        <f t="shared" si="262"/>
        <v>0.20157483120446096</v>
      </c>
      <c r="AC109" s="725">
        <f t="shared" si="262"/>
        <v>0.18842107143495102</v>
      </c>
      <c r="AD109" s="725">
        <f t="shared" si="262"/>
        <v>0.18392619680851063</v>
      </c>
      <c r="AE109" s="725">
        <f t="shared" si="262"/>
        <v>0.16425188563409931</v>
      </c>
      <c r="AF109" s="1327">
        <f t="shared" si="262"/>
        <v>0.18445246942656257</v>
      </c>
      <c r="AG109" s="725">
        <f t="shared" si="262"/>
        <v>0.14495611433993583</v>
      </c>
      <c r="AH109" s="725">
        <f t="shared" si="262"/>
        <v>0.12511836943287902</v>
      </c>
      <c r="AI109" s="725">
        <f t="shared" si="262"/>
        <v>0.11709371709371719</v>
      </c>
      <c r="AJ109" s="725">
        <f t="shared" si="262"/>
        <v>0.19593515533190775</v>
      </c>
      <c r="AK109" s="1327">
        <f t="shared" si="262"/>
        <v>0.1452484755648511</v>
      </c>
      <c r="AL109" s="725">
        <f t="shared" si="262"/>
        <v>0.077876335383619155</v>
      </c>
      <c r="AM109" s="725">
        <f t="shared" si="262"/>
        <v>0.1264077592080477</v>
      </c>
      <c r="AN109" s="725">
        <f t="shared" si="262"/>
        <v>0.11665933513479554</v>
      </c>
      <c r="AO109" s="725">
        <f t="shared" si="262"/>
        <v>-0.029655198478187317</v>
      </c>
      <c r="AP109" s="1327">
        <f t="shared" si="262"/>
        <v>0.072033489592375988</v>
      </c>
      <c r="AQ109" s="725">
        <f t="shared" si="262"/>
        <v>0.13665469311260336</v>
      </c>
      <c r="AR109" s="725">
        <f t="shared" si="262"/>
        <v>0.055589159698748558</v>
      </c>
      <c r="AS109" s="725">
        <f t="shared" si="262"/>
        <v>0.065550890857316357</v>
      </c>
      <c r="AT109" s="725">
        <f t="shared" si="262"/>
        <v>0.082778318727686484</v>
      </c>
      <c r="AU109" s="1327">
        <f t="shared" si="262"/>
        <v>0.084762436042780331</v>
      </c>
      <c r="AV109" s="725">
        <f t="shared" si="263" ref="AV109:AZ109">AV108/AQ108-1</f>
        <v>0.027215845435136554</v>
      </c>
      <c r="AW109" s="725">
        <f t="shared" si="263"/>
        <v>0.064301925799420401</v>
      </c>
      <c r="AX109" s="725">
        <f t="shared" si="263"/>
        <v>0.09104160725037258</v>
      </c>
      <c r="AY109" s="725">
        <f t="shared" si="263"/>
        <v>0.17002194218294697</v>
      </c>
      <c r="AZ109" s="1327">
        <f t="shared" si="263"/>
        <v>0.085977417000287382</v>
      </c>
      <c r="BA109" s="725">
        <f t="shared" si="264" ref="BA109:BO109">BA108/AV108-1</f>
        <v>0.24635504017944432</v>
      </c>
      <c r="BB109" s="725">
        <f t="shared" si="264"/>
        <v>0.22460807600950106</v>
      </c>
      <c r="BC109" s="725">
        <f t="shared" si="264"/>
        <v>0.22505566850614778</v>
      </c>
      <c r="BD109" s="725">
        <f t="shared" si="264"/>
        <v>0.2516883409680164</v>
      </c>
      <c r="BE109" s="1327">
        <f t="shared" si="264"/>
        <v>0.23683440049900062</v>
      </c>
      <c r="BF109" s="725">
        <f>BF108/BA108-1</f>
        <v>0.19546445200277396</v>
      </c>
      <c r="BG109" s="725">
        <f>BG108/BB108-1</f>
        <v>0.25533400574133003</v>
      </c>
      <c r="BH109" s="809">
        <f>BH108/BC108-1</f>
        <v>0.28734905481443973</v>
      </c>
      <c r="BI109" s="98">
        <f t="shared" si="264"/>
        <v>0.19817666744816642</v>
      </c>
      <c r="BJ109" s="1326">
        <f t="shared" si="264"/>
        <v>0.23437454218477694</v>
      </c>
      <c r="BK109" s="98">
        <f t="shared" si="264"/>
        <v>0.1926308410032731</v>
      </c>
      <c r="BL109" s="98">
        <f t="shared" si="264"/>
        <v>0.17525668226464286</v>
      </c>
      <c r="BM109" s="98">
        <f t="shared" si="264"/>
        <v>0.14226162763254857</v>
      </c>
      <c r="BN109" s="98">
        <f t="shared" si="264"/>
        <v>0.12518469002006083</v>
      </c>
      <c r="BO109" s="1326">
        <f t="shared" si="264"/>
        <v>0.15826956755524235</v>
      </c>
      <c r="BP109" s="1325">
        <f>BP108/BO108-1</f>
        <v>0.071302082397581179</v>
      </c>
      <c r="BQ109" s="1325">
        <f>BQ108/BP108-1</f>
        <v>0.040399999999999991</v>
      </c>
      <c r="BR109" s="1326">
        <f>BR108/BQ108-1</f>
        <v>0.040399999999999769</v>
      </c>
      <c r="BS109" s="648"/>
    </row>
    <row r="110" spans="1:71" s="669" customFormat="1" ht="7.5" customHeight="1" hidden="1" outlineLevel="2">
      <c r="A110" s="107"/>
      <c r="B110" s="108"/>
      <c r="C110" s="1325"/>
      <c r="D110" s="1325"/>
      <c r="E110" s="1325"/>
      <c r="F110" s="1325"/>
      <c r="G110" s="1325"/>
      <c r="H110" s="726"/>
      <c r="I110" s="726"/>
      <c r="J110" s="726"/>
      <c r="K110" s="726"/>
      <c r="L110" s="1325"/>
      <c r="M110" s="726"/>
      <c r="N110" s="726"/>
      <c r="O110" s="726"/>
      <c r="P110" s="726"/>
      <c r="Q110" s="1325"/>
      <c r="R110" s="726"/>
      <c r="S110" s="726"/>
      <c r="T110" s="726"/>
      <c r="U110" s="726"/>
      <c r="V110" s="1325"/>
      <c r="W110" s="726"/>
      <c r="X110" s="726"/>
      <c r="Y110" s="726"/>
      <c r="Z110" s="726"/>
      <c r="AA110" s="1325"/>
      <c r="AB110" s="726"/>
      <c r="AC110" s="726"/>
      <c r="AD110" s="726"/>
      <c r="AE110" s="726"/>
      <c r="AF110" s="1325"/>
      <c r="AG110" s="726"/>
      <c r="AH110" s="726"/>
      <c r="AI110" s="726"/>
      <c r="AJ110" s="726"/>
      <c r="AK110" s="1325"/>
      <c r="AL110" s="726"/>
      <c r="AM110" s="726"/>
      <c r="AN110" s="726"/>
      <c r="AO110" s="726"/>
      <c r="AP110" s="1325"/>
      <c r="AQ110" s="726"/>
      <c r="AR110" s="726"/>
      <c r="AS110" s="726"/>
      <c r="AT110" s="726"/>
      <c r="AU110" s="1325"/>
      <c r="AV110" s="726"/>
      <c r="AW110" s="726"/>
      <c r="AX110" s="726"/>
      <c r="AY110" s="726"/>
      <c r="AZ110" s="1325"/>
      <c r="BA110" s="726"/>
      <c r="BB110" s="726"/>
      <c r="BC110" s="726"/>
      <c r="BD110" s="726"/>
      <c r="BE110" s="1325"/>
      <c r="BF110" s="726"/>
      <c r="BG110" s="726"/>
      <c r="BH110" s="808"/>
      <c r="BI110" s="98"/>
      <c r="BJ110" s="1326"/>
      <c r="BK110" s="98"/>
      <c r="BL110" s="98"/>
      <c r="BM110" s="98"/>
      <c r="BN110" s="98"/>
      <c r="BO110" s="1326"/>
      <c r="BP110" s="1325"/>
      <c r="BQ110" s="1325"/>
      <c r="BR110" s="1326"/>
      <c r="BS110" s="648"/>
    </row>
    <row r="111" spans="1:71" s="676" customFormat="1" ht="15" hidden="1" outlineLevel="2">
      <c r="A111" s="925" t="s">
        <v>543</v>
      </c>
      <c r="B111" s="396"/>
      <c r="C111" s="1339">
        <f t="shared" si="265" ref="C111:AH111">C113/C108</f>
        <v>0.9929977274734807</v>
      </c>
      <c r="D111" s="1339">
        <f t="shared" si="265"/>
        <v>0.98483615368078381</v>
      </c>
      <c r="E111" s="1339">
        <f t="shared" si="265"/>
        <v>0.98669575821689348</v>
      </c>
      <c r="F111" s="1339">
        <f t="shared" si="265"/>
        <v>0.98164216222125045</v>
      </c>
      <c r="G111" s="1339">
        <f t="shared" si="265"/>
        <v>0.98538139403437552</v>
      </c>
      <c r="H111" s="381">
        <f t="shared" si="265"/>
        <v>0.93984641638225253</v>
      </c>
      <c r="I111" s="381">
        <f t="shared" si="265"/>
        <v>0.98698997548484202</v>
      </c>
      <c r="J111" s="381">
        <f t="shared" si="265"/>
        <v>0.95671015952587324</v>
      </c>
      <c r="K111" s="381">
        <f t="shared" si="265"/>
        <v>1.0708228945846987</v>
      </c>
      <c r="L111" s="1339">
        <f t="shared" si="265"/>
        <v>0.98817365984056538</v>
      </c>
      <c r="M111" s="381">
        <f t="shared" si="265"/>
        <v>0.92596512114998786</v>
      </c>
      <c r="N111" s="381">
        <f t="shared" si="265"/>
        <v>0.98022798116083809</v>
      </c>
      <c r="O111" s="381">
        <f t="shared" si="265"/>
        <v>0.93937563375115962</v>
      </c>
      <c r="P111" s="381">
        <f t="shared" si="265"/>
        <v>1.0711989752761193</v>
      </c>
      <c r="Q111" s="1339">
        <f t="shared" si="265"/>
        <v>0.9768917056417904</v>
      </c>
      <c r="R111" s="381">
        <f t="shared" si="265"/>
        <v>0.91632235548959062</v>
      </c>
      <c r="S111" s="381">
        <f t="shared" si="265"/>
        <v>0.96943827550375905</v>
      </c>
      <c r="T111" s="381">
        <f t="shared" si="265"/>
        <v>0.9473141099277661</v>
      </c>
      <c r="U111" s="381">
        <f t="shared" si="265"/>
        <v>1.0431151477189686</v>
      </c>
      <c r="V111" s="1339">
        <f t="shared" si="265"/>
        <v>0.96814753147153065</v>
      </c>
      <c r="W111" s="381">
        <f t="shared" si="265"/>
        <v>0.91839025172358513</v>
      </c>
      <c r="X111" s="381">
        <f t="shared" si="265"/>
        <v>0.96505957378396234</v>
      </c>
      <c r="Y111" s="381">
        <f t="shared" si="265"/>
        <v>0.92666223404255321</v>
      </c>
      <c r="Z111" s="381">
        <f t="shared" si="265"/>
        <v>1.0199438694965799</v>
      </c>
      <c r="AA111" s="1339">
        <f t="shared" si="265"/>
        <v>0.95720591057378623</v>
      </c>
      <c r="AB111" s="381">
        <f t="shared" si="265"/>
        <v>0.90145000593049462</v>
      </c>
      <c r="AC111" s="381">
        <f t="shared" si="265"/>
        <v>0.96762314178779185</v>
      </c>
      <c r="AD111" s="381">
        <f t="shared" si="265"/>
        <v>0.93441909441909432</v>
      </c>
      <c r="AE111" s="381">
        <f t="shared" si="265"/>
        <v>1.0337933528188754</v>
      </c>
      <c r="AF111" s="1339">
        <f t="shared" si="265"/>
        <v>0.95865245824373291</v>
      </c>
      <c r="AG111" s="381">
        <f t="shared" si="265"/>
        <v>0.91742311427646495</v>
      </c>
      <c r="AH111" s="381">
        <f t="shared" si="265"/>
        <v>0.98499726129881227</v>
      </c>
      <c r="AI111" s="381">
        <f t="shared" si="266" ref="AI111:AU111">AI113/AI108</f>
        <v>0.94355558348520074</v>
      </c>
      <c r="AJ111" s="381">
        <f t="shared" si="266"/>
        <v>1.0386626185767014</v>
      </c>
      <c r="AK111" s="1339">
        <f t="shared" si="266"/>
        <v>0.97131392634604619</v>
      </c>
      <c r="AL111" s="381">
        <f t="shared" si="266"/>
        <v>0.93959562224438076</v>
      </c>
      <c r="AM111" s="381">
        <f t="shared" si="266"/>
        <v>0.95912945501986591</v>
      </c>
      <c r="AN111" s="381">
        <f t="shared" si="266"/>
        <v>0.935473341812329</v>
      </c>
      <c r="AO111" s="381">
        <f t="shared" si="266"/>
        <v>1.0906458941901984</v>
      </c>
      <c r="AP111" s="1339">
        <f t="shared" si="266"/>
        <v>0.97833102397533489</v>
      </c>
      <c r="AQ111" s="381">
        <f t="shared" si="266"/>
        <v>0.90154733971716661</v>
      </c>
      <c r="AR111" s="381">
        <f t="shared" si="266"/>
        <v>0.99483157681849865</v>
      </c>
      <c r="AS111" s="381">
        <f t="shared" si="266"/>
        <v>0.94623485544675767</v>
      </c>
      <c r="AT111" s="381">
        <f t="shared" si="266"/>
        <v>1.0828527235884458</v>
      </c>
      <c r="AU111" s="1339">
        <f t="shared" si="266"/>
        <v>0.97800590564243217</v>
      </c>
      <c r="AV111" s="381">
        <f t="shared" si="267" ref="AV111:AZ111">AV113/AV108</f>
        <v>0.93805883381864219</v>
      </c>
      <c r="AW111" s="381">
        <f t="shared" si="267"/>
        <v>0.97887569279493247</v>
      </c>
      <c r="AX111" s="381">
        <f t="shared" si="267"/>
        <v>0.92160906186465286</v>
      </c>
      <c r="AY111" s="381">
        <f t="shared" si="267"/>
        <v>1.0218792592820325</v>
      </c>
      <c r="AZ111" s="1339">
        <f t="shared" si="267"/>
        <v>0.96440037170462201</v>
      </c>
      <c r="BA111" s="381">
        <f t="shared" si="268" ref="BA111:BR111">BA113/BA108</f>
        <v>0.87322920450417707</v>
      </c>
      <c r="BB111" s="381">
        <f t="shared" si="268"/>
        <v>0.98170705424953242</v>
      </c>
      <c r="BC111" s="381">
        <f t="shared" si="268"/>
        <v>0.93062843775684378</v>
      </c>
      <c r="BD111" s="381">
        <f t="shared" si="268"/>
        <v>1.0211149409289264</v>
      </c>
      <c r="BE111" s="1339">
        <f t="shared" si="268"/>
        <v>0.95126283938165135</v>
      </c>
      <c r="BF111" s="381">
        <f>BF113/BF108</f>
        <v>0.88932317742681732</v>
      </c>
      <c r="BG111" s="381">
        <f>BG113/BG108</f>
        <v>0.9482832028567505</v>
      </c>
      <c r="BH111" s="813">
        <f>BH113/BH108</f>
        <v>0.90904626264610577</v>
      </c>
      <c r="BI111" s="909">
        <f t="shared" si="268"/>
        <v>1.002208765749306</v>
      </c>
      <c r="BJ111" s="1340">
        <f t="shared" si="268"/>
        <v>0.9365473344928521</v>
      </c>
      <c r="BK111" s="909">
        <f t="shared" si="268"/>
        <v>1.0029705025897995</v>
      </c>
      <c r="BL111" s="909">
        <f t="shared" si="268"/>
        <v>0.96593190465728784</v>
      </c>
      <c r="BM111" s="909">
        <f t="shared" si="268"/>
        <v>0.96869148320795073</v>
      </c>
      <c r="BN111" s="909">
        <f t="shared" si="268"/>
        <v>1.0024946280326712</v>
      </c>
      <c r="BO111" s="1340">
        <f t="shared" si="268"/>
        <v>0.98454865341725684</v>
      </c>
      <c r="BP111" s="1339">
        <f t="shared" si="268"/>
        <v>0.98</v>
      </c>
      <c r="BQ111" s="1339">
        <f t="shared" si="268"/>
        <v>0.98000000000000009</v>
      </c>
      <c r="BR111" s="1340">
        <f t="shared" si="268"/>
        <v>0.9800000000000002</v>
      </c>
      <c r="BS111" s="648"/>
    </row>
    <row r="112" spans="1:71" s="669" customFormat="1" ht="7.5" customHeight="1" hidden="1" outlineLevel="2">
      <c r="A112" s="107"/>
      <c r="B112" s="108"/>
      <c r="C112" s="1325"/>
      <c r="D112" s="1325"/>
      <c r="E112" s="1325"/>
      <c r="F112" s="1325"/>
      <c r="G112" s="1325"/>
      <c r="H112" s="726"/>
      <c r="I112" s="726"/>
      <c r="J112" s="726"/>
      <c r="K112" s="726"/>
      <c r="L112" s="1325"/>
      <c r="M112" s="726"/>
      <c r="N112" s="726"/>
      <c r="O112" s="726"/>
      <c r="P112" s="726"/>
      <c r="Q112" s="1325"/>
      <c r="R112" s="726"/>
      <c r="S112" s="726"/>
      <c r="T112" s="726"/>
      <c r="U112" s="726"/>
      <c r="V112" s="1325"/>
      <c r="W112" s="726"/>
      <c r="X112" s="726"/>
      <c r="Y112" s="726"/>
      <c r="Z112" s="726"/>
      <c r="AA112" s="1325"/>
      <c r="AB112" s="726"/>
      <c r="AC112" s="726"/>
      <c r="AD112" s="726"/>
      <c r="AE112" s="726"/>
      <c r="AF112" s="1325"/>
      <c r="AG112" s="726"/>
      <c r="AH112" s="726"/>
      <c r="AI112" s="726"/>
      <c r="AJ112" s="726"/>
      <c r="AK112" s="1325"/>
      <c r="AL112" s="726"/>
      <c r="AM112" s="726"/>
      <c r="AN112" s="726"/>
      <c r="AO112" s="726"/>
      <c r="AP112" s="1325"/>
      <c r="AQ112" s="726"/>
      <c r="AR112" s="726"/>
      <c r="AS112" s="726"/>
      <c r="AT112" s="726"/>
      <c r="AU112" s="1325"/>
      <c r="AV112" s="726"/>
      <c r="AW112" s="726"/>
      <c r="AX112" s="726"/>
      <c r="AY112" s="726"/>
      <c r="AZ112" s="1325"/>
      <c r="BA112" s="726"/>
      <c r="BB112" s="726"/>
      <c r="BC112" s="726"/>
      <c r="BD112" s="726"/>
      <c r="BE112" s="1325"/>
      <c r="BF112" s="726"/>
      <c r="BG112" s="726"/>
      <c r="BH112" s="808"/>
      <c r="BI112" s="98"/>
      <c r="BJ112" s="1326"/>
      <c r="BK112" s="98"/>
      <c r="BL112" s="98"/>
      <c r="BM112" s="98"/>
      <c r="BN112" s="98"/>
      <c r="BO112" s="1326"/>
      <c r="BP112" s="1325"/>
      <c r="BQ112" s="1325"/>
      <c r="BR112" s="1326"/>
      <c r="BS112" s="648"/>
    </row>
    <row r="113" spans="1:71" s="668" customFormat="1" ht="15" hidden="1" outlineLevel="2">
      <c r="A113" s="25" t="s">
        <v>544</v>
      </c>
      <c r="B113" s="1005"/>
      <c r="C113" s="1348">
        <f t="shared" si="269" ref="C113:AH113">C55+C84</f>
        <v>12365.900000000001</v>
      </c>
      <c r="D113" s="1348">
        <f t="shared" si="269"/>
        <v>12826.90</v>
      </c>
      <c r="E113" s="1348">
        <f t="shared" si="269"/>
        <v>13431.099999999999</v>
      </c>
      <c r="F113" s="1348">
        <f t="shared" si="269"/>
        <v>14368.099999999999</v>
      </c>
      <c r="G113" s="1348">
        <f t="shared" si="269"/>
        <v>15341.60</v>
      </c>
      <c r="H113" s="1039">
        <f t="shared" si="269"/>
        <v>3965.3999999999996</v>
      </c>
      <c r="I113" s="1039">
        <f t="shared" si="269"/>
        <v>4066.30</v>
      </c>
      <c r="J113" s="1039">
        <f t="shared" si="269"/>
        <v>4084.10</v>
      </c>
      <c r="K113" s="1039">
        <f t="shared" si="269"/>
        <v>4445.20</v>
      </c>
      <c r="L113" s="1348">
        <f t="shared" si="269"/>
        <v>16561</v>
      </c>
      <c r="M113" s="1039">
        <f t="shared" si="269"/>
        <v>4199.8999999999996</v>
      </c>
      <c r="N113" s="1039">
        <f t="shared" si="269"/>
        <v>4308.20</v>
      </c>
      <c r="O113" s="1039">
        <f t="shared" si="269"/>
        <v>4354.1000000000004</v>
      </c>
      <c r="P113" s="1039">
        <f t="shared" si="269"/>
        <v>4432.30</v>
      </c>
      <c r="Q113" s="1348">
        <f t="shared" si="269"/>
        <v>17294.50</v>
      </c>
      <c r="R113" s="1039">
        <f t="shared" si="269"/>
        <v>4568.6000000000004</v>
      </c>
      <c r="S113" s="1039">
        <f t="shared" si="269"/>
        <v>4758.1000000000004</v>
      </c>
      <c r="T113" s="1039">
        <f t="shared" si="269"/>
        <v>4865.50</v>
      </c>
      <c r="U113" s="1039">
        <f t="shared" si="269"/>
        <v>4996</v>
      </c>
      <c r="V113" s="1348">
        <f t="shared" si="269"/>
        <v>19188.20</v>
      </c>
      <c r="W113" s="1039">
        <f t="shared" si="269"/>
        <v>5155.20</v>
      </c>
      <c r="X113" s="1039">
        <f t="shared" si="269"/>
        <v>5402.50</v>
      </c>
      <c r="Y113" s="1039">
        <f t="shared" si="269"/>
        <v>5574.80</v>
      </c>
      <c r="Z113" s="1039">
        <f t="shared" si="269"/>
        <v>5814.7000000000007</v>
      </c>
      <c r="AA113" s="1348">
        <f t="shared" si="269"/>
        <v>21947.20</v>
      </c>
      <c r="AB113" s="1039">
        <f t="shared" si="269"/>
        <v>6080.10</v>
      </c>
      <c r="AC113" s="1039">
        <f t="shared" si="269"/>
        <v>6437.50</v>
      </c>
      <c r="AD113" s="1039">
        <f t="shared" si="269"/>
        <v>6655.40</v>
      </c>
      <c r="AE113" s="1039">
        <f t="shared" si="269"/>
        <v>6861.7000000000007</v>
      </c>
      <c r="AF113" s="1348">
        <f t="shared" si="269"/>
        <v>26034.700000000001</v>
      </c>
      <c r="AG113" s="1039">
        <f t="shared" si="269"/>
        <v>7084.80</v>
      </c>
      <c r="AH113" s="1039">
        <f t="shared" si="269"/>
        <v>7373</v>
      </c>
      <c r="AI113" s="1039">
        <f t="shared" si="270" ref="AI113:AU113">AI55+AI84</f>
        <v>7507.40</v>
      </c>
      <c r="AJ113" s="1039">
        <f t="shared" si="270"/>
        <v>8244.7999999999993</v>
      </c>
      <c r="AK113" s="1348">
        <f t="shared" si="270"/>
        <v>30210</v>
      </c>
      <c r="AL113" s="1039">
        <f t="shared" si="270"/>
        <v>7821.10</v>
      </c>
      <c r="AM113" s="1039">
        <f t="shared" si="270"/>
        <v>8086.90</v>
      </c>
      <c r="AN113" s="1039">
        <f t="shared" si="270"/>
        <v>8311.40</v>
      </c>
      <c r="AO113" s="1039">
        <f t="shared" si="270"/>
        <v>8400.7000000000007</v>
      </c>
      <c r="AP113" s="1348">
        <f t="shared" si="270"/>
        <v>32620.099999999999</v>
      </c>
      <c r="AQ113" s="1039">
        <f t="shared" si="270"/>
        <v>8529.90</v>
      </c>
      <c r="AR113" s="1039">
        <f t="shared" si="270"/>
        <v>8854.2000000000007</v>
      </c>
      <c r="AS113" s="1039">
        <f t="shared" si="270"/>
        <v>8958.0999999999985</v>
      </c>
      <c r="AT113" s="1039">
        <f t="shared" si="270"/>
        <v>9031.10</v>
      </c>
      <c r="AU113" s="1348">
        <f t="shared" si="270"/>
        <v>35373.300000000003</v>
      </c>
      <c r="AV113" s="1039">
        <f t="shared" si="271" ref="AV113:AZ113">AV55+AV84</f>
        <v>9116.9000000000015</v>
      </c>
      <c r="AW113" s="1039">
        <f t="shared" si="271"/>
        <v>9272.3999999999978</v>
      </c>
      <c r="AX113" s="1039">
        <f t="shared" si="271"/>
        <v>9519.2999999999993</v>
      </c>
      <c r="AY113" s="1039">
        <f t="shared" si="271"/>
        <v>9971.6000000000022</v>
      </c>
      <c r="AZ113" s="1348">
        <f t="shared" si="271"/>
        <v>37880.199999999997</v>
      </c>
      <c r="BA113" s="1039">
        <f t="shared" si="272" ref="BA113:BR113">BA55+BA84</f>
        <v>10577.60</v>
      </c>
      <c r="BB113" s="1039">
        <f t="shared" si="272"/>
        <v>11387.90</v>
      </c>
      <c r="BC113" s="1039">
        <f t="shared" si="272"/>
        <v>11775.80</v>
      </c>
      <c r="BD113" s="1039">
        <f t="shared" si="272"/>
        <v>12472.000000000002</v>
      </c>
      <c r="BE113" s="1348">
        <f t="shared" si="272"/>
        <v>46213.300000000003</v>
      </c>
      <c r="BF113" s="1039">
        <f>BF55+BF84</f>
        <v>12878.20</v>
      </c>
      <c r="BG113" s="1039">
        <f>BG55+BG84</f>
        <v>13808.900000000001</v>
      </c>
      <c r="BH113" s="1040">
        <f>BH55+BH84</f>
        <v>14808</v>
      </c>
      <c r="BI113" s="1023">
        <f t="shared" si="272"/>
        <v>14666.974146743054</v>
      </c>
      <c r="BJ113" s="1321">
        <f t="shared" si="272"/>
        <v>56162.074146743056</v>
      </c>
      <c r="BK113" s="1023">
        <f t="shared" si="272"/>
        <v>17321.669618193151</v>
      </c>
      <c r="BL113" s="1023">
        <f t="shared" si="272"/>
        <v>16531.043432020615</v>
      </c>
      <c r="BM113" s="1023">
        <f t="shared" si="272"/>
        <v>18024.427906864345</v>
      </c>
      <c r="BN113" s="1023">
        <f t="shared" si="272"/>
        <v>16507.761962640652</v>
      </c>
      <c r="BO113" s="1321">
        <f t="shared" si="272"/>
        <v>68384.902919718763</v>
      </c>
      <c r="BP113" s="1322">
        <f t="shared" si="272"/>
        <v>72922.420720608861</v>
      </c>
      <c r="BQ113" s="1322">
        <f t="shared" si="272"/>
        <v>75868.486517721467</v>
      </c>
      <c r="BR113" s="1321">
        <f t="shared" si="272"/>
        <v>78933.573373037405</v>
      </c>
      <c r="BS113" s="648"/>
    </row>
    <row r="114" spans="1:71" s="669" customFormat="1" ht="15" hidden="1" outlineLevel="2">
      <c r="A114" s="107" t="s">
        <v>551</v>
      </c>
      <c r="B114" s="108"/>
      <c r="C114" s="1325"/>
      <c r="D114" s="1325"/>
      <c r="E114" s="1325"/>
      <c r="F114" s="1325"/>
      <c r="G114" s="1325"/>
      <c r="H114" s="726"/>
      <c r="I114" s="726"/>
      <c r="J114" s="726"/>
      <c r="K114" s="726"/>
      <c r="L114" s="1325"/>
      <c r="M114" s="726"/>
      <c r="N114" s="726"/>
      <c r="O114" s="726"/>
      <c r="P114" s="726"/>
      <c r="Q114" s="1325"/>
      <c r="R114" s="726"/>
      <c r="S114" s="725">
        <f t="shared" si="273" ref="S114:AU114">S113/N113-1</f>
        <v>0.1044287637528436</v>
      </c>
      <c r="T114" s="725">
        <f t="shared" si="273"/>
        <v>0.117452516019384</v>
      </c>
      <c r="U114" s="725">
        <f t="shared" si="273"/>
        <v>0.1271800194030186</v>
      </c>
      <c r="V114" s="1327">
        <f t="shared" si="273"/>
        <v>0.10949723900662067</v>
      </c>
      <c r="W114" s="725">
        <f t="shared" si="273"/>
        <v>0.1283981963840124</v>
      </c>
      <c r="X114" s="725">
        <f t="shared" si="273"/>
        <v>0.13543221033605835</v>
      </c>
      <c r="Y114" s="725">
        <f t="shared" si="273"/>
        <v>0.14578152296783475</v>
      </c>
      <c r="Z114" s="725">
        <f t="shared" si="273"/>
        <v>0.16387109687750212</v>
      </c>
      <c r="AA114" s="1327">
        <f t="shared" si="273"/>
        <v>0.14378628532118687</v>
      </c>
      <c r="AB114" s="725">
        <f t="shared" si="273"/>
        <v>0.17941108007448792</v>
      </c>
      <c r="AC114" s="725">
        <f t="shared" si="273"/>
        <v>0.19157797316057379</v>
      </c>
      <c r="AD114" s="725">
        <f t="shared" si="273"/>
        <v>0.19383655019014134</v>
      </c>
      <c r="AE114" s="725">
        <f t="shared" si="273"/>
        <v>0.18006088018298438</v>
      </c>
      <c r="AF114" s="1327">
        <f t="shared" si="273"/>
        <v>0.18624243639279725</v>
      </c>
      <c r="AG114" s="725">
        <f t="shared" si="273"/>
        <v>0.16524399269748846</v>
      </c>
      <c r="AH114" s="725">
        <f t="shared" si="273"/>
        <v>0.14532038834951466</v>
      </c>
      <c r="AI114" s="725">
        <f t="shared" si="273"/>
        <v>0.12801634762749048</v>
      </c>
      <c r="AJ114" s="725">
        <f t="shared" si="273"/>
        <v>0.20156812451724759</v>
      </c>
      <c r="AK114" s="1327">
        <f t="shared" si="273"/>
        <v>0.16037442336573871</v>
      </c>
      <c r="AL114" s="725">
        <f t="shared" si="273"/>
        <v>0.10392671635049688</v>
      </c>
      <c r="AM114" s="725">
        <f t="shared" si="273"/>
        <v>0.096826257968262608</v>
      </c>
      <c r="AN114" s="725">
        <f t="shared" si="273"/>
        <v>0.10709433359085696</v>
      </c>
      <c r="AO114" s="725">
        <f t="shared" si="273"/>
        <v>0.018908888026392567</v>
      </c>
      <c r="AP114" s="1327">
        <f t="shared" si="273"/>
        <v>0.079778219132737416</v>
      </c>
      <c r="AQ114" s="725">
        <f t="shared" si="273"/>
        <v>0.090626638196672937</v>
      </c>
      <c r="AR114" s="725">
        <f t="shared" si="273"/>
        <v>0.094881845948385779</v>
      </c>
      <c r="AS114" s="725">
        <f t="shared" si="273"/>
        <v>0.07780879274249819</v>
      </c>
      <c r="AT114" s="725">
        <f t="shared" si="273"/>
        <v>0.075041365600485577</v>
      </c>
      <c r="AU114" s="1327">
        <f t="shared" si="273"/>
        <v>0.084401948491880985</v>
      </c>
      <c r="AV114" s="725">
        <f t="shared" si="274" ref="AV114:AZ114">AV113/AQ113-1</f>
        <v>0.068816750489455014</v>
      </c>
      <c r="AW114" s="725">
        <f t="shared" si="274"/>
        <v>0.047231822186080796</v>
      </c>
      <c r="AX114" s="725">
        <f t="shared" si="274"/>
        <v>0.062647213136714397</v>
      </c>
      <c r="AY114" s="725">
        <f t="shared" si="274"/>
        <v>0.10414013796768962</v>
      </c>
      <c r="AZ114" s="1327">
        <f t="shared" si="274"/>
        <v>0.070869836854350332</v>
      </c>
      <c r="BA114" s="725">
        <f t="shared" si="275" ref="BA114:BO114">BA113/AV113-1</f>
        <v>0.16021893406750065</v>
      </c>
      <c r="BB114" s="725">
        <f t="shared" si="275"/>
        <v>0.22815020922307094</v>
      </c>
      <c r="BC114" s="725">
        <f t="shared" si="275"/>
        <v>0.23704474068471426</v>
      </c>
      <c r="BD114" s="725">
        <f t="shared" si="275"/>
        <v>0.25075213606642865</v>
      </c>
      <c r="BE114" s="1327">
        <f t="shared" si="275"/>
        <v>0.2199856389353807</v>
      </c>
      <c r="BF114" s="725">
        <f>BF113/BA113-1</f>
        <v>0.21749735289668748</v>
      </c>
      <c r="BG114" s="725">
        <f>BG113/BB113-1</f>
        <v>0.21259406914356482</v>
      </c>
      <c r="BH114" s="809">
        <f>BH113/BC113-1</f>
        <v>0.25749418298544491</v>
      </c>
      <c r="BI114" s="98">
        <f t="shared" si="275"/>
        <v>0.17599215416477332</v>
      </c>
      <c r="BJ114" s="1326">
        <f t="shared" si="275"/>
        <v>0.21527945735844556</v>
      </c>
      <c r="BK114" s="98">
        <f t="shared" si="275"/>
        <v>0.34503809679871034</v>
      </c>
      <c r="BL114" s="98">
        <f t="shared" si="275"/>
        <v>0.19712963610574441</v>
      </c>
      <c r="BM114" s="98">
        <f t="shared" si="275"/>
        <v>0.21720879976123353</v>
      </c>
      <c r="BN114" s="98">
        <f t="shared" si="275"/>
        <v>0.12550562900571838</v>
      </c>
      <c r="BO114" s="1326">
        <f t="shared" si="275"/>
        <v>0.21763492461192402</v>
      </c>
      <c r="BP114" s="1325">
        <f>BP113/BO113-1</f>
        <v>0.06635262473380954</v>
      </c>
      <c r="BQ114" s="1325">
        <f>BQ113/BP113-1</f>
        <v>0.040400000000000214</v>
      </c>
      <c r="BR114" s="1326">
        <f>BR113/BQ113-1</f>
        <v>0.040399999999999769</v>
      </c>
      <c r="BS114" s="648"/>
    </row>
    <row r="115" spans="1:71" s="669" customFormat="1" ht="7.5" customHeight="1" hidden="1" outlineLevel="2">
      <c r="A115" s="107"/>
      <c r="B115" s="108"/>
      <c r="C115" s="1325"/>
      <c r="D115" s="1325"/>
      <c r="E115" s="1325"/>
      <c r="F115" s="1325"/>
      <c r="G115" s="1325"/>
      <c r="H115" s="726"/>
      <c r="I115" s="726"/>
      <c r="J115" s="726"/>
      <c r="K115" s="726"/>
      <c r="L115" s="1325"/>
      <c r="M115" s="726"/>
      <c r="N115" s="726"/>
      <c r="O115" s="726"/>
      <c r="P115" s="726"/>
      <c r="Q115" s="1325"/>
      <c r="R115" s="726"/>
      <c r="S115" s="726"/>
      <c r="T115" s="726"/>
      <c r="U115" s="726"/>
      <c r="V115" s="1325"/>
      <c r="W115" s="726"/>
      <c r="X115" s="726"/>
      <c r="Y115" s="726"/>
      <c r="Z115" s="726"/>
      <c r="AA115" s="1325"/>
      <c r="AB115" s="726"/>
      <c r="AC115" s="726"/>
      <c r="AD115" s="726"/>
      <c r="AE115" s="726"/>
      <c r="AF115" s="1325"/>
      <c r="AG115" s="726"/>
      <c r="AH115" s="726"/>
      <c r="AI115" s="726"/>
      <c r="AJ115" s="726"/>
      <c r="AK115" s="1325"/>
      <c r="AL115" s="726"/>
      <c r="AM115" s="726"/>
      <c r="AN115" s="726"/>
      <c r="AO115" s="726"/>
      <c r="AP115" s="1325"/>
      <c r="AQ115" s="726"/>
      <c r="AR115" s="726"/>
      <c r="AS115" s="726"/>
      <c r="AT115" s="726"/>
      <c r="AU115" s="1325"/>
      <c r="AV115" s="726"/>
      <c r="AW115" s="726"/>
      <c r="AX115" s="726"/>
      <c r="AY115" s="726"/>
      <c r="AZ115" s="1325"/>
      <c r="BA115" s="726"/>
      <c r="BB115" s="726"/>
      <c r="BC115" s="726"/>
      <c r="BD115" s="726"/>
      <c r="BE115" s="1325"/>
      <c r="BF115" s="726"/>
      <c r="BG115" s="726"/>
      <c r="BH115" s="808"/>
      <c r="BI115" s="98"/>
      <c r="BJ115" s="1326"/>
      <c r="BK115" s="98"/>
      <c r="BL115" s="98"/>
      <c r="BM115" s="98"/>
      <c r="BN115" s="98"/>
      <c r="BO115" s="1326"/>
      <c r="BP115" s="1325"/>
      <c r="BQ115" s="1325"/>
      <c r="BR115" s="1326"/>
      <c r="BS115" s="648"/>
    </row>
    <row r="116" spans="1:71" s="665" customFormat="1" ht="15" hidden="1" outlineLevel="2">
      <c r="A116" s="307" t="s">
        <v>579</v>
      </c>
      <c r="B116" s="308"/>
      <c r="C116" s="1351"/>
      <c r="D116" s="1351"/>
      <c r="E116" s="1351"/>
      <c r="F116" s="1351"/>
      <c r="G116" s="1351"/>
      <c r="H116" s="1047"/>
      <c r="I116" s="1047"/>
      <c r="J116" s="1047"/>
      <c r="K116" s="1047"/>
      <c r="L116" s="1351"/>
      <c r="M116" s="1047"/>
      <c r="N116" s="1047"/>
      <c r="O116" s="1047"/>
      <c r="P116" s="1047"/>
      <c r="Q116" s="1351"/>
      <c r="R116" s="1047"/>
      <c r="S116" s="1047"/>
      <c r="T116" s="1047"/>
      <c r="U116" s="1047"/>
      <c r="V116" s="1351"/>
      <c r="W116" s="1047"/>
      <c r="X116" s="1047"/>
      <c r="Y116" s="1047"/>
      <c r="Z116" s="1047"/>
      <c r="AA116" s="1351"/>
      <c r="AB116" s="1047"/>
      <c r="AC116" s="1047"/>
      <c r="AD116" s="1047"/>
      <c r="AE116" s="1047"/>
      <c r="AF116" s="1351"/>
      <c r="AG116" s="1042">
        <f>AG118-AG117</f>
        <v>4833.7966999999999</v>
      </c>
      <c r="AH116" s="1042">
        <f>AH118-AH117</f>
        <v>4999.7977999999994</v>
      </c>
      <c r="AI116" s="1042">
        <f>AI118-AI117</f>
        <v>5219.6659999999993</v>
      </c>
      <c r="AJ116" s="1042">
        <f>AK116-SUM(AG116,AH116,AI116)</f>
        <v>5954.8138999999992</v>
      </c>
      <c r="AK116" s="1349">
        <f>AK118-AK117</f>
        <v>21008.074399999998</v>
      </c>
      <c r="AL116" s="1042">
        <f>AL118-AL117</f>
        <v>5062.9757</v>
      </c>
      <c r="AM116" s="1042">
        <f>AM118-AM117</f>
        <v>4016.6616999999997</v>
      </c>
      <c r="AN116" s="1042">
        <f>AN118-AN117</f>
        <v>5379.6792000000005</v>
      </c>
      <c r="AO116" s="1042">
        <f>AP116-SUM(AL116,AM116,AN116)</f>
        <v>5714.0632999999998</v>
      </c>
      <c r="AP116" s="1349">
        <f>AP118-AP117</f>
        <v>20173.3799</v>
      </c>
      <c r="AQ116" s="1042">
        <f>AQ118-AQ117</f>
        <v>5744.7623999999996</v>
      </c>
      <c r="AR116" s="1042">
        <f>AR118-AR117</f>
        <v>6584.8325000000004</v>
      </c>
      <c r="AS116" s="1042">
        <f>AS118-AS117</f>
        <v>6910.4264999999996</v>
      </c>
      <c r="AT116" s="1042">
        <f>AU116-SUM(AQ116,AR116,AS116)</f>
        <v>7146.0702000000019</v>
      </c>
      <c r="AU116" s="1349">
        <f>AU118-AU117</f>
        <v>26386.0916</v>
      </c>
      <c r="AV116" s="1042">
        <f>AV118-AV117</f>
        <v>6902.9575000000004</v>
      </c>
      <c r="AW116" s="1042">
        <f>AW118-AW117</f>
        <v>6911.8005999999996</v>
      </c>
      <c r="AX116" s="1042">
        <f>AX118-AX117</f>
        <v>7143.8386999999984</v>
      </c>
      <c r="AY116" s="1042">
        <f>AZ116-SUM(AV116,AW116,AX116)</f>
        <v>7680.9169000000038</v>
      </c>
      <c r="AZ116" s="1349">
        <f>AZ118-AZ117</f>
        <v>28639.513700000003</v>
      </c>
      <c r="BA116" s="1042">
        <f>BA118-BA117</f>
        <v>8255.6237999999994</v>
      </c>
      <c r="BB116" s="1042">
        <f>BB118-BB117</f>
        <v>9004.7262999999984</v>
      </c>
      <c r="BC116" s="1042">
        <f>BC118-BC117</f>
        <v>8654.898000000001</v>
      </c>
      <c r="BD116" s="1042">
        <f>BE116-SUM(BA116,BB116,BC116)</f>
        <v>8925.8043000000034</v>
      </c>
      <c r="BE116" s="1349">
        <f>BE118-BE117</f>
        <v>34841.0524</v>
      </c>
      <c r="BF116" s="1042">
        <f>BF118-BF117</f>
        <v>8426.9437999999991</v>
      </c>
      <c r="BG116" s="1042">
        <f>BG118-BG117</f>
        <v>9005.6778000000013</v>
      </c>
      <c r="BH116" s="1043">
        <f>BH118-BH117</f>
        <v>9576.8360000000011</v>
      </c>
      <c r="BI116" s="1044">
        <f>BI120*BI113</f>
        <v>11146.90035152472</v>
      </c>
      <c r="BJ116" s="1350">
        <f>SUM(BF116,BG116,BH116,BI116)</f>
        <v>38156.357951524726</v>
      </c>
      <c r="BK116" s="1044">
        <f>BK120*BK113</f>
        <v>12731.427169371966</v>
      </c>
      <c r="BL116" s="1044">
        <f>BL120*BL113</f>
        <v>12067.661705375049</v>
      </c>
      <c r="BM116" s="1044">
        <f>BM120*BM113</f>
        <v>12887.465953408006</v>
      </c>
      <c r="BN116" s="1044">
        <f>BN120*BN113</f>
        <v>12133.20504254088</v>
      </c>
      <c r="BO116" s="1350">
        <f>SUM(BK116,BL116,BM116,BN116)</f>
        <v>49819.759870695903</v>
      </c>
      <c r="BP116" s="1351">
        <f>BP120*BP113</f>
        <v>53597.979229647513</v>
      </c>
      <c r="BQ116" s="1351">
        <f>BQ120*BQ113</f>
        <v>55763.337590525276</v>
      </c>
      <c r="BR116" s="1350">
        <f>BR120*BR113</f>
        <v>58016.176429182495</v>
      </c>
      <c r="BS116" s="648"/>
    </row>
    <row r="117" spans="1:71" s="665" customFormat="1" ht="15" hidden="1" outlineLevel="2">
      <c r="A117" s="524" t="s">
        <v>580</v>
      </c>
      <c r="B117" s="308"/>
      <c r="C117" s="1351"/>
      <c r="D117" s="1351"/>
      <c r="E117" s="1351"/>
      <c r="F117" s="1351"/>
      <c r="G117" s="1351"/>
      <c r="H117" s="1047"/>
      <c r="I117" s="1047"/>
      <c r="J117" s="1047"/>
      <c r="K117" s="1047"/>
      <c r="L117" s="1351"/>
      <c r="M117" s="1047"/>
      <c r="N117" s="1047"/>
      <c r="O117" s="1047"/>
      <c r="P117" s="1047"/>
      <c r="Q117" s="1351"/>
      <c r="R117" s="1047"/>
      <c r="S117" s="1047"/>
      <c r="T117" s="1047"/>
      <c r="U117" s="1047"/>
      <c r="V117" s="1351"/>
      <c r="W117" s="1047"/>
      <c r="X117" s="1047"/>
      <c r="Y117" s="1047"/>
      <c r="Z117" s="1047"/>
      <c r="AA117" s="1351"/>
      <c r="AB117" s="1047"/>
      <c r="AC117" s="1047"/>
      <c r="AD117" s="1047"/>
      <c r="AE117" s="1047"/>
      <c r="AF117" s="1351"/>
      <c r="AG117" s="1042">
        <f t="shared" si="276" ref="AG117:AU117">AG270</f>
        <v>44.80</v>
      </c>
      <c r="AH117" s="1042">
        <f t="shared" si="276"/>
        <v>125</v>
      </c>
      <c r="AI117" s="1042">
        <f t="shared" si="276"/>
        <v>122</v>
      </c>
      <c r="AJ117" s="1042">
        <f t="shared" si="276"/>
        <v>31.599999999999966</v>
      </c>
      <c r="AK117" s="1349">
        <f t="shared" si="276"/>
        <v>323.39999999999998</v>
      </c>
      <c r="AL117" s="1042">
        <f t="shared" si="276"/>
        <v>37.200000000000003</v>
      </c>
      <c r="AM117" s="1042">
        <f t="shared" si="276"/>
        <v>164.70</v>
      </c>
      <c r="AN117" s="1042">
        <f t="shared" si="276"/>
        <v>163.09999999999999</v>
      </c>
      <c r="AO117" s="1042">
        <f t="shared" si="276"/>
        <v>74.399999999999977</v>
      </c>
      <c r="AP117" s="1349">
        <f t="shared" si="276"/>
        <v>439.40</v>
      </c>
      <c r="AQ117" s="1042">
        <f t="shared" si="276"/>
        <v>65.099999999999994</v>
      </c>
      <c r="AR117" s="1042">
        <f t="shared" si="276"/>
        <v>211.80</v>
      </c>
      <c r="AS117" s="1042">
        <f t="shared" si="276"/>
        <v>421.10</v>
      </c>
      <c r="AT117" s="1042">
        <f t="shared" si="276"/>
        <v>-46</v>
      </c>
      <c r="AU117" s="1349">
        <f t="shared" si="276"/>
        <v>652</v>
      </c>
      <c r="AV117" s="1042">
        <f t="shared" si="277" ref="AV117:BA117">AV270</f>
        <v>44.50</v>
      </c>
      <c r="AW117" s="1042">
        <f t="shared" si="277"/>
        <v>285.20</v>
      </c>
      <c r="AX117" s="1042">
        <f t="shared" si="277"/>
        <v>671.50</v>
      </c>
      <c r="AY117" s="1042">
        <f t="shared" si="277"/>
        <v>44.399999999999864</v>
      </c>
      <c r="AZ117" s="1349">
        <f t="shared" si="277"/>
        <v>1045.5999999999999</v>
      </c>
      <c r="BA117" s="1042">
        <f t="shared" si="277"/>
        <v>92.10</v>
      </c>
      <c r="BB117" s="1042">
        <f t="shared" si="278" ref="BB117:BG117">BB270</f>
        <v>590.70000000000005</v>
      </c>
      <c r="BC117" s="1042">
        <f t="shared" si="278"/>
        <v>347.50</v>
      </c>
      <c r="BD117" s="1042">
        <f t="shared" si="278"/>
        <v>63.099999999999909</v>
      </c>
      <c r="BE117" s="1349">
        <f t="shared" si="278"/>
        <v>1093.4000000000001</v>
      </c>
      <c r="BF117" s="1042">
        <f t="shared" si="278"/>
        <v>200.20</v>
      </c>
      <c r="BG117" s="1042">
        <f t="shared" si="278"/>
        <v>686.80</v>
      </c>
      <c r="BH117" s="1043">
        <f>BH270</f>
        <v>641.40</v>
      </c>
      <c r="BI117" s="1044">
        <f>BI121*BI113</f>
        <v>293.33948293486111</v>
      </c>
      <c r="BJ117" s="1350">
        <f>SUM(BF117,BG117,BH117,BI117)</f>
        <v>1821.7394829348611</v>
      </c>
      <c r="BK117" s="1044">
        <f>BK121*BK113</f>
        <v>346.43339236386305</v>
      </c>
      <c r="BL117" s="1044">
        <f>BL121*BL113</f>
        <v>330.62086864041231</v>
      </c>
      <c r="BM117" s="1044">
        <f>BM121*BM113</f>
        <v>360.48855813728687</v>
      </c>
      <c r="BN117" s="1044">
        <f>BN121*BN113</f>
        <v>330.15523925281303</v>
      </c>
      <c r="BO117" s="1350">
        <f>SUM(BK117,BL117,BM117,BN117)</f>
        <v>1367.6980583943753</v>
      </c>
      <c r="BP117" s="1351">
        <f>BP121*BP113</f>
        <v>1458.4484144121773</v>
      </c>
      <c r="BQ117" s="1351">
        <f>BQ121*BQ113</f>
        <v>1517.3697303544293</v>
      </c>
      <c r="BR117" s="1350">
        <f>BR121*BR113</f>
        <v>1578.6714674607481</v>
      </c>
      <c r="BS117" s="648"/>
    </row>
    <row r="118" spans="1:71" s="668" customFormat="1" ht="15" hidden="1" outlineLevel="2">
      <c r="A118" s="546" t="s">
        <v>672</v>
      </c>
      <c r="B118" s="389"/>
      <c r="C118" s="1355">
        <f t="shared" si="279" ref="C118:AU118">C58+C87</f>
        <v>8851.5681000000004</v>
      </c>
      <c r="D118" s="1355">
        <f t="shared" si="279"/>
        <v>9163.9353999999985</v>
      </c>
      <c r="E118" s="1355">
        <f t="shared" si="279"/>
        <v>9620.3149999999987</v>
      </c>
      <c r="F118" s="1355">
        <f t="shared" si="279"/>
        <v>10742.1692</v>
      </c>
      <c r="G118" s="1355">
        <f t="shared" si="279"/>
        <v>11195.194800000001</v>
      </c>
      <c r="H118" s="1052">
        <f t="shared" si="279"/>
        <v>2903.9903999999997</v>
      </c>
      <c r="I118" s="1052">
        <f t="shared" si="279"/>
        <v>2994.6208000000001</v>
      </c>
      <c r="J118" s="1052">
        <f t="shared" si="279"/>
        <v>3018.8398999999999</v>
      </c>
      <c r="K118" s="1052">
        <f t="shared" si="279"/>
        <v>3243.5928999999992</v>
      </c>
      <c r="L118" s="1355">
        <f t="shared" si="279"/>
        <v>12161.044</v>
      </c>
      <c r="M118" s="1052">
        <f t="shared" si="279"/>
        <v>3083.9672</v>
      </c>
      <c r="N118" s="1052">
        <f t="shared" si="279"/>
        <v>3181.8029999999999</v>
      </c>
      <c r="O118" s="1052">
        <f t="shared" si="279"/>
        <v>3209.1053000000002</v>
      </c>
      <c r="P118" s="1052">
        <f t="shared" si="279"/>
        <v>3277.3930999999993</v>
      </c>
      <c r="Q118" s="1355">
        <f t="shared" si="279"/>
        <v>12752.268599999999</v>
      </c>
      <c r="R118" s="1052">
        <f t="shared" si="279"/>
        <v>3393.0706</v>
      </c>
      <c r="S118" s="1052">
        <f t="shared" si="279"/>
        <v>3665.8948</v>
      </c>
      <c r="T118" s="1052">
        <f t="shared" si="279"/>
        <v>3757.8924000000002</v>
      </c>
      <c r="U118" s="1052">
        <f t="shared" si="279"/>
        <v>3772.8043000000007</v>
      </c>
      <c r="V118" s="1355">
        <f t="shared" si="279"/>
        <v>14589.662100000001</v>
      </c>
      <c r="W118" s="1052">
        <f t="shared" si="279"/>
        <v>3692.6767</v>
      </c>
      <c r="X118" s="1052">
        <f t="shared" si="279"/>
        <v>3996.8249999999998</v>
      </c>
      <c r="Y118" s="1052">
        <f t="shared" si="279"/>
        <v>4293.963600000001</v>
      </c>
      <c r="Z118" s="1052">
        <f t="shared" si="279"/>
        <v>4156.4562999999998</v>
      </c>
      <c r="AA118" s="1355">
        <f t="shared" si="279"/>
        <v>16139.921600000001</v>
      </c>
      <c r="AB118" s="1052">
        <f t="shared" si="279"/>
        <v>4167.4097999999994</v>
      </c>
      <c r="AC118" s="1052">
        <f t="shared" si="279"/>
        <v>4515.8019999999997</v>
      </c>
      <c r="AD118" s="1052">
        <f t="shared" si="279"/>
        <v>4655.5378000000001</v>
      </c>
      <c r="AE118" s="1052">
        <f t="shared" si="279"/>
        <v>5041.7509999999993</v>
      </c>
      <c r="AF118" s="1355">
        <f t="shared" si="279"/>
        <v>18380.500599999999</v>
      </c>
      <c r="AG118" s="1052">
        <f t="shared" si="279"/>
        <v>4878.5967000000001</v>
      </c>
      <c r="AH118" s="1052">
        <f t="shared" si="279"/>
        <v>5124.7977999999994</v>
      </c>
      <c r="AI118" s="1052">
        <f t="shared" si="279"/>
        <v>5341.6659999999993</v>
      </c>
      <c r="AJ118" s="1052">
        <f t="shared" si="279"/>
        <v>5986.4138999999996</v>
      </c>
      <c r="AK118" s="1355">
        <f t="shared" si="279"/>
        <v>21331.474399999999</v>
      </c>
      <c r="AL118" s="1052">
        <f t="shared" si="279"/>
        <v>5100.1756999999998</v>
      </c>
      <c r="AM118" s="1052">
        <f t="shared" si="279"/>
        <v>4181.3616999999995</v>
      </c>
      <c r="AN118" s="1052">
        <f t="shared" si="279"/>
        <v>5542.7792000000009</v>
      </c>
      <c r="AO118" s="1052">
        <f t="shared" si="279"/>
        <v>5788.4632999999994</v>
      </c>
      <c r="AP118" s="1355">
        <f t="shared" si="279"/>
        <v>20612.779900000001</v>
      </c>
      <c r="AQ118" s="1052">
        <f t="shared" si="279"/>
        <v>5809.8624</v>
      </c>
      <c r="AR118" s="1052">
        <f t="shared" si="279"/>
        <v>6796.6325000000006</v>
      </c>
      <c r="AS118" s="1052">
        <f t="shared" si="279"/>
        <v>7331.5264999999999</v>
      </c>
      <c r="AT118" s="1052">
        <f t="shared" si="279"/>
        <v>7100.0702000000019</v>
      </c>
      <c r="AU118" s="1355">
        <f t="shared" si="279"/>
        <v>27038.0916</v>
      </c>
      <c r="AV118" s="1052">
        <f t="shared" si="280" ref="AV118:BA118">AV58+AV87</f>
        <v>6947.4575000000004</v>
      </c>
      <c r="AW118" s="1052">
        <f t="shared" si="280"/>
        <v>7197.0005999999994</v>
      </c>
      <c r="AX118" s="1052">
        <f t="shared" si="280"/>
        <v>7815.3386999999984</v>
      </c>
      <c r="AY118" s="1052">
        <f t="shared" si="280"/>
        <v>7725.3169000000053</v>
      </c>
      <c r="AZ118" s="1355">
        <f t="shared" si="280"/>
        <v>29685.113700000002</v>
      </c>
      <c r="BA118" s="1052">
        <f t="shared" si="280"/>
        <v>8347.7237999999998</v>
      </c>
      <c r="BB118" s="1052">
        <f t="shared" si="281" ref="BB118:BG118">BB58+BB87</f>
        <v>9595.4262999999992</v>
      </c>
      <c r="BC118" s="1052">
        <f t="shared" si="281"/>
        <v>9002.398000000001</v>
      </c>
      <c r="BD118" s="1052">
        <f t="shared" si="281"/>
        <v>8988.9043000000056</v>
      </c>
      <c r="BE118" s="1355">
        <f t="shared" si="281"/>
        <v>35934.452400000002</v>
      </c>
      <c r="BF118" s="1052">
        <f t="shared" si="281"/>
        <v>8627.1437999999998</v>
      </c>
      <c r="BG118" s="1052">
        <f t="shared" si="281"/>
        <v>9692.4778000000006</v>
      </c>
      <c r="BH118" s="1053">
        <f>BH58+BH87</f>
        <v>10218.236000000001</v>
      </c>
      <c r="BI118" s="1054">
        <f t="shared" si="282" ref="BI118:BR118">BI116+BI117</f>
        <v>11440.239834459582</v>
      </c>
      <c r="BJ118" s="1356">
        <f t="shared" si="282"/>
        <v>39978.097434459589</v>
      </c>
      <c r="BK118" s="1054">
        <f t="shared" si="282"/>
        <v>13077.860561735828</v>
      </c>
      <c r="BL118" s="1054">
        <f t="shared" si="282"/>
        <v>12398.28257401546</v>
      </c>
      <c r="BM118" s="1054">
        <f t="shared" si="282"/>
        <v>13247.954511545293</v>
      </c>
      <c r="BN118" s="1054">
        <f t="shared" si="282"/>
        <v>12463.360281793694</v>
      </c>
      <c r="BO118" s="1356">
        <f t="shared" si="282"/>
        <v>51187.457929090277</v>
      </c>
      <c r="BP118" s="1356">
        <f t="shared" si="282"/>
        <v>55056.427644059688</v>
      </c>
      <c r="BQ118" s="1356">
        <f t="shared" si="282"/>
        <v>57280.707320879708</v>
      </c>
      <c r="BR118" s="1356">
        <f t="shared" si="282"/>
        <v>59594.847896643245</v>
      </c>
      <c r="BS118" s="648"/>
    </row>
    <row r="119" spans="1:71" s="669" customFormat="1" ht="7.5" customHeight="1" hidden="1" outlineLevel="2">
      <c r="A119" s="107"/>
      <c r="B119" s="108"/>
      <c r="C119" s="1325"/>
      <c r="D119" s="1325"/>
      <c r="E119" s="1325"/>
      <c r="F119" s="1325"/>
      <c r="G119" s="1325"/>
      <c r="H119" s="726"/>
      <c r="I119" s="726"/>
      <c r="J119" s="726"/>
      <c r="K119" s="726"/>
      <c r="L119" s="1325"/>
      <c r="M119" s="726"/>
      <c r="N119" s="726"/>
      <c r="O119" s="726"/>
      <c r="P119" s="726"/>
      <c r="Q119" s="1325"/>
      <c r="R119" s="726"/>
      <c r="S119" s="726"/>
      <c r="T119" s="726"/>
      <c r="U119" s="726"/>
      <c r="V119" s="1325"/>
      <c r="W119" s="726"/>
      <c r="X119" s="726"/>
      <c r="Y119" s="726"/>
      <c r="Z119" s="726"/>
      <c r="AA119" s="1325"/>
      <c r="AB119" s="726"/>
      <c r="AC119" s="726"/>
      <c r="AD119" s="726"/>
      <c r="AE119" s="726"/>
      <c r="AF119" s="1325"/>
      <c r="AG119" s="726"/>
      <c r="AH119" s="726"/>
      <c r="AI119" s="726"/>
      <c r="AJ119" s="726"/>
      <c r="AK119" s="1325"/>
      <c r="AL119" s="726"/>
      <c r="AM119" s="726"/>
      <c r="AN119" s="726"/>
      <c r="AO119" s="726"/>
      <c r="AP119" s="1325"/>
      <c r="AQ119" s="726"/>
      <c r="AR119" s="726"/>
      <c r="AS119" s="726"/>
      <c r="AT119" s="726"/>
      <c r="AU119" s="1325"/>
      <c r="AV119" s="726"/>
      <c r="AW119" s="726"/>
      <c r="AX119" s="726"/>
      <c r="AY119" s="726"/>
      <c r="AZ119" s="1325"/>
      <c r="BA119" s="726"/>
      <c r="BB119" s="726"/>
      <c r="BC119" s="726"/>
      <c r="BD119" s="726"/>
      <c r="BE119" s="1325"/>
      <c r="BF119" s="726"/>
      <c r="BG119" s="726"/>
      <c r="BH119" s="808"/>
      <c r="BI119" s="98"/>
      <c r="BJ119" s="1326"/>
      <c r="BK119" s="98"/>
      <c r="BL119" s="98"/>
      <c r="BM119" s="98"/>
      <c r="BN119" s="98"/>
      <c r="BO119" s="1326"/>
      <c r="BP119" s="1325"/>
      <c r="BQ119" s="1325"/>
      <c r="BR119" s="1326"/>
      <c r="BS119" s="648"/>
    </row>
    <row r="120" spans="1:71" s="676" customFormat="1" ht="15" hidden="1" outlineLevel="2">
      <c r="A120" s="513" t="str">
        <f>A247</f>
        <v>Total Personal Lines - Loss &amp; LAE Ratio excluding Catastrophe Losses Incurred, %</v>
      </c>
      <c r="B120" s="396"/>
      <c r="C120" s="1339">
        <f t="shared" si="283" ref="C120:AU120">C247</f>
        <v>0</v>
      </c>
      <c r="D120" s="1339">
        <f t="shared" si="283"/>
        <v>0</v>
      </c>
      <c r="E120" s="1339">
        <f t="shared" si="283"/>
        <v>0</v>
      </c>
      <c r="F120" s="1339">
        <f t="shared" si="283"/>
        <v>0</v>
      </c>
      <c r="G120" s="1339">
        <f t="shared" si="283"/>
        <v>0</v>
      </c>
      <c r="H120" s="381">
        <f t="shared" si="283"/>
        <v>0</v>
      </c>
      <c r="I120" s="381">
        <f t="shared" si="283"/>
        <v>0</v>
      </c>
      <c r="J120" s="381">
        <f t="shared" si="283"/>
        <v>0</v>
      </c>
      <c r="K120" s="381">
        <f t="shared" si="283"/>
        <v>0</v>
      </c>
      <c r="L120" s="1339">
        <f t="shared" si="283"/>
        <v>0</v>
      </c>
      <c r="M120" s="381">
        <f t="shared" si="283"/>
        <v>0</v>
      </c>
      <c r="N120" s="381">
        <f t="shared" si="283"/>
        <v>0</v>
      </c>
      <c r="O120" s="381">
        <f t="shared" si="283"/>
        <v>0</v>
      </c>
      <c r="P120" s="381">
        <f t="shared" si="283"/>
        <v>0</v>
      </c>
      <c r="Q120" s="1339">
        <f t="shared" si="283"/>
        <v>0</v>
      </c>
      <c r="R120" s="381">
        <f t="shared" si="283"/>
        <v>0</v>
      </c>
      <c r="S120" s="381">
        <f t="shared" si="283"/>
        <v>0</v>
      </c>
      <c r="T120" s="381">
        <f t="shared" si="283"/>
        <v>0</v>
      </c>
      <c r="U120" s="381">
        <f t="shared" si="283"/>
        <v>0</v>
      </c>
      <c r="V120" s="1339">
        <f t="shared" si="283"/>
        <v>0</v>
      </c>
      <c r="W120" s="381">
        <f t="shared" si="283"/>
        <v>0</v>
      </c>
      <c r="X120" s="381">
        <f t="shared" si="283"/>
        <v>0</v>
      </c>
      <c r="Y120" s="381">
        <f t="shared" si="283"/>
        <v>0</v>
      </c>
      <c r="Z120" s="381">
        <f t="shared" si="283"/>
        <v>0</v>
      </c>
      <c r="AA120" s="1339">
        <f t="shared" si="283"/>
        <v>0</v>
      </c>
      <c r="AB120" s="381">
        <f t="shared" si="283"/>
        <v>0</v>
      </c>
      <c r="AC120" s="381">
        <f t="shared" si="283"/>
        <v>0</v>
      </c>
      <c r="AD120" s="381">
        <f t="shared" si="283"/>
        <v>0</v>
      </c>
      <c r="AE120" s="381">
        <f t="shared" si="283"/>
        <v>0</v>
      </c>
      <c r="AF120" s="1339">
        <f t="shared" si="283"/>
        <v>0</v>
      </c>
      <c r="AG120" s="381">
        <f t="shared" si="283"/>
        <v>0.68267660343270098</v>
      </c>
      <c r="AH120" s="381">
        <f t="shared" si="283"/>
        <v>0.67804624983046247</v>
      </c>
      <c r="AI120" s="381">
        <f t="shared" si="283"/>
        <v>0.69474936729093961</v>
      </c>
      <c r="AJ120" s="381">
        <f t="shared" si="283"/>
        <v>0.7222508611488454</v>
      </c>
      <c r="AK120" s="1339">
        <f t="shared" si="283"/>
        <v>0.69529493545183707</v>
      </c>
      <c r="AL120" s="381">
        <f t="shared" si="283"/>
        <v>0.6472436358057051</v>
      </c>
      <c r="AM120" s="381">
        <f t="shared" si="283"/>
        <v>0.4966337286228345</v>
      </c>
      <c r="AN120" s="381">
        <f t="shared" si="283"/>
        <v>0.64737635055465992</v>
      </c>
      <c r="AO120" s="381">
        <f t="shared" si="283"/>
        <v>0.68018894854000256</v>
      </c>
      <c r="AP120" s="1339">
        <f t="shared" si="283"/>
        <v>0.618529777652429</v>
      </c>
      <c r="AQ120" s="381">
        <f t="shared" si="283"/>
        <v>0.67336802307178278</v>
      </c>
      <c r="AR120" s="381">
        <f t="shared" si="283"/>
        <v>0.74407914887849835</v>
      </c>
      <c r="AS120" s="381">
        <f t="shared" si="283"/>
        <v>0.77099226398455023</v>
      </c>
      <c r="AT120" s="381">
        <f t="shared" si="283"/>
        <v>0.79127351042508687</v>
      </c>
      <c r="AU120" s="1339">
        <f t="shared" si="283"/>
        <v>0.74556801881645196</v>
      </c>
      <c r="AV120" s="381">
        <f t="shared" si="284" ref="AV120:BA120">AV247</f>
        <v>0.75711895490791825</v>
      </c>
      <c r="AW120" s="381">
        <f t="shared" si="284"/>
        <v>0.74624205168025537</v>
      </c>
      <c r="AX120" s="381">
        <f t="shared" si="284"/>
        <v>0.75045909888332119</v>
      </c>
      <c r="AY120" s="381">
        <f t="shared" si="284"/>
        <v>0.7702792831641867</v>
      </c>
      <c r="AZ120" s="1339">
        <f t="shared" si="284"/>
        <v>0.75539718903279285</v>
      </c>
      <c r="BA120" s="381">
        <f t="shared" si="284"/>
        <v>0.7812929208894267</v>
      </c>
      <c r="BB120" s="381">
        <f t="shared" si="285" ref="BB120:BG120">BB247</f>
        <v>0.7901291546290361</v>
      </c>
      <c r="BC120" s="381">
        <f t="shared" si="285"/>
        <v>0.73549032762105337</v>
      </c>
      <c r="BD120" s="381">
        <f t="shared" si="285"/>
        <v>0.71566743906350261</v>
      </c>
      <c r="BE120" s="1339">
        <f t="shared" si="285"/>
        <v>0.754340144503855</v>
      </c>
      <c r="BF120" s="381">
        <f t="shared" si="285"/>
        <v>0.65445434921029344</v>
      </c>
      <c r="BG120" s="381">
        <f t="shared" si="285"/>
        <v>0.65226396019958144</v>
      </c>
      <c r="BH120" s="813">
        <f>BH247</f>
        <v>0.64568557536466775</v>
      </c>
      <c r="BI120" s="1221">
        <v>0.76</v>
      </c>
      <c r="BJ120" s="1340">
        <f>BJ116/BJ113</f>
        <v>0.67939723614601377</v>
      </c>
      <c r="BK120" s="1221">
        <v>0.735</v>
      </c>
      <c r="BL120" s="1221">
        <v>0.73</v>
      </c>
      <c r="BM120" s="1221">
        <v>0.715</v>
      </c>
      <c r="BN120" s="1221">
        <v>0.735</v>
      </c>
      <c r="BO120" s="1340">
        <f>BO116/BO113</f>
        <v>0.72851985955412379</v>
      </c>
      <c r="BP120" s="1343">
        <v>0.735</v>
      </c>
      <c r="BQ120" s="1343">
        <v>0.735</v>
      </c>
      <c r="BR120" s="1344">
        <v>0.735</v>
      </c>
      <c r="BS120" s="648"/>
    </row>
    <row r="121" spans="1:71" s="676" customFormat="1" ht="15" hidden="1" outlineLevel="2">
      <c r="A121" s="555" t="str">
        <f>A251</f>
        <v>Total Personal Lines - Catastrophe Loss Ratio, %</v>
      </c>
      <c r="B121" s="396"/>
      <c r="C121" s="1339">
        <f t="shared" si="286" ref="C121:AU121">C251</f>
        <v>0</v>
      </c>
      <c r="D121" s="1339">
        <f t="shared" si="286"/>
        <v>0</v>
      </c>
      <c r="E121" s="1339">
        <f t="shared" si="286"/>
        <v>0</v>
      </c>
      <c r="F121" s="1339">
        <f t="shared" si="286"/>
        <v>0</v>
      </c>
      <c r="G121" s="1339">
        <f t="shared" si="286"/>
        <v>0</v>
      </c>
      <c r="H121" s="381">
        <f t="shared" si="286"/>
        <v>0</v>
      </c>
      <c r="I121" s="381">
        <f t="shared" si="286"/>
        <v>0</v>
      </c>
      <c r="J121" s="381">
        <f t="shared" si="286"/>
        <v>0</v>
      </c>
      <c r="K121" s="381">
        <f t="shared" si="286"/>
        <v>0</v>
      </c>
      <c r="L121" s="1339">
        <f t="shared" si="286"/>
        <v>0</v>
      </c>
      <c r="M121" s="381">
        <f t="shared" si="286"/>
        <v>0</v>
      </c>
      <c r="N121" s="381">
        <f t="shared" si="286"/>
        <v>0</v>
      </c>
      <c r="O121" s="381">
        <f t="shared" si="286"/>
        <v>0</v>
      </c>
      <c r="P121" s="381">
        <f t="shared" si="286"/>
        <v>0</v>
      </c>
      <c r="Q121" s="1339">
        <f t="shared" si="286"/>
        <v>0</v>
      </c>
      <c r="R121" s="381">
        <f t="shared" si="286"/>
        <v>0</v>
      </c>
      <c r="S121" s="381">
        <f t="shared" si="286"/>
        <v>0</v>
      </c>
      <c r="T121" s="381">
        <f t="shared" si="286"/>
        <v>0</v>
      </c>
      <c r="U121" s="381">
        <f t="shared" si="286"/>
        <v>0</v>
      </c>
      <c r="V121" s="1339">
        <f t="shared" si="286"/>
        <v>0</v>
      </c>
      <c r="W121" s="381">
        <f t="shared" si="286"/>
        <v>0</v>
      </c>
      <c r="X121" s="381">
        <f t="shared" si="286"/>
        <v>0</v>
      </c>
      <c r="Y121" s="381">
        <f t="shared" si="286"/>
        <v>0</v>
      </c>
      <c r="Z121" s="381">
        <f t="shared" si="286"/>
        <v>0</v>
      </c>
      <c r="AA121" s="1339">
        <f t="shared" si="286"/>
        <v>0</v>
      </c>
      <c r="AB121" s="381">
        <f t="shared" si="286"/>
        <v>0</v>
      </c>
      <c r="AC121" s="381">
        <f t="shared" si="286"/>
        <v>0</v>
      </c>
      <c r="AD121" s="381">
        <f t="shared" si="286"/>
        <v>0</v>
      </c>
      <c r="AE121" s="381">
        <f t="shared" si="286"/>
        <v>0</v>
      </c>
      <c r="AF121" s="1339">
        <f t="shared" si="286"/>
        <v>0</v>
      </c>
      <c r="AG121" s="381">
        <f t="shared" si="286"/>
        <v>0.0063233965672990057</v>
      </c>
      <c r="AH121" s="381">
        <f t="shared" si="286"/>
        <v>0.016953750169537502</v>
      </c>
      <c r="AI121" s="381">
        <f t="shared" si="286"/>
        <v>0.016250632709060395</v>
      </c>
      <c r="AJ121" s="381">
        <f t="shared" si="286"/>
        <v>0.0038327188045798525</v>
      </c>
      <c r="AK121" s="1339">
        <f t="shared" si="286"/>
        <v>0.010705064548162859</v>
      </c>
      <c r="AL121" s="381">
        <f t="shared" si="286"/>
        <v>0.0047563641942949203</v>
      </c>
      <c r="AM121" s="381">
        <f t="shared" si="286"/>
        <v>0.02036627137716554</v>
      </c>
      <c r="AN121" s="381">
        <f t="shared" si="286"/>
        <v>0.019623649445340136</v>
      </c>
      <c r="AO121" s="381">
        <f t="shared" si="286"/>
        <v>0.0088564048234075696</v>
      </c>
      <c r="AP121" s="1339">
        <f t="shared" si="286"/>
        <v>0.013470222347570976</v>
      </c>
      <c r="AQ121" s="381">
        <f t="shared" si="286"/>
        <v>0.0076319769282172118</v>
      </c>
      <c r="AR121" s="381">
        <f t="shared" si="286"/>
        <v>0.023920851121501659</v>
      </c>
      <c r="AS121" s="381">
        <f t="shared" si="286"/>
        <v>0.047007736015449712</v>
      </c>
      <c r="AT121" s="381">
        <f t="shared" si="286"/>
        <v>-0.0050935102036296798</v>
      </c>
      <c r="AU121" s="1339">
        <f t="shared" si="286"/>
        <v>0.018431981183548041</v>
      </c>
      <c r="AV121" s="381">
        <f t="shared" si="287" ref="AV121:BA121">AV251</f>
        <v>0.0048810450920817377</v>
      </c>
      <c r="AW121" s="381">
        <f t="shared" si="287"/>
        <v>0.030757948319744623</v>
      </c>
      <c r="AX121" s="381">
        <f t="shared" si="287"/>
        <v>0.070540901116678753</v>
      </c>
      <c r="AY121" s="381">
        <f t="shared" si="287"/>
        <v>0.0044526455132576368</v>
      </c>
      <c r="AZ121" s="1339">
        <f t="shared" si="287"/>
        <v>0.027602810967207143</v>
      </c>
      <c r="BA121" s="381">
        <f t="shared" si="287"/>
        <v>0.0087070791105732879</v>
      </c>
      <c r="BB121" s="381">
        <f t="shared" si="288" ref="BB121:BG121">BB251</f>
        <v>0.051870845370963925</v>
      </c>
      <c r="BC121" s="381">
        <f t="shared" si="288"/>
        <v>0.029509672378946656</v>
      </c>
      <c r="BD121" s="381">
        <f t="shared" si="288"/>
        <v>0.0050593329057087794</v>
      </c>
      <c r="BE121" s="1339">
        <f t="shared" si="288"/>
        <v>0.023659855496145049</v>
      </c>
      <c r="BF121" s="381">
        <f t="shared" si="288"/>
        <v>0.015545650789706635</v>
      </c>
      <c r="BG121" s="381">
        <f t="shared" si="288"/>
        <v>0.049736039800418561</v>
      </c>
      <c r="BH121" s="813">
        <f>BH251</f>
        <v>0.043314424635332249</v>
      </c>
      <c r="BI121" s="1221">
        <v>0.02</v>
      </c>
      <c r="BJ121" s="1340">
        <f>BJ117/BJ113</f>
        <v>0.032437183109992156</v>
      </c>
      <c r="BK121" s="1221">
        <v>0.02</v>
      </c>
      <c r="BL121" s="1221">
        <v>0.02</v>
      </c>
      <c r="BM121" s="1221">
        <v>0.02</v>
      </c>
      <c r="BN121" s="1221">
        <v>0.02</v>
      </c>
      <c r="BO121" s="1340">
        <f>BO117/BO113</f>
        <v>0.02</v>
      </c>
      <c r="BP121" s="1343">
        <v>0.02</v>
      </c>
      <c r="BQ121" s="1343">
        <v>0.02</v>
      </c>
      <c r="BR121" s="1344">
        <v>0.02</v>
      </c>
      <c r="BS121" s="648"/>
    </row>
    <row r="122" spans="1:71" s="671" customFormat="1" ht="15" hidden="1" outlineLevel="2">
      <c r="A122" s="556" t="str">
        <f>A261</f>
        <v>Total Personal Lines - Loss &amp; LAE Ratio, %</v>
      </c>
      <c r="B122" s="557"/>
      <c r="C122" s="1357">
        <f t="shared" si="289" ref="C122:AU122">C261</f>
        <v>0.715</v>
      </c>
      <c r="D122" s="1357">
        <f t="shared" si="289"/>
        <v>0.71399999999999997</v>
      </c>
      <c r="E122" s="1357">
        <f t="shared" si="289"/>
        <v>0.71599999999999997</v>
      </c>
      <c r="F122" s="1357">
        <f t="shared" si="289"/>
        <v>0.748</v>
      </c>
      <c r="G122" s="1357">
        <f t="shared" si="289"/>
        <v>0.73</v>
      </c>
      <c r="H122" s="559">
        <f t="shared" si="289"/>
        <v>0.73199999999999998</v>
      </c>
      <c r="I122" s="559">
        <f t="shared" si="289"/>
        <v>0.73599999999999999</v>
      </c>
      <c r="J122" s="559">
        <f t="shared" si="289"/>
        <v>0.73899999999999999</v>
      </c>
      <c r="K122" s="559">
        <f t="shared" si="289"/>
        <v>0.72968435615945271</v>
      </c>
      <c r="L122" s="1357">
        <f t="shared" si="289"/>
        <v>0.73399999999999999</v>
      </c>
      <c r="M122" s="559">
        <f t="shared" si="289"/>
        <v>0.73399999999999999</v>
      </c>
      <c r="N122" s="559">
        <f t="shared" si="289"/>
        <v>0.73899999999999999</v>
      </c>
      <c r="O122" s="559">
        <f t="shared" si="289"/>
        <v>0.73699999999999999</v>
      </c>
      <c r="P122" s="559">
        <f t="shared" si="289"/>
        <v>0.73943395077048013</v>
      </c>
      <c r="Q122" s="1357">
        <f t="shared" si="289"/>
        <v>0.73699999999999999</v>
      </c>
      <c r="R122" s="559">
        <f t="shared" si="289"/>
        <v>0.74299999999999999</v>
      </c>
      <c r="S122" s="559">
        <f t="shared" si="289"/>
        <v>0.77100000000000002</v>
      </c>
      <c r="T122" s="559">
        <f t="shared" si="289"/>
        <v>0.77200000000000002</v>
      </c>
      <c r="U122" s="559">
        <f t="shared" si="289"/>
        <v>0.75516499199359499</v>
      </c>
      <c r="V122" s="1357">
        <f t="shared" si="289"/>
        <v>0.76100000000000001</v>
      </c>
      <c r="W122" s="559">
        <f t="shared" si="289"/>
        <v>0.71699999999999997</v>
      </c>
      <c r="X122" s="559">
        <f t="shared" si="289"/>
        <v>0.74</v>
      </c>
      <c r="Y122" s="559">
        <f t="shared" si="289"/>
        <v>0.76900000000000002</v>
      </c>
      <c r="Z122" s="559">
        <f t="shared" si="289"/>
        <v>0.71481870087880706</v>
      </c>
      <c r="AA122" s="1357">
        <f t="shared" si="289"/>
        <v>0.73599999999999999</v>
      </c>
      <c r="AB122" s="559">
        <f t="shared" si="289"/>
        <v>0.68600000000000005</v>
      </c>
      <c r="AC122" s="559">
        <f t="shared" si="289"/>
        <v>0.70199999999999996</v>
      </c>
      <c r="AD122" s="559">
        <f t="shared" si="289"/>
        <v>0.69899999999999995</v>
      </c>
      <c r="AE122" s="559">
        <f t="shared" si="289"/>
        <v>0.73476704023784178</v>
      </c>
      <c r="AF122" s="1357">
        <f t="shared" si="289"/>
        <v>0.70599999999999996</v>
      </c>
      <c r="AG122" s="559">
        <f t="shared" si="289"/>
        <v>0.68899999999999995</v>
      </c>
      <c r="AH122" s="559">
        <f t="shared" si="289"/>
        <v>0.695</v>
      </c>
      <c r="AI122" s="559">
        <f t="shared" si="289"/>
        <v>0.71099999999999997</v>
      </c>
      <c r="AJ122" s="559">
        <f t="shared" si="289"/>
        <v>0.72608357995342521</v>
      </c>
      <c r="AK122" s="1357">
        <f t="shared" si="289"/>
        <v>0.70599999999999996</v>
      </c>
      <c r="AL122" s="559">
        <f t="shared" si="289"/>
        <v>0.65200000000000002</v>
      </c>
      <c r="AM122" s="559">
        <f t="shared" si="289"/>
        <v>0.51700000000000002</v>
      </c>
      <c r="AN122" s="559">
        <f t="shared" si="289"/>
        <v>0.66700000000000004</v>
      </c>
      <c r="AO122" s="559">
        <f t="shared" si="289"/>
        <v>0.68904535336341011</v>
      </c>
      <c r="AP122" s="1357">
        <f t="shared" si="289"/>
        <v>0.63200000000000001</v>
      </c>
      <c r="AQ122" s="559">
        <f t="shared" si="289"/>
        <v>0.68100000000000005</v>
      </c>
      <c r="AR122" s="559">
        <f t="shared" si="289"/>
        <v>0.76800000000000002</v>
      </c>
      <c r="AS122" s="559">
        <f t="shared" si="289"/>
        <v>0.81799999999999995</v>
      </c>
      <c r="AT122" s="559">
        <f t="shared" si="289"/>
        <v>0.78618000022145718</v>
      </c>
      <c r="AU122" s="1357">
        <f t="shared" si="289"/>
        <v>0.76400000000000001</v>
      </c>
      <c r="AV122" s="559">
        <f t="shared" si="290" ref="AV122:BA122">AV261</f>
        <v>0.76200000000000001</v>
      </c>
      <c r="AW122" s="559">
        <f t="shared" si="290"/>
        <v>0.77700000000000002</v>
      </c>
      <c r="AX122" s="559">
        <f t="shared" si="290"/>
        <v>0.82099999999999995</v>
      </c>
      <c r="AY122" s="559">
        <f t="shared" si="290"/>
        <v>0.77473192867744434</v>
      </c>
      <c r="AZ122" s="1357">
        <f t="shared" si="290"/>
        <v>0.78300000000000003</v>
      </c>
      <c r="BA122" s="559">
        <f t="shared" si="290"/>
        <v>0.79</v>
      </c>
      <c r="BB122" s="559">
        <f t="shared" si="291" ref="BB122:BG122">BB261</f>
        <v>0.84199999999999997</v>
      </c>
      <c r="BC122" s="559">
        <f t="shared" si="291"/>
        <v>0.765</v>
      </c>
      <c r="BD122" s="559">
        <f t="shared" si="291"/>
        <v>0.72072677196921142</v>
      </c>
      <c r="BE122" s="1357">
        <f t="shared" si="291"/>
        <v>0.77800000000000002</v>
      </c>
      <c r="BF122" s="559">
        <f t="shared" si="291"/>
        <v>0.67</v>
      </c>
      <c r="BG122" s="559">
        <f t="shared" si="291"/>
        <v>0.70199999999999996</v>
      </c>
      <c r="BH122" s="816">
        <f>BH261</f>
        <v>0.68899999999999995</v>
      </c>
      <c r="BI122" s="560">
        <f t="shared" si="292" ref="BI122:BR122">BI118/BI113</f>
        <v>0.78</v>
      </c>
      <c r="BJ122" s="1358">
        <f t="shared" si="292"/>
        <v>0.71183441925600599</v>
      </c>
      <c r="BK122" s="560">
        <f t="shared" si="292"/>
        <v>0.75499999999999989</v>
      </c>
      <c r="BL122" s="560">
        <f t="shared" si="292"/>
        <v>0.75</v>
      </c>
      <c r="BM122" s="560">
        <f t="shared" si="292"/>
        <v>0.735</v>
      </c>
      <c r="BN122" s="560">
        <f t="shared" si="292"/>
        <v>0.75500000000000012</v>
      </c>
      <c r="BO122" s="1358">
        <f t="shared" si="292"/>
        <v>0.74851985955412381</v>
      </c>
      <c r="BP122" s="1358">
        <f t="shared" si="292"/>
        <v>0.755</v>
      </c>
      <c r="BQ122" s="1358">
        <f t="shared" si="292"/>
        <v>0.755</v>
      </c>
      <c r="BR122" s="1358">
        <f t="shared" si="292"/>
        <v>0.755</v>
      </c>
      <c r="BS122" s="648"/>
    </row>
    <row r="123" spans="1:71" s="669" customFormat="1" ht="7.5" customHeight="1" hidden="1" outlineLevel="2">
      <c r="A123" s="107"/>
      <c r="B123" s="108"/>
      <c r="C123" s="1325"/>
      <c r="D123" s="1325"/>
      <c r="E123" s="1325"/>
      <c r="F123" s="1325"/>
      <c r="G123" s="1325"/>
      <c r="H123" s="726"/>
      <c r="I123" s="726"/>
      <c r="J123" s="726"/>
      <c r="K123" s="726"/>
      <c r="L123" s="1325"/>
      <c r="M123" s="726"/>
      <c r="N123" s="726"/>
      <c r="O123" s="726"/>
      <c r="P123" s="726"/>
      <c r="Q123" s="1325"/>
      <c r="R123" s="726"/>
      <c r="S123" s="726"/>
      <c r="T123" s="726"/>
      <c r="U123" s="726"/>
      <c r="V123" s="1325"/>
      <c r="W123" s="726"/>
      <c r="X123" s="726"/>
      <c r="Y123" s="726"/>
      <c r="Z123" s="726"/>
      <c r="AA123" s="1325"/>
      <c r="AB123" s="726"/>
      <c r="AC123" s="726"/>
      <c r="AD123" s="726"/>
      <c r="AE123" s="726"/>
      <c r="AF123" s="1325"/>
      <c r="AG123" s="726"/>
      <c r="AH123" s="726"/>
      <c r="AI123" s="726"/>
      <c r="AJ123" s="726"/>
      <c r="AK123" s="1325"/>
      <c r="AL123" s="726"/>
      <c r="AM123" s="726"/>
      <c r="AN123" s="726"/>
      <c r="AO123" s="726"/>
      <c r="AP123" s="1325"/>
      <c r="AQ123" s="726"/>
      <c r="AR123" s="726"/>
      <c r="AS123" s="726"/>
      <c r="AT123" s="726"/>
      <c r="AU123" s="1325"/>
      <c r="AV123" s="726"/>
      <c r="AW123" s="726"/>
      <c r="AX123" s="726"/>
      <c r="AY123" s="726"/>
      <c r="AZ123" s="1325"/>
      <c r="BA123" s="726"/>
      <c r="BB123" s="726"/>
      <c r="BC123" s="726"/>
      <c r="BD123" s="726"/>
      <c r="BE123" s="1325"/>
      <c r="BF123" s="726"/>
      <c r="BG123" s="726"/>
      <c r="BH123" s="808"/>
      <c r="BI123" s="98"/>
      <c r="BJ123" s="1326"/>
      <c r="BK123" s="98"/>
      <c r="BL123" s="98"/>
      <c r="BM123" s="98"/>
      <c r="BN123" s="98"/>
      <c r="BO123" s="1326"/>
      <c r="BP123" s="1325"/>
      <c r="BQ123" s="1325"/>
      <c r="BR123" s="1326"/>
      <c r="BS123" s="648"/>
    </row>
    <row r="124" spans="1:71" s="665" customFormat="1" ht="15" hidden="1" outlineLevel="2">
      <c r="A124" s="371" t="s">
        <v>667</v>
      </c>
      <c r="B124" s="308"/>
      <c r="C124" s="1349">
        <f t="shared" si="293" ref="C124:AU124">C61+C90</f>
        <v>2579.4983000000002</v>
      </c>
      <c r="D124" s="1349">
        <f t="shared" si="293"/>
        <v>2769.9800999999998</v>
      </c>
      <c r="E124" s="1349">
        <f t="shared" si="293"/>
        <v>2892.3316999999997</v>
      </c>
      <c r="F124" s="1349">
        <f t="shared" si="293"/>
        <v>2997.4137999999998</v>
      </c>
      <c r="G124" s="1349">
        <f t="shared" si="293"/>
        <v>3132.7037</v>
      </c>
      <c r="H124" s="1042">
        <f t="shared" si="293"/>
        <v>812.4624</v>
      </c>
      <c r="I124" s="1042">
        <f t="shared" si="293"/>
        <v>813.26</v>
      </c>
      <c r="J124" s="1042">
        <f t="shared" si="293"/>
        <v>810.50070000000005</v>
      </c>
      <c r="K124" s="1042">
        <f t="shared" si="293"/>
        <v>856.18990000000008</v>
      </c>
      <c r="L124" s="1349">
        <f t="shared" si="293"/>
        <v>3292.4130000000005</v>
      </c>
      <c r="M124" s="1042">
        <f t="shared" si="293"/>
        <v>852.22230000000002</v>
      </c>
      <c r="N124" s="1042">
        <f t="shared" si="293"/>
        <v>835.5462</v>
      </c>
      <c r="O124" s="1042">
        <f t="shared" si="293"/>
        <v>874.52880000000005</v>
      </c>
      <c r="P124" s="1042">
        <f t="shared" si="293"/>
        <v>868.35420000000022</v>
      </c>
      <c r="Q124" s="1349">
        <f t="shared" si="293"/>
        <v>3430.6514999999999</v>
      </c>
      <c r="R124" s="1042">
        <f t="shared" si="293"/>
        <v>924.1875</v>
      </c>
      <c r="S124" s="1042">
        <f t="shared" si="293"/>
        <v>932.67610000000013</v>
      </c>
      <c r="T124" s="1042">
        <f t="shared" si="293"/>
        <v>924.94360000000006</v>
      </c>
      <c r="U124" s="1042">
        <f t="shared" si="293"/>
        <v>913.69969999999989</v>
      </c>
      <c r="V124" s="1349">
        <f t="shared" si="293"/>
        <v>3695.5069000000003</v>
      </c>
      <c r="W124" s="1042">
        <f t="shared" si="293"/>
        <v>1038.3955000000001</v>
      </c>
      <c r="X124" s="1042">
        <f t="shared" si="293"/>
        <v>1037.5875000000001</v>
      </c>
      <c r="Y124" s="1042">
        <f t="shared" si="293"/>
        <v>1084.1408000000001</v>
      </c>
      <c r="Z124" s="1042">
        <f t="shared" si="293"/>
        <v>1130.3498000000004</v>
      </c>
      <c r="AA124" s="1349">
        <f t="shared" si="293"/>
        <v>4290.4736000000003</v>
      </c>
      <c r="AB124" s="1042">
        <f t="shared" si="293"/>
        <v>1203.5273000000002</v>
      </c>
      <c r="AC124" s="1042">
        <f t="shared" si="293"/>
        <v>1271.3576</v>
      </c>
      <c r="AD124" s="1042">
        <f t="shared" si="293"/>
        <v>1334.5501999999999</v>
      </c>
      <c r="AE124" s="1042">
        <f t="shared" si="293"/>
        <v>1319.4023000000002</v>
      </c>
      <c r="AF124" s="1349">
        <f t="shared" si="293"/>
        <v>5128.8374000000003</v>
      </c>
      <c r="AG124" s="1042">
        <f t="shared" si="293"/>
        <v>1431.7397999999998</v>
      </c>
      <c r="AH124" s="1042">
        <f t="shared" si="293"/>
        <v>1490.2840000000001</v>
      </c>
      <c r="AI124" s="1042">
        <f t="shared" si="293"/>
        <v>1491.3757999999998</v>
      </c>
      <c r="AJ124" s="1042">
        <f t="shared" si="293"/>
        <v>1617.3124999999995</v>
      </c>
      <c r="AK124" s="1349">
        <f t="shared" si="293"/>
        <v>6030.7120999999997</v>
      </c>
      <c r="AL124" s="1042">
        <f t="shared" si="293"/>
        <v>1644.7228</v>
      </c>
      <c r="AM124" s="1042">
        <f t="shared" si="293"/>
        <v>2710.8537999999999</v>
      </c>
      <c r="AN124" s="1042">
        <f t="shared" si="293"/>
        <v>1655.2064</v>
      </c>
      <c r="AO124" s="1042">
        <f t="shared" si="293"/>
        <v>1684.2642999999994</v>
      </c>
      <c r="AP124" s="1349">
        <f t="shared" si="293"/>
        <v>7695.0472999999993</v>
      </c>
      <c r="AQ124" s="1042">
        <f t="shared" si="293"/>
        <v>1754.299</v>
      </c>
      <c r="AR124" s="1042">
        <f t="shared" si="293"/>
        <v>1721.0236000000002</v>
      </c>
      <c r="AS124" s="1042">
        <f t="shared" si="293"/>
        <v>1644.8670999999999</v>
      </c>
      <c r="AT124" s="1042">
        <f t="shared" si="293"/>
        <v>1590.3015</v>
      </c>
      <c r="AU124" s="1349">
        <f t="shared" si="293"/>
        <v>6710.4912000000004</v>
      </c>
      <c r="AV124" s="1042">
        <f t="shared" si="294" ref="AV124:BA124">AV61+AV90</f>
        <v>1731.1798000000001</v>
      </c>
      <c r="AW124" s="1042">
        <f t="shared" si="294"/>
        <v>1617.1733999999997</v>
      </c>
      <c r="AX124" s="1042">
        <f t="shared" si="294"/>
        <v>1703.3191999999999</v>
      </c>
      <c r="AY124" s="1042">
        <f t="shared" si="294"/>
        <v>1650.7321999999999</v>
      </c>
      <c r="AZ124" s="1349">
        <f t="shared" si="294"/>
        <v>6702.4045999999998</v>
      </c>
      <c r="BA124" s="1042">
        <f t="shared" si="294"/>
        <v>2092.3591999999999</v>
      </c>
      <c r="BB124" s="1042">
        <f t="shared" si="295" ref="BB124:BG124">BB61+BB90</f>
        <v>1741.7604999999999</v>
      </c>
      <c r="BC124" s="1042">
        <f t="shared" si="295"/>
        <v>1731.5742</v>
      </c>
      <c r="BD124" s="1042">
        <f t="shared" si="295"/>
        <v>1848.3395999999998</v>
      </c>
      <c r="BE124" s="1349">
        <f t="shared" si="295"/>
        <v>7414.0334999999995</v>
      </c>
      <c r="BF124" s="1042">
        <f t="shared" si="295"/>
        <v>2256.0542999999998</v>
      </c>
      <c r="BG124" s="1042">
        <f t="shared" si="295"/>
        <v>2544.9839000000002</v>
      </c>
      <c r="BH124" s="1043">
        <f>BH61+BH90</f>
        <v>3058.9260000000004</v>
      </c>
      <c r="BI124" s="1044"/>
      <c r="BJ124" s="1350"/>
      <c r="BK124" s="1044"/>
      <c r="BL124" s="1044"/>
      <c r="BM124" s="1044"/>
      <c r="BN124" s="1044"/>
      <c r="BO124" s="1350"/>
      <c r="BP124" s="1351"/>
      <c r="BQ124" s="1351"/>
      <c r="BR124" s="1350"/>
      <c r="BS124" s="648"/>
    </row>
    <row r="125" spans="1:71" s="676" customFormat="1" ht="15" hidden="1" outlineLevel="2">
      <c r="A125" s="24" t="str">
        <f>A288</f>
        <v>Total Personal Lines - Underwriting Expense Ratio, %</v>
      </c>
      <c r="B125" s="396"/>
      <c r="C125" s="1352">
        <f t="shared" si="296" ref="C125:J125">C288</f>
        <v>0.20899999999999999</v>
      </c>
      <c r="D125" s="1352">
        <f t="shared" si="296"/>
        <v>0.216</v>
      </c>
      <c r="E125" s="1352">
        <f t="shared" si="296"/>
        <v>0.216</v>
      </c>
      <c r="F125" s="1352">
        <f t="shared" si="296"/>
        <v>0.20799999999999999</v>
      </c>
      <c r="G125" s="1352">
        <f t="shared" si="296"/>
        <v>0.20399999999999999</v>
      </c>
      <c r="H125" s="197">
        <f t="shared" si="296"/>
        <v>0.205</v>
      </c>
      <c r="I125" s="197">
        <f t="shared" si="296"/>
        <v>0.20</v>
      </c>
      <c r="J125" s="197">
        <f t="shared" si="296"/>
        <v>0.19900000000000001</v>
      </c>
      <c r="K125" s="197">
        <f>K124/K113</f>
        <v>0.19260998380275357</v>
      </c>
      <c r="L125" s="1352">
        <f>L288</f>
        <v>0.19900000000000001</v>
      </c>
      <c r="M125" s="197">
        <f>M288</f>
        <v>0.20300000000000001</v>
      </c>
      <c r="N125" s="197">
        <f>N288</f>
        <v>0.19400000000000001</v>
      </c>
      <c r="O125" s="197">
        <f>O288</f>
        <v>0.20100000000000001</v>
      </c>
      <c r="P125" s="197">
        <f>P124/P113</f>
        <v>0.19591503282720035</v>
      </c>
      <c r="Q125" s="1352">
        <f>Q288</f>
        <v>0.19800000000000001</v>
      </c>
      <c r="R125" s="197">
        <f>R288</f>
        <v>0.20200000000000001</v>
      </c>
      <c r="S125" s="197">
        <f>S288</f>
        <v>0.19600000000000001</v>
      </c>
      <c r="T125" s="197">
        <f>T288</f>
        <v>0.19</v>
      </c>
      <c r="U125" s="197">
        <f>U124/U113</f>
        <v>0.18288624899919934</v>
      </c>
      <c r="V125" s="1352">
        <f>V288</f>
        <v>0.192</v>
      </c>
      <c r="W125" s="197">
        <f>W288</f>
        <v>0.20100000000000001</v>
      </c>
      <c r="X125" s="197">
        <f>X288</f>
        <v>0.192</v>
      </c>
      <c r="Y125" s="197">
        <f>Y288</f>
        <v>0.195</v>
      </c>
      <c r="Z125" s="197">
        <f>Z124/Z113</f>
        <v>0.19439520525564521</v>
      </c>
      <c r="AA125" s="1352">
        <f>AA288</f>
        <v>0.195</v>
      </c>
      <c r="AB125" s="197">
        <f>AB288</f>
        <v>0.19800000000000001</v>
      </c>
      <c r="AC125" s="197">
        <f>AC288</f>
        <v>0.19700000000000001</v>
      </c>
      <c r="AD125" s="197">
        <f>AD288</f>
        <v>0.20100000000000001</v>
      </c>
      <c r="AE125" s="197">
        <f>AE124/AE113</f>
        <v>0.19228504597985924</v>
      </c>
      <c r="AF125" s="1352">
        <f>AF288</f>
        <v>0.19700000000000001</v>
      </c>
      <c r="AG125" s="197">
        <f>AG288</f>
        <v>0.20200000000000001</v>
      </c>
      <c r="AH125" s="197">
        <f>AH288</f>
        <v>0.20200000000000001</v>
      </c>
      <c r="AI125" s="197">
        <f>AI288</f>
        <v>0.19900000000000001</v>
      </c>
      <c r="AJ125" s="197">
        <f>AJ124/AJ113</f>
        <v>0.19616151998835626</v>
      </c>
      <c r="AK125" s="1352">
        <f>AK288</f>
        <v>0.19900000000000001</v>
      </c>
      <c r="AL125" s="197">
        <f>AL288</f>
        <v>0.21099999999999999</v>
      </c>
      <c r="AM125" s="197">
        <f>AM288</f>
        <v>0.335</v>
      </c>
      <c r="AN125" s="197">
        <f>AN288</f>
        <v>0.19900000000000001</v>
      </c>
      <c r="AO125" s="197">
        <f>AO124/AO113</f>
        <v>0.20049094718297275</v>
      </c>
      <c r="AP125" s="1352">
        <f>AP288</f>
        <v>0.23599999999999999</v>
      </c>
      <c r="AQ125" s="197">
        <f>AQ288</f>
        <v>0.20599999999999999</v>
      </c>
      <c r="AR125" s="197">
        <f>AR288</f>
        <v>0.19400000000000001</v>
      </c>
      <c r="AS125" s="197">
        <f>AS288</f>
        <v>0.184</v>
      </c>
      <c r="AT125" s="197">
        <f>AT124/AT113</f>
        <v>0.17609167211081705</v>
      </c>
      <c r="AU125" s="1352">
        <f>AU288</f>
        <v>0.19</v>
      </c>
      <c r="AV125" s="197">
        <f>AV288</f>
        <v>0.19</v>
      </c>
      <c r="AW125" s="197">
        <f>AW288</f>
        <v>0.17399999999999999</v>
      </c>
      <c r="AX125" s="197">
        <f>AX288</f>
        <v>0.17899999999999999</v>
      </c>
      <c r="AY125" s="197">
        <f>AY124/AY113</f>
        <v>0.16554336315134979</v>
      </c>
      <c r="AZ125" s="1352">
        <f>AZ288</f>
        <v>0.17699999999999999</v>
      </c>
      <c r="BA125" s="197">
        <f>BA288</f>
        <v>0.19700000000000001</v>
      </c>
      <c r="BB125" s="197">
        <f>BB288</f>
        <v>0.153</v>
      </c>
      <c r="BC125" s="197">
        <f>BC288</f>
        <v>0.14699999999999999</v>
      </c>
      <c r="BD125" s="197">
        <f>BD124/BD113</f>
        <v>0.14819913406029503</v>
      </c>
      <c r="BE125" s="1352">
        <f>BE288</f>
        <v>0.16</v>
      </c>
      <c r="BF125" s="197">
        <f>BF288</f>
        <v>0.175</v>
      </c>
      <c r="BG125" s="197">
        <f>BG288</f>
        <v>0.184</v>
      </c>
      <c r="BH125" s="815">
        <f>BH288</f>
        <v>0.20699999999999999</v>
      </c>
      <c r="BI125" s="909"/>
      <c r="BJ125" s="1340"/>
      <c r="BK125" s="909"/>
      <c r="BL125" s="909"/>
      <c r="BM125" s="909"/>
      <c r="BN125" s="909"/>
      <c r="BO125" s="1340"/>
      <c r="BP125" s="1339"/>
      <c r="BQ125" s="1339"/>
      <c r="BR125" s="1340"/>
      <c r="BS125" s="648"/>
    </row>
    <row r="126" spans="1:71" s="669" customFormat="1" ht="7.5" customHeight="1" hidden="1" outlineLevel="2">
      <c r="A126" s="107"/>
      <c r="B126" s="108"/>
      <c r="C126" s="1325"/>
      <c r="D126" s="1325"/>
      <c r="E126" s="1325"/>
      <c r="F126" s="1325"/>
      <c r="G126" s="1325"/>
      <c r="H126" s="726"/>
      <c r="I126" s="726"/>
      <c r="J126" s="726"/>
      <c r="K126" s="726"/>
      <c r="L126" s="1325"/>
      <c r="M126" s="726"/>
      <c r="N126" s="726"/>
      <c r="O126" s="726"/>
      <c r="P126" s="726"/>
      <c r="Q126" s="1325"/>
      <c r="R126" s="726"/>
      <c r="S126" s="726"/>
      <c r="T126" s="726"/>
      <c r="U126" s="726"/>
      <c r="V126" s="1325"/>
      <c r="W126" s="726"/>
      <c r="X126" s="726"/>
      <c r="Y126" s="726"/>
      <c r="Z126" s="726"/>
      <c r="AA126" s="1325"/>
      <c r="AB126" s="726"/>
      <c r="AC126" s="726"/>
      <c r="AD126" s="726"/>
      <c r="AE126" s="726"/>
      <c r="AF126" s="1325"/>
      <c r="AG126" s="726"/>
      <c r="AH126" s="726"/>
      <c r="AI126" s="726"/>
      <c r="AJ126" s="726"/>
      <c r="AK126" s="1325"/>
      <c r="AL126" s="726"/>
      <c r="AM126" s="726"/>
      <c r="AN126" s="726"/>
      <c r="AO126" s="726"/>
      <c r="AP126" s="1325"/>
      <c r="AQ126" s="726"/>
      <c r="AR126" s="726"/>
      <c r="AS126" s="726"/>
      <c r="AT126" s="726"/>
      <c r="AU126" s="1325"/>
      <c r="AV126" s="726"/>
      <c r="AW126" s="726"/>
      <c r="AX126" s="726"/>
      <c r="AY126" s="726"/>
      <c r="AZ126" s="1325"/>
      <c r="BA126" s="726"/>
      <c r="BB126" s="726"/>
      <c r="BC126" s="726"/>
      <c r="BD126" s="726"/>
      <c r="BE126" s="1325"/>
      <c r="BF126" s="726"/>
      <c r="BG126" s="726"/>
      <c r="BH126" s="808"/>
      <c r="BI126" s="98"/>
      <c r="BJ126" s="1326"/>
      <c r="BK126" s="98"/>
      <c r="BL126" s="98"/>
      <c r="BM126" s="98"/>
      <c r="BN126" s="98"/>
      <c r="BO126" s="1326"/>
      <c r="BP126" s="1325"/>
      <c r="BQ126" s="1325"/>
      <c r="BR126" s="1326"/>
      <c r="BS126" s="648"/>
    </row>
    <row r="127" spans="1:71" s="665" customFormat="1" ht="15" hidden="1" outlineLevel="2">
      <c r="A127" s="371" t="str">
        <f>A295</f>
        <v>Total Personal Lines - Underwriting Income, mm</v>
      </c>
      <c r="B127" s="308"/>
      <c r="C127" s="1349">
        <f t="shared" si="297" ref="C127:AU127">C295</f>
        <v>937.10</v>
      </c>
      <c r="D127" s="1349">
        <f t="shared" si="297"/>
        <v>892.10</v>
      </c>
      <c r="E127" s="1349">
        <f t="shared" si="297"/>
        <v>919.30</v>
      </c>
      <c r="F127" s="1349">
        <f t="shared" si="297"/>
        <v>628.40</v>
      </c>
      <c r="G127" s="1349">
        <f t="shared" si="297"/>
        <v>1016.80</v>
      </c>
      <c r="H127" s="1042">
        <f t="shared" si="297"/>
        <v>249.60</v>
      </c>
      <c r="I127" s="1042">
        <f t="shared" si="297"/>
        <v>258.60000000000002</v>
      </c>
      <c r="J127" s="1042">
        <f t="shared" si="297"/>
        <v>254.60</v>
      </c>
      <c r="K127" s="1042">
        <f t="shared" si="297"/>
        <v>343.60</v>
      </c>
      <c r="L127" s="1349">
        <f t="shared" si="297"/>
        <v>1106.4000000000001</v>
      </c>
      <c r="M127" s="1042">
        <f t="shared" si="297"/>
        <v>262.70</v>
      </c>
      <c r="N127" s="1042">
        <f t="shared" si="297"/>
        <v>290</v>
      </c>
      <c r="O127" s="1042">
        <f t="shared" si="297"/>
        <v>270.30</v>
      </c>
      <c r="P127" s="1042">
        <f t="shared" si="297"/>
        <v>293.60000000000002</v>
      </c>
      <c r="Q127" s="1349">
        <f t="shared" si="297"/>
        <v>1116.5999999999999</v>
      </c>
      <c r="R127" s="1042">
        <f t="shared" si="297"/>
        <v>250.90</v>
      </c>
      <c r="S127" s="1042">
        <f t="shared" si="297"/>
        <v>158.09999999999999</v>
      </c>
      <c r="T127" s="1042">
        <f t="shared" si="297"/>
        <v>183</v>
      </c>
      <c r="U127" s="1042">
        <f t="shared" si="297"/>
        <v>313</v>
      </c>
      <c r="V127" s="1349">
        <f t="shared" si="297"/>
        <v>905</v>
      </c>
      <c r="W127" s="1042">
        <f t="shared" si="297"/>
        <v>425</v>
      </c>
      <c r="X127" s="1042">
        <f t="shared" si="297"/>
        <v>368.20</v>
      </c>
      <c r="Y127" s="1042">
        <f t="shared" si="297"/>
        <v>198.20</v>
      </c>
      <c r="Z127" s="1042">
        <f t="shared" si="297"/>
        <v>531.90000000000009</v>
      </c>
      <c r="AA127" s="1349">
        <f t="shared" si="297"/>
        <v>1523.3000000000002</v>
      </c>
      <c r="AB127" s="1042">
        <f t="shared" si="297"/>
        <v>707.10</v>
      </c>
      <c r="AC127" s="1042">
        <f t="shared" si="297"/>
        <v>648.79999999999995</v>
      </c>
      <c r="AD127" s="1042">
        <f t="shared" si="297"/>
        <v>666.59999999999991</v>
      </c>
      <c r="AE127" s="1042">
        <f t="shared" si="297"/>
        <v>501.70000000000005</v>
      </c>
      <c r="AF127" s="1349">
        <f t="shared" si="297"/>
        <v>2524.1999999999998</v>
      </c>
      <c r="AG127" s="1042">
        <f t="shared" si="297"/>
        <v>774.90</v>
      </c>
      <c r="AH127" s="1042">
        <f t="shared" si="297"/>
        <v>761.30</v>
      </c>
      <c r="AI127" s="1042">
        <f t="shared" si="297"/>
        <v>671.90</v>
      </c>
      <c r="AJ127" s="1042">
        <f t="shared" si="297"/>
        <v>646.50</v>
      </c>
      <c r="AK127" s="1349">
        <f t="shared" si="297"/>
        <v>2854.6000000000004</v>
      </c>
      <c r="AL127" s="1042">
        <f t="shared" si="297"/>
        <v>1074.5999999999999</v>
      </c>
      <c r="AM127" s="1042">
        <f t="shared" si="297"/>
        <v>1197.8000000000002</v>
      </c>
      <c r="AN127" s="1042">
        <f t="shared" si="297"/>
        <v>1114.0999999999999</v>
      </c>
      <c r="AO127" s="1042">
        <f t="shared" si="297"/>
        <v>926.49999999999977</v>
      </c>
      <c r="AP127" s="1349">
        <f t="shared" si="297"/>
        <v>4313</v>
      </c>
      <c r="AQ127" s="1042">
        <f t="shared" si="297"/>
        <v>962.10</v>
      </c>
      <c r="AR127" s="1042">
        <f t="shared" si="297"/>
        <v>335.90</v>
      </c>
      <c r="AS127" s="1042">
        <f t="shared" si="297"/>
        <v>-21.40</v>
      </c>
      <c r="AT127" s="1042">
        <f t="shared" si="297"/>
        <v>334.70000000000005</v>
      </c>
      <c r="AU127" s="1349">
        <f t="shared" si="297"/>
        <v>1611.3000000000002</v>
      </c>
      <c r="AV127" s="1042">
        <f t="shared" si="298" ref="AV127:BA127">AV295</f>
        <v>439</v>
      </c>
      <c r="AW127" s="1042">
        <f t="shared" si="298"/>
        <v>458.70000000000005</v>
      </c>
      <c r="AX127" s="1042">
        <f t="shared" si="298"/>
        <v>-0.69999999999999574</v>
      </c>
      <c r="AY127" s="1042">
        <f t="shared" si="298"/>
        <v>606.49999999999989</v>
      </c>
      <c r="AZ127" s="1349">
        <f t="shared" si="298"/>
        <v>1503.50</v>
      </c>
      <c r="BA127" s="1042">
        <f t="shared" si="298"/>
        <v>137.51699999999957</v>
      </c>
      <c r="BB127" s="1042">
        <f t="shared" si="299" ref="BB127:BG127">BB295</f>
        <v>55.30</v>
      </c>
      <c r="BC127" s="1042">
        <f t="shared" si="299"/>
        <v>1041.9000000000001</v>
      </c>
      <c r="BD127" s="1042">
        <f t="shared" si="299"/>
        <v>1622.6830000000004</v>
      </c>
      <c r="BE127" s="1349">
        <f t="shared" si="299"/>
        <v>2857.40</v>
      </c>
      <c r="BF127" s="1042">
        <f t="shared" si="299"/>
        <v>1995.0018999999998</v>
      </c>
      <c r="BG127" s="1042">
        <f t="shared" si="299"/>
        <v>1571.20</v>
      </c>
      <c r="BH127" s="1043">
        <f>BH295</f>
        <v>1534.60</v>
      </c>
      <c r="BI127" s="1044"/>
      <c r="BJ127" s="1350"/>
      <c r="BK127" s="1044"/>
      <c r="BL127" s="1044"/>
      <c r="BM127" s="1044"/>
      <c r="BN127" s="1044"/>
      <c r="BO127" s="1350"/>
      <c r="BP127" s="1351"/>
      <c r="BQ127" s="1351"/>
      <c r="BR127" s="1350"/>
      <c r="BS127" s="648"/>
    </row>
    <row r="128" spans="1:71" s="676" customFormat="1" ht="15" hidden="1" outlineLevel="2">
      <c r="A128" s="925" t="s">
        <v>549</v>
      </c>
      <c r="B128" s="396"/>
      <c r="C128" s="1339">
        <f t="shared" si="300" ref="C128:AT128">C122+C125</f>
        <v>0.92399999999999993</v>
      </c>
      <c r="D128" s="1339">
        <f t="shared" si="300"/>
        <v>0.93</v>
      </c>
      <c r="E128" s="1339">
        <f t="shared" si="300"/>
        <v>0.93199999999999994</v>
      </c>
      <c r="F128" s="1339">
        <f t="shared" si="300"/>
        <v>0.95599999999999996</v>
      </c>
      <c r="G128" s="1339">
        <f t="shared" si="300"/>
        <v>0.93399999999999994</v>
      </c>
      <c r="H128" s="381">
        <f t="shared" si="300"/>
        <v>0.93699999999999994</v>
      </c>
      <c r="I128" s="381">
        <f t="shared" si="300"/>
        <v>0.93599999999999994</v>
      </c>
      <c r="J128" s="381">
        <f t="shared" si="300"/>
        <v>0.93799999999999994</v>
      </c>
      <c r="K128" s="381">
        <f t="shared" si="300"/>
        <v>0.92229433996220633</v>
      </c>
      <c r="L128" s="1339">
        <f t="shared" si="300"/>
        <v>0.93300000000000005</v>
      </c>
      <c r="M128" s="381">
        <f t="shared" si="300"/>
        <v>0.93700000000000006</v>
      </c>
      <c r="N128" s="381">
        <f t="shared" si="300"/>
        <v>0.93300000000000005</v>
      </c>
      <c r="O128" s="381">
        <f t="shared" si="300"/>
        <v>0.93799999999999994</v>
      </c>
      <c r="P128" s="381">
        <f t="shared" si="300"/>
        <v>0.93534898359768048</v>
      </c>
      <c r="Q128" s="1339">
        <f t="shared" si="300"/>
        <v>0.935</v>
      </c>
      <c r="R128" s="381">
        <f t="shared" si="300"/>
        <v>0.945</v>
      </c>
      <c r="S128" s="381">
        <f t="shared" si="300"/>
        <v>0.96700000000000008</v>
      </c>
      <c r="T128" s="381">
        <f t="shared" si="300"/>
        <v>0.96199999999999997</v>
      </c>
      <c r="U128" s="381">
        <f t="shared" si="300"/>
        <v>0.93805124099279436</v>
      </c>
      <c r="V128" s="1339">
        <f t="shared" si="300"/>
        <v>0.95300000000000007</v>
      </c>
      <c r="W128" s="381">
        <f t="shared" si="300"/>
        <v>0.91799999999999993</v>
      </c>
      <c r="X128" s="381">
        <f t="shared" si="300"/>
        <v>0.93199999999999994</v>
      </c>
      <c r="Y128" s="381">
        <f t="shared" si="300"/>
        <v>0.96399999999999997</v>
      </c>
      <c r="Z128" s="381">
        <f t="shared" si="300"/>
        <v>0.9092139061344523</v>
      </c>
      <c r="AA128" s="1339">
        <f t="shared" si="300"/>
        <v>0.93100000000000005</v>
      </c>
      <c r="AB128" s="381">
        <f t="shared" si="300"/>
        <v>0.88400000000000012</v>
      </c>
      <c r="AC128" s="381">
        <f t="shared" si="300"/>
        <v>0.89900000000000002</v>
      </c>
      <c r="AD128" s="381">
        <f t="shared" si="300"/>
        <v>0.89999999999999991</v>
      </c>
      <c r="AE128" s="381">
        <f t="shared" si="300"/>
        <v>0.92705208621770097</v>
      </c>
      <c r="AF128" s="1339">
        <f t="shared" si="300"/>
        <v>0.90300000000000002</v>
      </c>
      <c r="AG128" s="381">
        <f t="shared" si="300"/>
        <v>0.89100000000000001</v>
      </c>
      <c r="AH128" s="381">
        <f t="shared" si="300"/>
        <v>0.89700000000000002</v>
      </c>
      <c r="AI128" s="381">
        <f t="shared" si="300"/>
        <v>0.90999999999999992</v>
      </c>
      <c r="AJ128" s="381">
        <f t="shared" si="300"/>
        <v>0.9222450999417815</v>
      </c>
      <c r="AK128" s="1339">
        <f t="shared" si="300"/>
        <v>0.905</v>
      </c>
      <c r="AL128" s="381">
        <f t="shared" si="300"/>
        <v>0.86299999999999999</v>
      </c>
      <c r="AM128" s="381">
        <f t="shared" si="300"/>
        <v>0.85200000000000009</v>
      </c>
      <c r="AN128" s="381">
        <f t="shared" si="300"/>
        <v>0.8660000000000001</v>
      </c>
      <c r="AO128" s="381">
        <f t="shared" si="300"/>
        <v>0.88953630054638289</v>
      </c>
      <c r="AP128" s="1339">
        <f t="shared" si="300"/>
        <v>0.86799999999999999</v>
      </c>
      <c r="AQ128" s="381">
        <f t="shared" si="300"/>
        <v>0.88700000000000001</v>
      </c>
      <c r="AR128" s="381">
        <f t="shared" si="300"/>
        <v>0.96199999999999997</v>
      </c>
      <c r="AS128" s="381">
        <f t="shared" si="300"/>
        <v>1.002</v>
      </c>
      <c r="AT128" s="381">
        <f t="shared" si="300"/>
        <v>0.96227167233227417</v>
      </c>
      <c r="AU128" s="1339">
        <f t="shared" si="301" ref="AU128:AZ128">AU122+AU125</f>
        <v>0.95399999999999996</v>
      </c>
      <c r="AV128" s="381">
        <f t="shared" si="301"/>
        <v>0.95199999999999996</v>
      </c>
      <c r="AW128" s="381">
        <f t="shared" si="301"/>
        <v>0.95100000000000007</v>
      </c>
      <c r="AX128" s="381">
        <f t="shared" si="301"/>
        <v>1</v>
      </c>
      <c r="AY128" s="381">
        <f t="shared" si="301"/>
        <v>0.9402752918287941</v>
      </c>
      <c r="AZ128" s="1339">
        <f t="shared" si="301"/>
        <v>0.96</v>
      </c>
      <c r="BA128" s="381">
        <f t="shared" si="302" ref="BA128:BF128">BA122+BA125</f>
        <v>0.9870000000000001</v>
      </c>
      <c r="BB128" s="381">
        <f t="shared" si="302"/>
        <v>0.995</v>
      </c>
      <c r="BC128" s="381">
        <f t="shared" si="302"/>
        <v>0.91200000000000003</v>
      </c>
      <c r="BD128" s="381">
        <f t="shared" si="302"/>
        <v>0.86892590602950648</v>
      </c>
      <c r="BE128" s="1339">
        <f t="shared" si="302"/>
        <v>0.93800000000000006</v>
      </c>
      <c r="BF128" s="381">
        <f t="shared" si="302"/>
        <v>0.845</v>
      </c>
      <c r="BG128" s="381">
        <f>BG122+BG125</f>
        <v>0.8859999999999999</v>
      </c>
      <c r="BH128" s="813">
        <f>BH122+BH125</f>
        <v>0.89599999999999991</v>
      </c>
      <c r="BI128" s="909"/>
      <c r="BJ128" s="1340"/>
      <c r="BK128" s="909"/>
      <c r="BL128" s="909"/>
      <c r="BM128" s="909"/>
      <c r="BN128" s="909"/>
      <c r="BO128" s="1340"/>
      <c r="BP128" s="1339"/>
      <c r="BQ128" s="1339"/>
      <c r="BR128" s="1340"/>
      <c r="BS128" s="648"/>
    </row>
    <row r="129" spans="1:71" s="669" customFormat="1" ht="7.5" customHeight="1" hidden="1" outlineLevel="2">
      <c r="A129" s="107"/>
      <c r="B129" s="108"/>
      <c r="C129" s="1325"/>
      <c r="D129" s="1325"/>
      <c r="E129" s="1325"/>
      <c r="F129" s="1325"/>
      <c r="G129" s="1325"/>
      <c r="H129" s="726"/>
      <c r="I129" s="726"/>
      <c r="J129" s="726"/>
      <c r="K129" s="726"/>
      <c r="L129" s="1325"/>
      <c r="M129" s="726"/>
      <c r="N129" s="726"/>
      <c r="O129" s="726"/>
      <c r="P129" s="726"/>
      <c r="Q129" s="1325"/>
      <c r="R129" s="726"/>
      <c r="S129" s="726"/>
      <c r="T129" s="726"/>
      <c r="U129" s="726"/>
      <c r="V129" s="1325"/>
      <c r="W129" s="726"/>
      <c r="X129" s="726"/>
      <c r="Y129" s="726"/>
      <c r="Z129" s="726"/>
      <c r="AA129" s="1325"/>
      <c r="AB129" s="726"/>
      <c r="AC129" s="726"/>
      <c r="AD129" s="726"/>
      <c r="AE129" s="726"/>
      <c r="AF129" s="1325"/>
      <c r="AG129" s="726"/>
      <c r="AH129" s="726"/>
      <c r="AI129" s="726"/>
      <c r="AJ129" s="726"/>
      <c r="AK129" s="1325"/>
      <c r="AL129" s="726"/>
      <c r="AM129" s="726"/>
      <c r="AN129" s="726"/>
      <c r="AO129" s="726"/>
      <c r="AP129" s="1325"/>
      <c r="AQ129" s="726"/>
      <c r="AR129" s="726"/>
      <c r="AS129" s="726"/>
      <c r="AT129" s="726"/>
      <c r="AU129" s="1325"/>
      <c r="AV129" s="726"/>
      <c r="AW129" s="726"/>
      <c r="AX129" s="726"/>
      <c r="AY129" s="726"/>
      <c r="AZ129" s="1325"/>
      <c r="BA129" s="726"/>
      <c r="BB129" s="726"/>
      <c r="BC129" s="726"/>
      <c r="BD129" s="726"/>
      <c r="BE129" s="1325"/>
      <c r="BF129" s="726"/>
      <c r="BG129" s="726"/>
      <c r="BH129" s="808"/>
      <c r="BI129" s="98"/>
      <c r="BJ129" s="1326"/>
      <c r="BK129" s="98"/>
      <c r="BL129" s="98"/>
      <c r="BM129" s="98"/>
      <c r="BN129" s="98"/>
      <c r="BO129" s="1326"/>
      <c r="BP129" s="1325"/>
      <c r="BQ129" s="1325"/>
      <c r="BR129" s="1326"/>
      <c r="BS129" s="648"/>
    </row>
    <row r="130" spans="1:71" s="671" customFormat="1" ht="15" hidden="1" outlineLevel="2">
      <c r="A130" s="23" t="s">
        <v>550</v>
      </c>
      <c r="B130" s="414"/>
      <c r="C130" s="1330">
        <f>1-C128</f>
        <v>0.076000000000000068</v>
      </c>
      <c r="D130" s="1330">
        <f t="shared" si="303" ref="D130:AT130">1-D128</f>
        <v>0.070000000000000062</v>
      </c>
      <c r="E130" s="1330">
        <f t="shared" si="303"/>
        <v>0.06800000000000006</v>
      </c>
      <c r="F130" s="1330">
        <f t="shared" si="303"/>
        <v>0.044000000000000039</v>
      </c>
      <c r="G130" s="1330">
        <f t="shared" si="303"/>
        <v>0.066000000000000059</v>
      </c>
      <c r="H130" s="199">
        <f t="shared" si="303"/>
        <v>0.063000000000000056</v>
      </c>
      <c r="I130" s="199">
        <f t="shared" si="303"/>
        <v>0.064000000000000057</v>
      </c>
      <c r="J130" s="199">
        <f t="shared" si="303"/>
        <v>0.062000000000000055</v>
      </c>
      <c r="K130" s="199">
        <f t="shared" si="303"/>
        <v>0.077705660037793667</v>
      </c>
      <c r="L130" s="1330">
        <f t="shared" si="303"/>
        <v>0.066999999999999948</v>
      </c>
      <c r="M130" s="199">
        <f t="shared" si="303"/>
        <v>0.062999999999999945</v>
      </c>
      <c r="N130" s="199">
        <f t="shared" si="303"/>
        <v>0.066999999999999948</v>
      </c>
      <c r="O130" s="199">
        <f t="shared" si="303"/>
        <v>0.062000000000000055</v>
      </c>
      <c r="P130" s="199">
        <f t="shared" si="303"/>
        <v>0.064651016402319517</v>
      </c>
      <c r="Q130" s="1330">
        <f t="shared" si="303"/>
        <v>0.064999999999999947</v>
      </c>
      <c r="R130" s="199">
        <f t="shared" si="303"/>
        <v>0.054999999999999938</v>
      </c>
      <c r="S130" s="199">
        <f t="shared" si="303"/>
        <v>0.032999999999999918</v>
      </c>
      <c r="T130" s="199">
        <f t="shared" si="303"/>
        <v>0.038000000000000034</v>
      </c>
      <c r="U130" s="199">
        <f t="shared" si="303"/>
        <v>0.061948759007205645</v>
      </c>
      <c r="V130" s="1330">
        <f t="shared" si="303"/>
        <v>0.046999999999999931</v>
      </c>
      <c r="W130" s="199">
        <f t="shared" si="303"/>
        <v>0.082000000000000073</v>
      </c>
      <c r="X130" s="199">
        <f t="shared" si="303"/>
        <v>0.06800000000000006</v>
      </c>
      <c r="Y130" s="199">
        <f t="shared" si="303"/>
        <v>0.036000000000000032</v>
      </c>
      <c r="Z130" s="199">
        <f t="shared" si="303"/>
        <v>0.090786093865547701</v>
      </c>
      <c r="AA130" s="1330">
        <f t="shared" si="303"/>
        <v>0.06899999999999995</v>
      </c>
      <c r="AB130" s="199">
        <f t="shared" si="303"/>
        <v>0.11599999999999988</v>
      </c>
      <c r="AC130" s="199">
        <f t="shared" si="303"/>
        <v>0.10099999999999998</v>
      </c>
      <c r="AD130" s="199">
        <f t="shared" si="303"/>
        <v>0.10000000000000009</v>
      </c>
      <c r="AE130" s="199">
        <f t="shared" si="303"/>
        <v>0.072947913782299034</v>
      </c>
      <c r="AF130" s="1330">
        <f t="shared" si="303"/>
        <v>0.096999999999999975</v>
      </c>
      <c r="AG130" s="199">
        <f t="shared" si="303"/>
        <v>0.10899999999999999</v>
      </c>
      <c r="AH130" s="199">
        <f t="shared" si="303"/>
        <v>0.10299999999999998</v>
      </c>
      <c r="AI130" s="199">
        <f t="shared" si="303"/>
        <v>0.09000000000000008</v>
      </c>
      <c r="AJ130" s="199">
        <f t="shared" si="303"/>
        <v>0.077754900058218501</v>
      </c>
      <c r="AK130" s="1330">
        <f t="shared" si="303"/>
        <v>0.094999999999999973</v>
      </c>
      <c r="AL130" s="199">
        <f t="shared" si="303"/>
        <v>0.13700000000000001</v>
      </c>
      <c r="AM130" s="199">
        <f t="shared" si="303"/>
        <v>0.14799999999999991</v>
      </c>
      <c r="AN130" s="199">
        <f t="shared" si="303"/>
        <v>0.1339999999999999</v>
      </c>
      <c r="AO130" s="199">
        <f t="shared" si="303"/>
        <v>0.11046369945361711</v>
      </c>
      <c r="AP130" s="1330">
        <f t="shared" si="303"/>
        <v>0.13200000000000001</v>
      </c>
      <c r="AQ130" s="199">
        <f t="shared" si="303"/>
        <v>0.11299999999999999</v>
      </c>
      <c r="AR130" s="199">
        <f t="shared" si="303"/>
        <v>0.038000000000000034</v>
      </c>
      <c r="AS130" s="199">
        <f t="shared" si="303"/>
        <v>-0.0020000000000000018</v>
      </c>
      <c r="AT130" s="199">
        <f t="shared" si="303"/>
        <v>0.037728327667725825</v>
      </c>
      <c r="AU130" s="1330">
        <f t="shared" si="304" ref="AU130:AZ130">1-AU128</f>
        <v>0.046000000000000041</v>
      </c>
      <c r="AV130" s="199">
        <f t="shared" si="304"/>
        <v>0.048000000000000043</v>
      </c>
      <c r="AW130" s="199">
        <f t="shared" si="304"/>
        <v>0.048999999999999932</v>
      </c>
      <c r="AX130" s="199">
        <f t="shared" si="304"/>
        <v>0</v>
      </c>
      <c r="AY130" s="199">
        <f t="shared" si="304"/>
        <v>0.059724708171205898</v>
      </c>
      <c r="AZ130" s="1330">
        <f t="shared" si="304"/>
        <v>0.040000000000000036</v>
      </c>
      <c r="BA130" s="199">
        <f t="shared" si="305" ref="BA130:BF130">1-BA128</f>
        <v>0.012999999999999901</v>
      </c>
      <c r="BB130" s="199">
        <f t="shared" si="305"/>
        <v>0.0050000000000000044</v>
      </c>
      <c r="BC130" s="199">
        <f t="shared" si="305"/>
        <v>0.087999999999999967</v>
      </c>
      <c r="BD130" s="199">
        <f t="shared" si="305"/>
        <v>0.13107409397049352</v>
      </c>
      <c r="BE130" s="1330">
        <f t="shared" si="305"/>
        <v>0.061999999999999944</v>
      </c>
      <c r="BF130" s="199">
        <f t="shared" si="305"/>
        <v>0.15500000000000003</v>
      </c>
      <c r="BG130" s="199">
        <f>1-BG128</f>
        <v>0.1140000000000001</v>
      </c>
      <c r="BH130" s="810">
        <f>1-BH128</f>
        <v>0.10400000000000009</v>
      </c>
      <c r="BI130" s="931"/>
      <c r="BJ130" s="1353"/>
      <c r="BK130" s="931"/>
      <c r="BL130" s="931"/>
      <c r="BM130" s="931"/>
      <c r="BN130" s="931"/>
      <c r="BO130" s="1353"/>
      <c r="BP130" s="1331"/>
      <c r="BQ130" s="1331"/>
      <c r="BR130" s="1353"/>
      <c r="BS130" s="648"/>
    </row>
    <row r="131" spans="1:71" s="665" customFormat="1" ht="15" hidden="1" outlineLevel="1" collapsed="1">
      <c r="A131" s="999"/>
      <c r="B131" s="308"/>
      <c r="C131" s="1351"/>
      <c r="D131" s="1351"/>
      <c r="E131" s="1351"/>
      <c r="F131" s="1351"/>
      <c r="G131" s="1351"/>
      <c r="H131" s="1047"/>
      <c r="I131" s="1047"/>
      <c r="J131" s="1047"/>
      <c r="K131" s="1047"/>
      <c r="L131" s="1351"/>
      <c r="M131" s="1047"/>
      <c r="N131" s="1047"/>
      <c r="O131" s="1047"/>
      <c r="P131" s="1047"/>
      <c r="Q131" s="1351"/>
      <c r="R131" s="1047"/>
      <c r="S131" s="1047"/>
      <c r="T131" s="1047"/>
      <c r="U131" s="1047"/>
      <c r="V131" s="1351"/>
      <c r="W131" s="1047"/>
      <c r="X131" s="1047"/>
      <c r="Y131" s="1047"/>
      <c r="Z131" s="1047"/>
      <c r="AA131" s="1351"/>
      <c r="AB131" s="1047"/>
      <c r="AC131" s="1047"/>
      <c r="AD131" s="1047"/>
      <c r="AE131" s="1047"/>
      <c r="AF131" s="1351"/>
      <c r="AG131" s="1047"/>
      <c r="AH131" s="1047"/>
      <c r="AI131" s="1047"/>
      <c r="AJ131" s="1047"/>
      <c r="AK131" s="1351"/>
      <c r="AL131" s="1047"/>
      <c r="AM131" s="1047"/>
      <c r="AN131" s="1047"/>
      <c r="AO131" s="1047"/>
      <c r="AP131" s="1351"/>
      <c r="AQ131" s="1047"/>
      <c r="AR131" s="1047"/>
      <c r="AS131" s="1047"/>
      <c r="AT131" s="1047"/>
      <c r="AU131" s="1351"/>
      <c r="AV131" s="1047"/>
      <c r="AW131" s="1047"/>
      <c r="AX131" s="1047"/>
      <c r="AY131" s="1047"/>
      <c r="AZ131" s="1351"/>
      <c r="BA131" s="1047"/>
      <c r="BB131" s="1047"/>
      <c r="BC131" s="1047"/>
      <c r="BD131" s="1047"/>
      <c r="BE131" s="1351"/>
      <c r="BF131" s="1047"/>
      <c r="BG131" s="1047"/>
      <c r="BH131" s="1048"/>
      <c r="BI131" s="1044"/>
      <c r="BJ131" s="1350"/>
      <c r="BK131" s="1044"/>
      <c r="BL131" s="1044"/>
      <c r="BM131" s="1044"/>
      <c r="BN131" s="1044"/>
      <c r="BO131" s="1350"/>
      <c r="BP131" s="1351"/>
      <c r="BQ131" s="1351"/>
      <c r="BR131" s="1350"/>
      <c r="BS131" s="648"/>
    </row>
    <row r="132" spans="1:71" s="668" customFormat="1" ht="15" hidden="1" outlineLevel="1">
      <c r="A132" s="991" t="s">
        <v>357</v>
      </c>
      <c r="B132" s="991"/>
      <c r="C132" s="1035"/>
      <c r="D132" s="1035"/>
      <c r="E132" s="1035"/>
      <c r="F132" s="1035"/>
      <c r="G132" s="1035"/>
      <c r="H132" s="1035"/>
      <c r="I132" s="1035"/>
      <c r="J132" s="1035"/>
      <c r="K132" s="1035"/>
      <c r="L132" s="1035"/>
      <c r="M132" s="1035"/>
      <c r="N132" s="1035"/>
      <c r="O132" s="1035"/>
      <c r="P132" s="1035"/>
      <c r="Q132" s="1035"/>
      <c r="R132" s="1035"/>
      <c r="S132" s="1035"/>
      <c r="T132" s="1035"/>
      <c r="U132" s="1035"/>
      <c r="V132" s="1035"/>
      <c r="W132" s="1035"/>
      <c r="X132" s="1035"/>
      <c r="Y132" s="1035"/>
      <c r="Z132" s="1035"/>
      <c r="AA132" s="1035"/>
      <c r="AB132" s="1035"/>
      <c r="AC132" s="1035"/>
      <c r="AD132" s="1035"/>
      <c r="AE132" s="1035"/>
      <c r="AF132" s="1035"/>
      <c r="AG132" s="1035"/>
      <c r="AH132" s="1035"/>
      <c r="AI132" s="1035"/>
      <c r="AJ132" s="1035"/>
      <c r="AK132" s="1035"/>
      <c r="AL132" s="1035"/>
      <c r="AM132" s="1035"/>
      <c r="AN132" s="1035"/>
      <c r="AO132" s="1035"/>
      <c r="AP132" s="1035"/>
      <c r="AQ132" s="1035"/>
      <c r="AR132" s="1035"/>
      <c r="AS132" s="1035"/>
      <c r="AT132" s="1035"/>
      <c r="AU132" s="1035"/>
      <c r="AV132" s="1035"/>
      <c r="AW132" s="1035"/>
      <c r="AX132" s="1035"/>
      <c r="AY132" s="1035"/>
      <c r="AZ132" s="1035"/>
      <c r="BA132" s="1035"/>
      <c r="BB132" s="1035"/>
      <c r="BC132" s="1035"/>
      <c r="BD132" s="1035"/>
      <c r="BE132" s="1035"/>
      <c r="BF132" s="1035"/>
      <c r="BG132" s="1035"/>
      <c r="BH132" s="1036"/>
      <c r="BI132" s="1037"/>
      <c r="BJ132" s="1037"/>
      <c r="BK132" s="1037"/>
      <c r="BL132" s="1037"/>
      <c r="BM132" s="1037"/>
      <c r="BN132" s="1037"/>
      <c r="BO132" s="1037"/>
      <c r="BP132" s="1035"/>
      <c r="BQ132" s="1035"/>
      <c r="BR132" s="1037"/>
      <c r="BS132" s="648"/>
    </row>
    <row r="133" spans="1:71" s="668" customFormat="1" ht="15" hidden="1" outlineLevel="2">
      <c r="A133" s="25" t="s">
        <v>476</v>
      </c>
      <c r="B133" s="394"/>
      <c r="C133" s="1354">
        <v>539.40</v>
      </c>
      <c r="D133" s="1320">
        <f t="shared" si="306" ref="D133:K133">C135</f>
        <v>512.79999999999995</v>
      </c>
      <c r="E133" s="1320">
        <f t="shared" si="306"/>
        <v>510.40</v>
      </c>
      <c r="F133" s="1320">
        <f t="shared" si="306"/>
        <v>509.10</v>
      </c>
      <c r="G133" s="1320">
        <f t="shared" si="306"/>
        <v>519.60</v>
      </c>
      <c r="H133" s="1021">
        <f t="shared" si="306"/>
        <v>514.60</v>
      </c>
      <c r="I133" s="1021">
        <f t="shared" si="306"/>
        <v>509.40</v>
      </c>
      <c r="J133" s="1021">
        <f t="shared" si="306"/>
        <v>516.50</v>
      </c>
      <c r="K133" s="1021">
        <f t="shared" si="306"/>
        <v>517.79999999999995</v>
      </c>
      <c r="L133" s="1320">
        <f>G135</f>
        <v>514.60</v>
      </c>
      <c r="M133" s="1021">
        <f>L135</f>
        <v>514.70000000000005</v>
      </c>
      <c r="N133" s="1021">
        <f>M135</f>
        <v>522.60</v>
      </c>
      <c r="O133" s="1021">
        <f>N135</f>
        <v>538.40</v>
      </c>
      <c r="P133" s="1021">
        <f>O135</f>
        <v>549.50</v>
      </c>
      <c r="Q133" s="1320">
        <f>L135</f>
        <v>514.70000000000005</v>
      </c>
      <c r="R133" s="1021">
        <f>Q135</f>
        <v>555.79999999999995</v>
      </c>
      <c r="S133" s="1021">
        <f>R135</f>
        <v>575.10</v>
      </c>
      <c r="T133" s="1021">
        <f>S135</f>
        <v>600.29999999999995</v>
      </c>
      <c r="U133" s="1021">
        <f>T135</f>
        <v>612.70000000000005</v>
      </c>
      <c r="V133" s="1354">
        <v>555.79999999999995</v>
      </c>
      <c r="W133" s="1021">
        <f>V135</f>
        <v>607.90</v>
      </c>
      <c r="X133" s="1021">
        <f>W135</f>
        <v>607.50</v>
      </c>
      <c r="Y133" s="1021">
        <f>X135</f>
        <v>625.70000000000005</v>
      </c>
      <c r="Z133" s="1021">
        <f>Y135</f>
        <v>638.60</v>
      </c>
      <c r="AA133" s="1354">
        <v>607.90</v>
      </c>
      <c r="AB133" s="1021">
        <f>AA135</f>
        <v>646.79999999999995</v>
      </c>
      <c r="AC133" s="1021">
        <f>AB135</f>
        <v>659</v>
      </c>
      <c r="AD133" s="1021">
        <f>AC135</f>
        <v>678.90</v>
      </c>
      <c r="AE133" s="1021">
        <f>AD135</f>
        <v>691.90</v>
      </c>
      <c r="AF133" s="1320">
        <f>AA135</f>
        <v>646.79999999999995</v>
      </c>
      <c r="AG133" s="1021">
        <f>AF135</f>
        <v>696.90</v>
      </c>
      <c r="AH133" s="1021">
        <f>AG135</f>
        <v>711.60</v>
      </c>
      <c r="AI133" s="1021">
        <f>AH135</f>
        <v>734.20</v>
      </c>
      <c r="AJ133" s="1021">
        <f>AI135</f>
        <v>748.70</v>
      </c>
      <c r="AK133" s="1320">
        <f>AF135</f>
        <v>696.90</v>
      </c>
      <c r="AL133" s="1021">
        <f>AK135</f>
        <v>751.40</v>
      </c>
      <c r="AM133" s="1021">
        <f>AL135</f>
        <v>759.70</v>
      </c>
      <c r="AN133" s="1021">
        <f>AM135</f>
        <v>775.80</v>
      </c>
      <c r="AO133" s="1021">
        <f>AN135</f>
        <v>803.90</v>
      </c>
      <c r="AP133" s="1320">
        <f>AK135</f>
        <v>751.40</v>
      </c>
      <c r="AQ133" s="1021">
        <f>AP135</f>
        <v>822</v>
      </c>
      <c r="AR133" s="1021">
        <f>AQ135</f>
        <v>858.90</v>
      </c>
      <c r="AS133" s="1021">
        <f>AR135</f>
        <v>916.60</v>
      </c>
      <c r="AT133" s="1021">
        <f>AS135</f>
        <v>952.70</v>
      </c>
      <c r="AU133" s="1320">
        <f>AP135</f>
        <v>822</v>
      </c>
      <c r="AV133" s="1021">
        <f>AU135</f>
        <v>971.20</v>
      </c>
      <c r="AW133" s="1021">
        <f>AV135</f>
        <v>999.80</v>
      </c>
      <c r="AX133" s="1021">
        <f>AW135</f>
        <v>1024.5999999999999</v>
      </c>
      <c r="AY133" s="1021">
        <f>AX135</f>
        <v>1039.80</v>
      </c>
      <c r="AZ133" s="1320">
        <f>AU135</f>
        <v>971.20</v>
      </c>
      <c r="BA133" s="1021">
        <f>AZ135</f>
        <v>1046.4000000000001</v>
      </c>
      <c r="BB133" s="1021">
        <f>BA135</f>
        <v>1071.20</v>
      </c>
      <c r="BC133" s="1021">
        <f>BB135</f>
        <v>1101.0999999999999</v>
      </c>
      <c r="BD133" s="1021">
        <f>BC135</f>
        <v>1110.30</v>
      </c>
      <c r="BE133" s="1320">
        <f>AZ135</f>
        <v>1046.4000000000001</v>
      </c>
      <c r="BF133" s="1021">
        <f>BE135</f>
        <v>1098.50</v>
      </c>
      <c r="BG133" s="1021">
        <f>BF135</f>
        <v>1100.80</v>
      </c>
      <c r="BH133" s="1022">
        <f>BG135</f>
        <v>1117.5999999999999</v>
      </c>
      <c r="BI133" s="1023">
        <f>BH135</f>
        <v>1130.50</v>
      </c>
      <c r="BJ133" s="1321">
        <f>BE135</f>
        <v>1098.50</v>
      </c>
      <c r="BK133" s="1023">
        <f>BJ135</f>
        <v>1153.1100000000001</v>
      </c>
      <c r="BL133" s="1023">
        <f>BK135</f>
        <v>1176.1722000000002</v>
      </c>
      <c r="BM133" s="1023">
        <f>BL135</f>
        <v>1199.6956440000001</v>
      </c>
      <c r="BN133" s="1023">
        <f>BM135</f>
        <v>1223.6895568800001</v>
      </c>
      <c r="BO133" s="1321">
        <f>BJ135</f>
        <v>1153.1100000000001</v>
      </c>
      <c r="BP133" s="1322">
        <f>BO135</f>
        <v>1248.1633480176001</v>
      </c>
      <c r="BQ133" s="1322">
        <f>BP135</f>
        <v>1273.1266149779522</v>
      </c>
      <c r="BR133" s="1321">
        <f>BQ135</f>
        <v>1298.5891472775113</v>
      </c>
      <c r="BS133" s="648"/>
    </row>
    <row r="134" spans="1:71" s="665" customFormat="1" ht="15" hidden="1" outlineLevel="2">
      <c r="A134" s="1000" t="s">
        <v>471</v>
      </c>
      <c r="B134" s="260"/>
      <c r="C134" s="1323">
        <f t="shared" si="307" ref="C134:AM134">C135-C133</f>
        <v>-26.600000000000023</v>
      </c>
      <c r="D134" s="1323">
        <f t="shared" si="307"/>
        <v>-2.3999999999999773</v>
      </c>
      <c r="E134" s="1323">
        <f t="shared" si="307"/>
        <v>-1.2999999999999545</v>
      </c>
      <c r="F134" s="1323">
        <f t="shared" si="307"/>
        <v>10.50</v>
      </c>
      <c r="G134" s="1323">
        <f t="shared" si="307"/>
        <v>-5</v>
      </c>
      <c r="H134" s="1027">
        <f t="shared" si="307"/>
        <v>-5.2000000000000455</v>
      </c>
      <c r="I134" s="1027">
        <f t="shared" si="307"/>
        <v>7.1000000000000227</v>
      </c>
      <c r="J134" s="1027">
        <f t="shared" si="307"/>
        <v>1.2999999999999545</v>
      </c>
      <c r="K134" s="1027">
        <f t="shared" si="307"/>
        <v>-3.0999999999999091</v>
      </c>
      <c r="L134" s="1323">
        <f t="shared" si="307"/>
        <v>0.10000000000002274</v>
      </c>
      <c r="M134" s="1027">
        <f t="shared" si="307"/>
        <v>7.8999999999999773</v>
      </c>
      <c r="N134" s="1027">
        <f t="shared" si="307"/>
        <v>15.799999999999955</v>
      </c>
      <c r="O134" s="1027">
        <f t="shared" si="307"/>
        <v>11.100000000000023</v>
      </c>
      <c r="P134" s="1027">
        <f t="shared" si="307"/>
        <v>6.2999999999999545</v>
      </c>
      <c r="Q134" s="1323">
        <f t="shared" si="307"/>
        <v>41.099999999999909</v>
      </c>
      <c r="R134" s="1027">
        <f t="shared" si="307"/>
        <v>19.300000000000068</v>
      </c>
      <c r="S134" s="1027">
        <f t="shared" si="307"/>
        <v>25.199999999999932</v>
      </c>
      <c r="T134" s="1027">
        <f t="shared" si="307"/>
        <v>12.400000000000091</v>
      </c>
      <c r="U134" s="1027">
        <f t="shared" si="307"/>
        <v>-4.8000000000000682</v>
      </c>
      <c r="V134" s="1323">
        <f t="shared" si="307"/>
        <v>52.100000000000023</v>
      </c>
      <c r="W134" s="1027">
        <f t="shared" si="307"/>
        <v>-0.39999999999997726</v>
      </c>
      <c r="X134" s="1027">
        <f t="shared" si="307"/>
        <v>18.200000000000045</v>
      </c>
      <c r="Y134" s="1027">
        <f t="shared" si="307"/>
        <v>12.899999999999977</v>
      </c>
      <c r="Z134" s="1027">
        <f t="shared" si="307"/>
        <v>8.1999999999999318</v>
      </c>
      <c r="AA134" s="1323">
        <f t="shared" si="307"/>
        <v>38.899999999999977</v>
      </c>
      <c r="AB134" s="1027">
        <f t="shared" si="307"/>
        <v>12.200000000000045</v>
      </c>
      <c r="AC134" s="1027">
        <f t="shared" si="307"/>
        <v>19.899999999999977</v>
      </c>
      <c r="AD134" s="1027">
        <f t="shared" si="307"/>
        <v>13</v>
      </c>
      <c r="AE134" s="1027">
        <f t="shared" si="307"/>
        <v>5</v>
      </c>
      <c r="AF134" s="1323">
        <f t="shared" si="307"/>
        <v>50.100000000000023</v>
      </c>
      <c r="AG134" s="1027">
        <f t="shared" si="307"/>
        <v>14.700000000000045</v>
      </c>
      <c r="AH134" s="1027">
        <f t="shared" si="307"/>
        <v>22.600000000000023</v>
      </c>
      <c r="AI134" s="1027">
        <f t="shared" si="307"/>
        <v>14.50</v>
      </c>
      <c r="AJ134" s="1027">
        <f t="shared" si="307"/>
        <v>2.6999999999999318</v>
      </c>
      <c r="AK134" s="1323">
        <f t="shared" si="307"/>
        <v>54.50</v>
      </c>
      <c r="AL134" s="1027">
        <f t="shared" si="307"/>
        <v>8.3000000000000682</v>
      </c>
      <c r="AM134" s="1027">
        <f t="shared" si="307"/>
        <v>16.099999999999909</v>
      </c>
      <c r="AN134" s="1027">
        <f t="shared" si="308" ref="AN134:AU134">AN135-AN133</f>
        <v>28.100000000000023</v>
      </c>
      <c r="AO134" s="1027">
        <f t="shared" si="308"/>
        <v>18.100000000000023</v>
      </c>
      <c r="AP134" s="1323">
        <f t="shared" si="308"/>
        <v>70.600000000000023</v>
      </c>
      <c r="AQ134" s="1027">
        <f t="shared" si="308"/>
        <v>36.899999999999977</v>
      </c>
      <c r="AR134" s="1027">
        <f t="shared" si="308"/>
        <v>57.700000000000045</v>
      </c>
      <c r="AS134" s="1027">
        <f t="shared" si="308"/>
        <v>36.100000000000023</v>
      </c>
      <c r="AT134" s="1027">
        <f t="shared" si="308"/>
        <v>18.50</v>
      </c>
      <c r="AU134" s="1323">
        <f t="shared" si="308"/>
        <v>149.20000000000005</v>
      </c>
      <c r="AV134" s="1027">
        <f t="shared" si="309" ref="AV134:AZ134">AV135-AV133</f>
        <v>28.599999999999909</v>
      </c>
      <c r="AW134" s="1027">
        <f t="shared" si="309"/>
        <v>24.799999999999955</v>
      </c>
      <c r="AX134" s="1027">
        <f t="shared" si="309"/>
        <v>15.200000000000045</v>
      </c>
      <c r="AY134" s="1027">
        <f t="shared" si="309"/>
        <v>6.6000000000001364</v>
      </c>
      <c r="AZ134" s="1323">
        <f t="shared" si="309"/>
        <v>75.200000000000045</v>
      </c>
      <c r="BA134" s="1027">
        <f t="shared" si="310" ref="BA134:BI134">BA135-BA133</f>
        <v>24.799999999999955</v>
      </c>
      <c r="BB134" s="1027">
        <f t="shared" si="310"/>
        <v>29.899999999999864</v>
      </c>
      <c r="BC134" s="1027">
        <f t="shared" si="310"/>
        <v>9.2000000000000455</v>
      </c>
      <c r="BD134" s="1027">
        <f t="shared" si="310"/>
        <v>-11.799999999999955</v>
      </c>
      <c r="BE134" s="1323">
        <f t="shared" si="310"/>
        <v>52.099999999999909</v>
      </c>
      <c r="BF134" s="1027">
        <f>BF135-BF133</f>
        <v>2.2999999999999545</v>
      </c>
      <c r="BG134" s="1027">
        <f>BG135-BG133</f>
        <v>16.799999999999955</v>
      </c>
      <c r="BH134" s="1028">
        <f>BH135-BH133</f>
        <v>12.900000000000091</v>
      </c>
      <c r="BI134" s="1029">
        <f t="shared" si="310"/>
        <v>22.610000000000127</v>
      </c>
      <c r="BJ134" s="1324">
        <f>SUM(BF134,BG134,BH134,BI134)</f>
        <v>54.610000000000127</v>
      </c>
      <c r="BK134" s="1029">
        <f>BK135-BK133</f>
        <v>23.062200000000075</v>
      </c>
      <c r="BL134" s="1029">
        <f>BL135-BL133</f>
        <v>23.523443999999927</v>
      </c>
      <c r="BM134" s="1029">
        <f>BM135-BM133</f>
        <v>23.993912879999925</v>
      </c>
      <c r="BN134" s="1029">
        <f>BN135-BN133</f>
        <v>24.473791137600074</v>
      </c>
      <c r="BO134" s="1324">
        <f>SUM(BK134,BL134,BM134,BN134)</f>
        <v>95.053348017600001</v>
      </c>
      <c r="BP134" s="1324">
        <f>BP135-BP133</f>
        <v>24.96326696035203</v>
      </c>
      <c r="BQ134" s="1324">
        <f>BQ135-BQ133</f>
        <v>25.462532299559143</v>
      </c>
      <c r="BR134" s="1324">
        <f>BR135-BR133</f>
        <v>25.971782945550331</v>
      </c>
      <c r="BS134" s="648"/>
    </row>
    <row r="135" spans="1:71" s="668" customFormat="1" ht="15" hidden="1" outlineLevel="2">
      <c r="A135" s="25" t="s">
        <v>477</v>
      </c>
      <c r="B135" s="394"/>
      <c r="C135" s="1320">
        <f t="shared" si="311" ref="C135:AU135">C208</f>
        <v>512.79999999999995</v>
      </c>
      <c r="D135" s="1320">
        <f t="shared" si="311"/>
        <v>510.40</v>
      </c>
      <c r="E135" s="1320">
        <f t="shared" si="311"/>
        <v>509.10</v>
      </c>
      <c r="F135" s="1320">
        <f t="shared" si="311"/>
        <v>519.60</v>
      </c>
      <c r="G135" s="1320">
        <f t="shared" si="311"/>
        <v>514.60</v>
      </c>
      <c r="H135" s="1021">
        <f t="shared" si="311"/>
        <v>509.40</v>
      </c>
      <c r="I135" s="1021">
        <f t="shared" si="311"/>
        <v>516.50</v>
      </c>
      <c r="J135" s="1021">
        <f t="shared" si="311"/>
        <v>517.79999999999995</v>
      </c>
      <c r="K135" s="1021">
        <f t="shared" si="311"/>
        <v>514.70000000000005</v>
      </c>
      <c r="L135" s="1320">
        <f t="shared" si="311"/>
        <v>514.70000000000005</v>
      </c>
      <c r="M135" s="1021">
        <f t="shared" si="311"/>
        <v>522.60</v>
      </c>
      <c r="N135" s="1021">
        <f t="shared" si="311"/>
        <v>538.40</v>
      </c>
      <c r="O135" s="1021">
        <f t="shared" si="311"/>
        <v>549.50</v>
      </c>
      <c r="P135" s="1021">
        <f t="shared" si="311"/>
        <v>555.79999999999995</v>
      </c>
      <c r="Q135" s="1320">
        <f t="shared" si="311"/>
        <v>555.79999999999995</v>
      </c>
      <c r="R135" s="1021">
        <f t="shared" si="311"/>
        <v>575.10</v>
      </c>
      <c r="S135" s="1021">
        <f t="shared" si="311"/>
        <v>600.29999999999995</v>
      </c>
      <c r="T135" s="1021">
        <f t="shared" si="311"/>
        <v>612.70000000000005</v>
      </c>
      <c r="U135" s="1021">
        <f t="shared" si="311"/>
        <v>607.90</v>
      </c>
      <c r="V135" s="1320">
        <f t="shared" si="311"/>
        <v>607.90</v>
      </c>
      <c r="W135" s="1021">
        <f t="shared" si="311"/>
        <v>607.50</v>
      </c>
      <c r="X135" s="1021">
        <f t="shared" si="311"/>
        <v>625.70000000000005</v>
      </c>
      <c r="Y135" s="1021">
        <f t="shared" si="311"/>
        <v>638.60</v>
      </c>
      <c r="Z135" s="1021">
        <f t="shared" si="311"/>
        <v>646.79999999999995</v>
      </c>
      <c r="AA135" s="1320">
        <f t="shared" si="311"/>
        <v>646.79999999999995</v>
      </c>
      <c r="AB135" s="1021">
        <f t="shared" si="311"/>
        <v>659</v>
      </c>
      <c r="AC135" s="1021">
        <f t="shared" si="311"/>
        <v>678.90</v>
      </c>
      <c r="AD135" s="1021">
        <f t="shared" si="311"/>
        <v>691.90</v>
      </c>
      <c r="AE135" s="1021">
        <f t="shared" si="311"/>
        <v>696.90</v>
      </c>
      <c r="AF135" s="1320">
        <f t="shared" si="311"/>
        <v>696.90</v>
      </c>
      <c r="AG135" s="1021">
        <f t="shared" si="311"/>
        <v>711.60</v>
      </c>
      <c r="AH135" s="1021">
        <f t="shared" si="311"/>
        <v>734.20</v>
      </c>
      <c r="AI135" s="1021">
        <f t="shared" si="311"/>
        <v>748.70</v>
      </c>
      <c r="AJ135" s="1021">
        <f t="shared" si="311"/>
        <v>751.40</v>
      </c>
      <c r="AK135" s="1320">
        <f t="shared" si="311"/>
        <v>751.40</v>
      </c>
      <c r="AL135" s="1021">
        <f t="shared" si="311"/>
        <v>759.70</v>
      </c>
      <c r="AM135" s="1021">
        <f t="shared" si="311"/>
        <v>775.80</v>
      </c>
      <c r="AN135" s="1021">
        <f t="shared" si="311"/>
        <v>803.90</v>
      </c>
      <c r="AO135" s="1021">
        <f t="shared" si="311"/>
        <v>822</v>
      </c>
      <c r="AP135" s="1320">
        <f t="shared" si="311"/>
        <v>822</v>
      </c>
      <c r="AQ135" s="1021">
        <f t="shared" si="311"/>
        <v>858.90</v>
      </c>
      <c r="AR135" s="1021">
        <f t="shared" si="311"/>
        <v>916.60</v>
      </c>
      <c r="AS135" s="1021">
        <f t="shared" si="311"/>
        <v>952.70</v>
      </c>
      <c r="AT135" s="1021">
        <f t="shared" si="311"/>
        <v>971.20</v>
      </c>
      <c r="AU135" s="1320">
        <f t="shared" si="311"/>
        <v>971.20</v>
      </c>
      <c r="AV135" s="1021">
        <f t="shared" si="312" ref="AV135:BA135">AV208</f>
        <v>999.80</v>
      </c>
      <c r="AW135" s="1021">
        <f t="shared" si="312"/>
        <v>1024.5999999999999</v>
      </c>
      <c r="AX135" s="1021">
        <f t="shared" si="312"/>
        <v>1039.80</v>
      </c>
      <c r="AY135" s="1021">
        <f t="shared" si="312"/>
        <v>1046.4000000000001</v>
      </c>
      <c r="AZ135" s="1320">
        <f t="shared" si="312"/>
        <v>1046.4000000000001</v>
      </c>
      <c r="BA135" s="1021">
        <f t="shared" si="312"/>
        <v>1071.20</v>
      </c>
      <c r="BB135" s="1021">
        <f t="shared" si="313" ref="BB135:BG135">BB208</f>
        <v>1101.0999999999999</v>
      </c>
      <c r="BC135" s="1021">
        <f t="shared" si="313"/>
        <v>1110.30</v>
      </c>
      <c r="BD135" s="1021">
        <f t="shared" si="313"/>
        <v>1098.50</v>
      </c>
      <c r="BE135" s="1320">
        <f t="shared" si="313"/>
        <v>1098.50</v>
      </c>
      <c r="BF135" s="1021">
        <f t="shared" si="313"/>
        <v>1100.80</v>
      </c>
      <c r="BG135" s="1021">
        <f t="shared" si="313"/>
        <v>1117.5999999999999</v>
      </c>
      <c r="BH135" s="1022">
        <f>BH208</f>
        <v>1130.50</v>
      </c>
      <c r="BI135" s="1023">
        <f>BH135*(1+BI136)</f>
        <v>1153.1100000000001</v>
      </c>
      <c r="BJ135" s="1321">
        <f>BJ133+BJ134</f>
        <v>1153.1100000000001</v>
      </c>
      <c r="BK135" s="1023">
        <f>BI135*(1+BK136)</f>
        <v>1176.1722000000002</v>
      </c>
      <c r="BL135" s="1023">
        <f>BK135*(1+BL136)</f>
        <v>1199.6956440000001</v>
      </c>
      <c r="BM135" s="1023">
        <f>BL135*(1+BM136)</f>
        <v>1223.6895568800001</v>
      </c>
      <c r="BN135" s="1023">
        <f>BM135*(1+BN136)</f>
        <v>1248.1633480176001</v>
      </c>
      <c r="BO135" s="1321">
        <f>BO133+BO134</f>
        <v>1248.1633480176001</v>
      </c>
      <c r="BP135" s="1322">
        <f>BO135*(1+BP137)</f>
        <v>1273.1266149779522</v>
      </c>
      <c r="BQ135" s="1322">
        <f>BP135*(1+BQ137)</f>
        <v>1298.5891472775113</v>
      </c>
      <c r="BR135" s="1321">
        <f>BQ135*(1+BR137)</f>
        <v>1324.5609302230616</v>
      </c>
      <c r="BS135" s="648"/>
    </row>
    <row r="136" spans="1:71" s="669" customFormat="1" ht="15" hidden="1" outlineLevel="2">
      <c r="A136" s="107" t="s">
        <v>472</v>
      </c>
      <c r="B136" s="108"/>
      <c r="C136" s="1325"/>
      <c r="D136" s="1325"/>
      <c r="E136" s="1325"/>
      <c r="F136" s="1325"/>
      <c r="G136" s="1325"/>
      <c r="H136" s="726">
        <f>H135/G135-1</f>
        <v>-0.01010493587252248</v>
      </c>
      <c r="I136" s="726">
        <f>I135/H135-1</f>
        <v>0.013937966234786048</v>
      </c>
      <c r="J136" s="726">
        <f>J135/I135-1</f>
        <v>0.0025169409486931471</v>
      </c>
      <c r="K136" s="726">
        <f>K135/J135-1</f>
        <v>-0.0059868675164154173</v>
      </c>
      <c r="L136" s="1325"/>
      <c r="M136" s="726">
        <f>M135/K135-1</f>
        <v>0.015348746842821059</v>
      </c>
      <c r="N136" s="726">
        <f>N135/M135-1</f>
        <v>0.030233448143895725</v>
      </c>
      <c r="O136" s="726">
        <f>O135/N135-1</f>
        <v>0.020616641901931798</v>
      </c>
      <c r="P136" s="726">
        <f>P135/O135-1</f>
        <v>0.011464968152866239</v>
      </c>
      <c r="Q136" s="1325"/>
      <c r="R136" s="726">
        <f>R135/P135-1</f>
        <v>0.034724721122706192</v>
      </c>
      <c r="S136" s="726">
        <f>S135/R135-1</f>
        <v>0.043818466353677588</v>
      </c>
      <c r="T136" s="726">
        <f>T135/S135-1</f>
        <v>0.020656338497418103</v>
      </c>
      <c r="U136" s="726">
        <f>U135/T135-1</f>
        <v>-0.0078341765953975351</v>
      </c>
      <c r="V136" s="1325"/>
      <c r="W136" s="726">
        <f>W135/U135-1</f>
        <v>-0.00065800296101325983</v>
      </c>
      <c r="X136" s="726">
        <f>X135/W135-1</f>
        <v>0.029958847736625493</v>
      </c>
      <c r="Y136" s="726">
        <f>Y135/X135-1</f>
        <v>0.020616909061850652</v>
      </c>
      <c r="Z136" s="726">
        <f>Z135/Y135-1</f>
        <v>0.012840588787973672</v>
      </c>
      <c r="AA136" s="1325"/>
      <c r="AB136" s="726">
        <f>AB135/Z135-1</f>
        <v>0.01886209029066177</v>
      </c>
      <c r="AC136" s="726">
        <f>AC135/AB135-1</f>
        <v>0.030197268588770809</v>
      </c>
      <c r="AD136" s="726">
        <f>AD135/AC135-1</f>
        <v>0.019148622772131363</v>
      </c>
      <c r="AE136" s="726">
        <f>AE135/AD135-1</f>
        <v>0.0072264778147130837</v>
      </c>
      <c r="AF136" s="1325"/>
      <c r="AG136" s="726">
        <f>AG135/AE135-1</f>
        <v>0.021093413689195151</v>
      </c>
      <c r="AH136" s="726">
        <f>AH135/AG135-1</f>
        <v>0.031759415401911184</v>
      </c>
      <c r="AI136" s="726">
        <f>AI135/AH135-1</f>
        <v>0.019749387087987014</v>
      </c>
      <c r="AJ136" s="726">
        <f>AJ135/AI135-1</f>
        <v>0.003606250834780278</v>
      </c>
      <c r="AK136" s="1325"/>
      <c r="AL136" s="726">
        <f>AL135/AJ135-1</f>
        <v>0.011046047378227453</v>
      </c>
      <c r="AM136" s="726">
        <f>AM135/AL135-1</f>
        <v>0.021192576016848541</v>
      </c>
      <c r="AN136" s="726">
        <f>AN135/AM135-1</f>
        <v>0.036220675431812399</v>
      </c>
      <c r="AO136" s="726">
        <f>AO135/AN135-1</f>
        <v>0.022515238213708155</v>
      </c>
      <c r="AP136" s="1325"/>
      <c r="AQ136" s="726">
        <f>AQ135/AO135-1</f>
        <v>0.04489051094890506</v>
      </c>
      <c r="AR136" s="726">
        <f>AR135/AQ135-1</f>
        <v>0.06717894981953676</v>
      </c>
      <c r="AS136" s="726">
        <f>AS135/AR135-1</f>
        <v>0.039384682522365377</v>
      </c>
      <c r="AT136" s="726">
        <f>AT135/AS135-1</f>
        <v>0.019418494804240627</v>
      </c>
      <c r="AU136" s="1325"/>
      <c r="AV136" s="726">
        <f>AV135/AT135-1</f>
        <v>0.029448105436573169</v>
      </c>
      <c r="AW136" s="726">
        <f>AW135/AV135-1</f>
        <v>0.024804960992198311</v>
      </c>
      <c r="AX136" s="726">
        <f>AX135/AW135-1</f>
        <v>0.014835057583447275</v>
      </c>
      <c r="AY136" s="726">
        <f>AY135/AX135-1</f>
        <v>0.0063473744950952593</v>
      </c>
      <c r="AZ136" s="1325"/>
      <c r="BA136" s="726">
        <f>BA135/AY135-1</f>
        <v>0.023700305810397504</v>
      </c>
      <c r="BB136" s="726">
        <f>BB135/BA135-1</f>
        <v>0.027912621359223122</v>
      </c>
      <c r="BC136" s="726">
        <f>BC135/BB135-1</f>
        <v>0.0083552810825537893</v>
      </c>
      <c r="BD136" s="726">
        <f>BD135/BC135-1</f>
        <v>-0.01062775826353235</v>
      </c>
      <c r="BE136" s="1325"/>
      <c r="BF136" s="726">
        <f>BF135/BD135-1</f>
        <v>0.0020937642239418075</v>
      </c>
      <c r="BG136" s="726">
        <f>BG135/BF135-1</f>
        <v>0.015261627906976605</v>
      </c>
      <c r="BH136" s="808">
        <f>BH135/BG135-1</f>
        <v>0.011542591267000857</v>
      </c>
      <c r="BI136" s="1215">
        <v>0.02</v>
      </c>
      <c r="BJ136" s="1326"/>
      <c r="BK136" s="1215">
        <v>0.02</v>
      </c>
      <c r="BL136" s="1215">
        <v>0.02</v>
      </c>
      <c r="BM136" s="1215">
        <v>0.02</v>
      </c>
      <c r="BN136" s="1215">
        <v>0.02</v>
      </c>
      <c r="BO136" s="1326"/>
      <c r="BP136" s="1325"/>
      <c r="BQ136" s="1325"/>
      <c r="BR136" s="1326"/>
      <c r="BS136" s="648"/>
    </row>
    <row r="137" spans="1:71" s="669" customFormat="1" ht="15" hidden="1" outlineLevel="2">
      <c r="A137" s="107" t="s">
        <v>473</v>
      </c>
      <c r="B137" s="108"/>
      <c r="C137" s="1325"/>
      <c r="D137" s="1325">
        <f>D135/C135-1</f>
        <v>-0.0046801872074883066</v>
      </c>
      <c r="E137" s="1325">
        <f>E135/D135-1</f>
        <v>-0.0025470219435735908</v>
      </c>
      <c r="F137" s="1325">
        <f>F135/E135-1</f>
        <v>0.020624631703005214</v>
      </c>
      <c r="G137" s="1325">
        <f>G135/F135-1</f>
        <v>-0.0096227867590453764</v>
      </c>
      <c r="H137" s="726"/>
      <c r="I137" s="726"/>
      <c r="J137" s="726"/>
      <c r="K137" s="726"/>
      <c r="L137" s="1325">
        <f t="shared" si="314" ref="L137:AU137">L135/G135-1</f>
        <v>0.00019432568985622289</v>
      </c>
      <c r="M137" s="726">
        <f t="shared" si="314"/>
        <v>0.025912838633686874</v>
      </c>
      <c r="N137" s="726">
        <f t="shared" si="314"/>
        <v>0.042400774443368761</v>
      </c>
      <c r="O137" s="726">
        <f t="shared" si="314"/>
        <v>0.061220548474314462</v>
      </c>
      <c r="P137" s="726">
        <f t="shared" si="314"/>
        <v>0.079852341169613261</v>
      </c>
      <c r="Q137" s="1325">
        <f t="shared" si="314"/>
        <v>0.079852341169613261</v>
      </c>
      <c r="R137" s="726">
        <f t="shared" si="314"/>
        <v>0.10045924225028702</v>
      </c>
      <c r="S137" s="726">
        <f t="shared" si="314"/>
        <v>0.11497028231797923</v>
      </c>
      <c r="T137" s="726">
        <f t="shared" si="314"/>
        <v>0.11501364877161069</v>
      </c>
      <c r="U137" s="726">
        <f t="shared" si="314"/>
        <v>0.093738754947823022</v>
      </c>
      <c r="V137" s="1325">
        <f t="shared" si="314"/>
        <v>0.093738754947823022</v>
      </c>
      <c r="W137" s="726">
        <f t="shared" si="314"/>
        <v>0.056338028169014009</v>
      </c>
      <c r="X137" s="726">
        <f t="shared" si="314"/>
        <v>0.042312177244711036</v>
      </c>
      <c r="Y137" s="726">
        <f t="shared" si="314"/>
        <v>0.04227191121266527</v>
      </c>
      <c r="Z137" s="726">
        <f t="shared" si="314"/>
        <v>0.063990787958545736</v>
      </c>
      <c r="AA137" s="1325">
        <f t="shared" si="314"/>
        <v>0.063990787958545736</v>
      </c>
      <c r="AB137" s="726">
        <f t="shared" si="314"/>
        <v>0.084773662551440365</v>
      </c>
      <c r="AC137" s="726">
        <f t="shared" si="314"/>
        <v>0.085024772255074099</v>
      </c>
      <c r="AD137" s="726">
        <f t="shared" si="314"/>
        <v>0.083463827121828871</v>
      </c>
      <c r="AE137" s="726">
        <f t="shared" si="314"/>
        <v>0.077458256029684591</v>
      </c>
      <c r="AF137" s="1325">
        <f t="shared" si="314"/>
        <v>0.077458256029684591</v>
      </c>
      <c r="AG137" s="726">
        <f t="shared" si="314"/>
        <v>0.079817905918057708</v>
      </c>
      <c r="AH137" s="726">
        <f t="shared" si="314"/>
        <v>0.081455295330682187</v>
      </c>
      <c r="AI137" s="726">
        <f t="shared" si="314"/>
        <v>0.082092787975140968</v>
      </c>
      <c r="AJ137" s="726">
        <f t="shared" si="314"/>
        <v>0.078203472521165107</v>
      </c>
      <c r="AK137" s="1325">
        <f t="shared" si="314"/>
        <v>0.078203472521165107</v>
      </c>
      <c r="AL137" s="726">
        <f t="shared" si="314"/>
        <v>0.067594154019111841</v>
      </c>
      <c r="AM137" s="726">
        <f t="shared" si="314"/>
        <v>0.056660310542086423</v>
      </c>
      <c r="AN137" s="726">
        <f t="shared" si="314"/>
        <v>0.073727794844396843</v>
      </c>
      <c r="AO137" s="726">
        <f t="shared" si="314"/>
        <v>0.093957945169017787</v>
      </c>
      <c r="AP137" s="1325">
        <f t="shared" si="314"/>
        <v>0.093957945169017787</v>
      </c>
      <c r="AQ137" s="726">
        <f t="shared" si="314"/>
        <v>0.13057785968145308</v>
      </c>
      <c r="AR137" s="726">
        <f t="shared" si="314"/>
        <v>0.18149007476153667</v>
      </c>
      <c r="AS137" s="726">
        <f t="shared" si="314"/>
        <v>0.18509764896131364</v>
      </c>
      <c r="AT137" s="726">
        <f t="shared" si="314"/>
        <v>0.18150851581508531</v>
      </c>
      <c r="AU137" s="1325">
        <f t="shared" si="314"/>
        <v>0.18150851581508531</v>
      </c>
      <c r="AV137" s="726">
        <f t="shared" si="315" ref="AV137:AZ137">AV135/AQ135-1</f>
        <v>0.16404703690767253</v>
      </c>
      <c r="AW137" s="726">
        <f t="shared" si="315"/>
        <v>0.1178267510364388</v>
      </c>
      <c r="AX137" s="726">
        <f t="shared" si="315"/>
        <v>0.091424372835100076</v>
      </c>
      <c r="AY137" s="726">
        <f t="shared" si="315"/>
        <v>0.077429983525535429</v>
      </c>
      <c r="AZ137" s="1325">
        <f t="shared" si="315"/>
        <v>0.077429983525535429</v>
      </c>
      <c r="BA137" s="726">
        <f t="shared" si="316" ref="BA137:BO137">BA135/AV135-1</f>
        <v>0.071414282856571365</v>
      </c>
      <c r="BB137" s="726">
        <f t="shared" si="316"/>
        <v>0.074663283232480948</v>
      </c>
      <c r="BC137" s="726">
        <f t="shared" si="316"/>
        <v>0.067801500288517058</v>
      </c>
      <c r="BD137" s="726">
        <f t="shared" si="316"/>
        <v>0.049789755351681952</v>
      </c>
      <c r="BE137" s="1325">
        <f t="shared" si="316"/>
        <v>0.049789755351681952</v>
      </c>
      <c r="BF137" s="726">
        <f>BF135/BA135-1</f>
        <v>0.027632561613144091</v>
      </c>
      <c r="BG137" s="726">
        <f>BG135/BB135-1</f>
        <v>0.014985014985015033</v>
      </c>
      <c r="BH137" s="808">
        <f>BH135/BC135-1</f>
        <v>0.018193281095199465</v>
      </c>
      <c r="BI137" s="98">
        <f t="shared" si="316"/>
        <v>0.04971324533454724</v>
      </c>
      <c r="BJ137" s="1326">
        <f t="shared" si="316"/>
        <v>0.04971324533454724</v>
      </c>
      <c r="BK137" s="98">
        <f t="shared" si="316"/>
        <v>0.068470385174418835</v>
      </c>
      <c r="BL137" s="98">
        <f t="shared" si="316"/>
        <v>0.073457090193271402</v>
      </c>
      <c r="BM137" s="98">
        <f t="shared" si="316"/>
        <v>0.082432159999999977</v>
      </c>
      <c r="BN137" s="98">
        <f t="shared" si="316"/>
        <v>0.082432159999999977</v>
      </c>
      <c r="BO137" s="1326">
        <f t="shared" si="316"/>
        <v>0.082432159999999977</v>
      </c>
      <c r="BP137" s="1341">
        <v>0.02</v>
      </c>
      <c r="BQ137" s="1341">
        <v>0.02</v>
      </c>
      <c r="BR137" s="1342">
        <v>0.02</v>
      </c>
      <c r="BS137" s="648"/>
    </row>
    <row r="138" spans="1:71" s="668" customFormat="1" ht="15" hidden="1" outlineLevel="2">
      <c r="A138" s="25" t="s">
        <v>478</v>
      </c>
      <c r="B138" s="394"/>
      <c r="C138" s="1320">
        <f>AVERAGE(C135,C133)</f>
        <v>526.09999999999991</v>
      </c>
      <c r="D138" s="1320">
        <f>AVERAGE(D135,D133)</f>
        <v>511.60</v>
      </c>
      <c r="E138" s="1320">
        <f>AVERAGE(E135,E133)</f>
        <v>509.75</v>
      </c>
      <c r="F138" s="1320">
        <f t="shared" si="317" ref="F138:K138">AVERAGE(F135,F133)</f>
        <v>514.35</v>
      </c>
      <c r="G138" s="1320">
        <f t="shared" si="317"/>
        <v>517.10</v>
      </c>
      <c r="H138" s="1021">
        <f t="shared" si="317"/>
        <v>512</v>
      </c>
      <c r="I138" s="1021">
        <f t="shared" si="317"/>
        <v>512.95000000000005</v>
      </c>
      <c r="J138" s="1021">
        <f t="shared" si="317"/>
        <v>517.15</v>
      </c>
      <c r="K138" s="1021">
        <f t="shared" si="317"/>
        <v>516.25</v>
      </c>
      <c r="L138" s="1320">
        <f>SUM(H138*H$3,I138*I$3,J138*J$3,K138*K$3)/L$3</f>
        <v>514.60616438356169</v>
      </c>
      <c r="M138" s="1021">
        <f>AVERAGE(M135,M133)</f>
        <v>518.65000000000009</v>
      </c>
      <c r="N138" s="1021">
        <f>AVERAGE(N135,N133)</f>
        <v>530.50</v>
      </c>
      <c r="O138" s="1021">
        <f>AVERAGE(O135,O133)</f>
        <v>543.95000000000005</v>
      </c>
      <c r="P138" s="1021">
        <f>AVERAGE(P135,P133)</f>
        <v>552.65</v>
      </c>
      <c r="Q138" s="1320">
        <f>SUM(M138*M$3,N138*N$3,O138*O$3,P138*P$3)/Q$3</f>
        <v>536.55123287671233</v>
      </c>
      <c r="R138" s="1021">
        <f>AVERAGE(R135,R133)</f>
        <v>565.45000000000005</v>
      </c>
      <c r="S138" s="1021">
        <f>AVERAGE(S135,S133)</f>
        <v>587.70000000000005</v>
      </c>
      <c r="T138" s="1021">
        <f>AVERAGE(T135,T133)</f>
        <v>606.50</v>
      </c>
      <c r="U138" s="1021">
        <f>AVERAGE(U135,U133)</f>
        <v>610.29999999999995</v>
      </c>
      <c r="V138" s="1320">
        <f>SUM(R138*R$3,S138*S$3,T138*T$3,U138*U$3)/V$3</f>
        <v>592.5744535519126</v>
      </c>
      <c r="W138" s="1021">
        <f>AVERAGE(W135,W133)</f>
        <v>607.70000000000005</v>
      </c>
      <c r="X138" s="1021">
        <f>AVERAGE(X135,X133)</f>
        <v>616.60</v>
      </c>
      <c r="Y138" s="1021">
        <f>AVERAGE(Y135,Y133)</f>
        <v>632.15000000000009</v>
      </c>
      <c r="Z138" s="1021">
        <f>AVERAGE(Z135,Z133)</f>
        <v>642.70000000000005</v>
      </c>
      <c r="AA138" s="1320">
        <f>SUM(W138*W$3,X138*X$3,Y138*Y$3,Z138*Z$3)/AA$3</f>
        <v>624.9035616438357</v>
      </c>
      <c r="AB138" s="1021">
        <f>AVERAGE(AB135,AB133)</f>
        <v>652.90</v>
      </c>
      <c r="AC138" s="1021">
        <f>AVERAGE(AC135,AC133)</f>
        <v>668.95</v>
      </c>
      <c r="AD138" s="1021">
        <f>AVERAGE(AD135,AD133)</f>
        <v>685.40</v>
      </c>
      <c r="AE138" s="1021">
        <f>AVERAGE(AE135,AE133)</f>
        <v>694.40</v>
      </c>
      <c r="AF138" s="1320">
        <f>SUM(AB138*AB$3,AC138*AC$3,AD138*AD$3,AE138*AE$3)/AF$3</f>
        <v>675.55356164383556</v>
      </c>
      <c r="AG138" s="1021">
        <f>AVERAGE(AG135,AG133)</f>
        <v>704.25</v>
      </c>
      <c r="AH138" s="1021">
        <f>AVERAGE(AH135,AH133)</f>
        <v>722.90000000000009</v>
      </c>
      <c r="AI138" s="1021">
        <f>AVERAGE(AI135,AI133)</f>
        <v>741.45</v>
      </c>
      <c r="AJ138" s="1021">
        <f>AVERAGE(AJ135,AJ133)</f>
        <v>750.05</v>
      </c>
      <c r="AK138" s="1320">
        <f>SUM(AG138*AG$3,AH138*AH$3,AI138*AI$3,AJ138*AJ$3)/AK$3</f>
        <v>729.82027397260276</v>
      </c>
      <c r="AL138" s="1021">
        <f>AVERAGE(AL135,AL133)</f>
        <v>755.55</v>
      </c>
      <c r="AM138" s="1021">
        <f>AVERAGE(AM135,AM133)</f>
        <v>767.75</v>
      </c>
      <c r="AN138" s="1021">
        <f>AVERAGE(AN135,AN133)</f>
        <v>789.84999999999991</v>
      </c>
      <c r="AO138" s="1021">
        <f>AVERAGE(AO135,AO133)</f>
        <v>812.95</v>
      </c>
      <c r="AP138" s="1320">
        <f>SUM(AL138*AL$3,AM138*AM$3,AN138*AN$3,AO138*AO$3)/AP$3</f>
        <v>781.63360655737711</v>
      </c>
      <c r="AQ138" s="1021">
        <f>AVERAGE(AQ135,AQ133)</f>
        <v>840.45</v>
      </c>
      <c r="AR138" s="1021">
        <f>AVERAGE(AR135,AR133)</f>
        <v>887.75</v>
      </c>
      <c r="AS138" s="1021">
        <f>AVERAGE(AS135,AS133)</f>
        <v>934.65000000000009</v>
      </c>
      <c r="AT138" s="1021">
        <f>AVERAGE(AT135,AT133)</f>
        <v>961.95</v>
      </c>
      <c r="AU138" s="1320">
        <f>SUM(AQ138*AQ$3,AR138*AR$3,AS138*AS$3,AT138*AT$3)/AU$3</f>
        <v>906.61082191780827</v>
      </c>
      <c r="AV138" s="1021">
        <f>AVERAGE(AV135,AV133)</f>
        <v>985.50</v>
      </c>
      <c r="AW138" s="1021">
        <f>AVERAGE(AW135,AW133)</f>
        <v>1012.1999999999999</v>
      </c>
      <c r="AX138" s="1021">
        <f>AVERAGE(AX135,AX133)</f>
        <v>1032.1999999999998</v>
      </c>
      <c r="AY138" s="1021">
        <f>AVERAGE(AY135,AY133)</f>
        <v>1043.0999999999999</v>
      </c>
      <c r="AZ138" s="1320">
        <f>SUM(AV138*AV$3,AW138*AW$3,AX138*AX$3,AY138*AY$3)/AZ$3</f>
        <v>1018.4460273972602</v>
      </c>
      <c r="BA138" s="1021">
        <f>AVERAGE(BA135,BA133)</f>
        <v>1058.8000000000002</v>
      </c>
      <c r="BB138" s="1021">
        <f>AVERAGE(BB135,BB133)</f>
        <v>1086.1500000000001</v>
      </c>
      <c r="BC138" s="1021">
        <f>AVERAGE(BC135,BC133)</f>
        <v>1105.6999999999998</v>
      </c>
      <c r="BD138" s="1021">
        <f>AVERAGE(BD135,BD133)</f>
        <v>1104.4000000000001</v>
      </c>
      <c r="BE138" s="1320">
        <f>SUM(BA138*BA$3,BB138*BB$3,BC138*BC$3,BD138*BD$3)/BE$3</f>
        <v>1088.9338356164383</v>
      </c>
      <c r="BF138" s="1021">
        <f>AVERAGE(BF135,BF133)</f>
        <v>1099.6500000000001</v>
      </c>
      <c r="BG138" s="1021">
        <f>AVERAGE(BG135,BG133)</f>
        <v>1109.1999999999998</v>
      </c>
      <c r="BH138" s="1022">
        <f>AVERAGE(BH135,BH133)</f>
        <v>1124.05</v>
      </c>
      <c r="BI138" s="1023">
        <f>AVERAGE(BI135,BI133)</f>
        <v>1141.8050000000001</v>
      </c>
      <c r="BJ138" s="1321">
        <f>SUM(BF138*BF$3,BG138*BG$3,BH138*BH$3,BI138*BI$3)/BJ$3</f>
        <v>1118.75412568306</v>
      </c>
      <c r="BK138" s="1023">
        <f>AVERAGE(BK135,BK133)</f>
        <v>1164.6411000000003</v>
      </c>
      <c r="BL138" s="1023">
        <f>AVERAGE(BL135,BL133)</f>
        <v>1187.9339220000002</v>
      </c>
      <c r="BM138" s="1023">
        <f>AVERAGE(BM135,BM133)</f>
        <v>1211.6926004400002</v>
      </c>
      <c r="BN138" s="1023">
        <f>AVERAGE(BN135,BN133)</f>
        <v>1235.9264524488001</v>
      </c>
      <c r="BO138" s="1321">
        <f>SUM(BK138*BK$3,BL138*BL$3,BM138*BM$3,BN138*BN$3)/BO$3</f>
        <v>1200.2757226514238</v>
      </c>
      <c r="BP138" s="1322">
        <f>AVERAGE(BP135,BP133)</f>
        <v>1260.6449814977761</v>
      </c>
      <c r="BQ138" s="1322">
        <f>AVERAGE(BQ135,BQ133)</f>
        <v>1285.8578811277316</v>
      </c>
      <c r="BR138" s="1321">
        <f>AVERAGE(BR135,BR133)</f>
        <v>1311.5750387502865</v>
      </c>
      <c r="BS138" s="648"/>
    </row>
    <row r="139" spans="1:71" s="669" customFormat="1" ht="7.5" customHeight="1" hidden="1" outlineLevel="2">
      <c r="A139" s="107"/>
      <c r="B139" s="108"/>
      <c r="C139" s="1325"/>
      <c r="D139" s="1325"/>
      <c r="E139" s="1325"/>
      <c r="F139" s="1325"/>
      <c r="G139" s="1325"/>
      <c r="H139" s="726"/>
      <c r="I139" s="726"/>
      <c r="J139" s="726"/>
      <c r="K139" s="726"/>
      <c r="L139" s="1325"/>
      <c r="M139" s="726"/>
      <c r="N139" s="726"/>
      <c r="O139" s="726"/>
      <c r="P139" s="726"/>
      <c r="Q139" s="1325"/>
      <c r="R139" s="726"/>
      <c r="S139" s="726"/>
      <c r="T139" s="726"/>
      <c r="U139" s="726"/>
      <c r="V139" s="1325"/>
      <c r="W139" s="726"/>
      <c r="X139" s="726"/>
      <c r="Y139" s="726"/>
      <c r="Z139" s="726"/>
      <c r="AA139" s="1325"/>
      <c r="AB139" s="726"/>
      <c r="AC139" s="726"/>
      <c r="AD139" s="726"/>
      <c r="AE139" s="726"/>
      <c r="AF139" s="1325"/>
      <c r="AG139" s="726"/>
      <c r="AH139" s="726"/>
      <c r="AI139" s="726"/>
      <c r="AJ139" s="726"/>
      <c r="AK139" s="1325"/>
      <c r="AL139" s="726"/>
      <c r="AM139" s="726"/>
      <c r="AN139" s="726"/>
      <c r="AO139" s="726"/>
      <c r="AP139" s="1325"/>
      <c r="AQ139" s="726"/>
      <c r="AR139" s="726"/>
      <c r="AS139" s="726"/>
      <c r="AT139" s="726"/>
      <c r="AU139" s="1325"/>
      <c r="AV139" s="726"/>
      <c r="AW139" s="726"/>
      <c r="AX139" s="726"/>
      <c r="AY139" s="726"/>
      <c r="AZ139" s="1325"/>
      <c r="BA139" s="726"/>
      <c r="BB139" s="726"/>
      <c r="BC139" s="726"/>
      <c r="BD139" s="726"/>
      <c r="BE139" s="1325"/>
      <c r="BF139" s="726"/>
      <c r="BG139" s="726"/>
      <c r="BH139" s="808"/>
      <c r="BI139" s="98"/>
      <c r="BJ139" s="1326"/>
      <c r="BK139" s="98"/>
      <c r="BL139" s="98"/>
      <c r="BM139" s="98"/>
      <c r="BN139" s="98"/>
      <c r="BO139" s="1326"/>
      <c r="BP139" s="1325"/>
      <c r="BQ139" s="1325"/>
      <c r="BR139" s="1326"/>
      <c r="BS139" s="648"/>
    </row>
    <row r="140" spans="1:71" s="674" customFormat="1" ht="15" hidden="1" outlineLevel="2">
      <c r="A140" s="476" t="s">
        <v>625</v>
      </c>
      <c r="B140" s="477"/>
      <c r="C140" s="1345">
        <f>(C143*1000)/C138</f>
        <v>2915.605398213268</v>
      </c>
      <c r="D140" s="1346">
        <f>(D143*1000)/D138</f>
        <v>2833.268178264269</v>
      </c>
      <c r="E140" s="1346">
        <f>(E143*1000)/E138</f>
        <v>3009.9068170671899</v>
      </c>
      <c r="F140" s="1346">
        <f>(F143*1000)/F138</f>
        <v>3374.9392437056476</v>
      </c>
      <c r="G140" s="1346">
        <f>(G143*1000)/G138</f>
        <v>3423.902533359118</v>
      </c>
      <c r="H140" s="480">
        <f>(H143*1000)/H138*(L3/H3)</f>
        <v>3657.9210069444443</v>
      </c>
      <c r="I140" s="480">
        <f>(I143*1000)/I138*(L3/I3)</f>
        <v>3970.7188220688558</v>
      </c>
      <c r="J140" s="480">
        <f>(J143*1000)/J138*(L3/J3)</f>
        <v>3555.0403759736687</v>
      </c>
      <c r="K140" s="480">
        <f>(K143*1000)/K138*(L3/K3)</f>
        <v>3553.5530055795357</v>
      </c>
      <c r="L140" s="1346">
        <f>(L143*1000)/L138</f>
        <v>3683.2050044920638</v>
      </c>
      <c r="M140" s="481">
        <f>(M143*1000)/M138*(Q3/M3)</f>
        <v>4152.9076555587681</v>
      </c>
      <c r="N140" s="481">
        <f>(N143*1000)/N138*(Q3/N3)</f>
        <v>4375.4181727791529</v>
      </c>
      <c r="O140" s="481">
        <f>(O143*1000)/O138*(Q3/O3)</f>
        <v>4039.963311845318</v>
      </c>
      <c r="P140" s="481">
        <f>(P143*1000)/P138*(Q3/P3)</f>
        <v>3643.2662389514521</v>
      </c>
      <c r="Q140" s="1346">
        <f>(Q143*1000)/Q138</f>
        <v>4046.5846818749069</v>
      </c>
      <c r="R140" s="481">
        <f>(R143*1000)/R138*(V3/R3)</f>
        <v>4705.1701503907707</v>
      </c>
      <c r="S140" s="481">
        <f>(S143*1000)/S138*(V3/S3)</f>
        <v>4955.4437395172463</v>
      </c>
      <c r="T140" s="481">
        <f>(T143*1000)/T138*(V3/T3)</f>
        <v>4394.1252374637079</v>
      </c>
      <c r="U140" s="481">
        <f>(U143*1000)/U138*(V3/U3)</f>
        <v>3538.2598721940049</v>
      </c>
      <c r="V140" s="1346">
        <f>(V143*1000)/V138</f>
        <v>4384.7654660535845</v>
      </c>
      <c r="W140" s="481">
        <f>(W143*1000)/W138*(AA3/W3)</f>
        <v>4410.5918490483236</v>
      </c>
      <c r="X140" s="481">
        <f>(X143*1000)/X138*(AA3/X3)</f>
        <v>5575.4438555281886</v>
      </c>
      <c r="Y140" s="481">
        <f>(Y143*1000)/Y138*(AA3/Y3)</f>
        <v>5182.1165862532625</v>
      </c>
      <c r="Z140" s="481">
        <f>(Z143*1000)/Z138*(AA3/Z3)</f>
        <v>4747.0420305639927</v>
      </c>
      <c r="AA140" s="1346">
        <f>(AA143*1000)/AA138</f>
        <v>4981.0885887926588</v>
      </c>
      <c r="AB140" s="481">
        <f>(AB143*1000)/AB138*(AF3/AB3)</f>
        <v>5757.5347594492941</v>
      </c>
      <c r="AC140" s="481">
        <f>(AC143*1000)/AC138*(AF3/AC3)</f>
        <v>6266.96421897857</v>
      </c>
      <c r="AD140" s="481">
        <f>(AD143*1000)/AD138*(AF3/AD3)</f>
        <v>6272.9237766585056</v>
      </c>
      <c r="AE140" s="481">
        <f>(AE143*1000)/AE138*(AF3/AE3)</f>
        <v>5374.0326337407332</v>
      </c>
      <c r="AF140" s="1346">
        <f>(AF143*1000)/AF138</f>
        <v>5915.7411446036849</v>
      </c>
      <c r="AG140" s="481">
        <f>(AG143*1000)/AG138*(AK3/AG3)</f>
        <v>6710.0224825464447</v>
      </c>
      <c r="AH140" s="481">
        <f>(AH143*1000)/AH138*(AK3/AH3)</f>
        <v>6562.1755475123846</v>
      </c>
      <c r="AI140" s="481">
        <f>(AI143*1000)/AI138*(AK3/AI3)</f>
        <v>6445.6397130182631</v>
      </c>
      <c r="AJ140" s="481">
        <f>(AJ143*1000)/AJ138*(AK3/AJ3)</f>
        <v>6555.2803726128423</v>
      </c>
      <c r="AK140" s="1346">
        <f>(AK143*1000)/AK138</f>
        <v>6565.7260710462024</v>
      </c>
      <c r="AL140" s="481">
        <f>(AL143*1000)/AL138*(AP3/AL3)</f>
        <v>6090.325001581703</v>
      </c>
      <c r="AM140" s="481">
        <f>(AM143*1000)/AM138*(AP3/AM3)</f>
        <v>6260.7175956573547</v>
      </c>
      <c r="AN140" s="481">
        <f>(AN143*1000)/AN138*(AP3/AN3)</f>
        <v>8108.6309728594597</v>
      </c>
      <c r="AO140" s="481">
        <f>(AO143*1000)/AO138*(AP3/AO3)</f>
        <v>6685.6510240482203</v>
      </c>
      <c r="AP140" s="1346">
        <f>(AP143*1000)/AP138</f>
        <v>6800.244968241167</v>
      </c>
      <c r="AQ140" s="481">
        <f>(AQ143*1000)/AQ138*(AU3/AQ3)</f>
        <v>8657.3528731301358</v>
      </c>
      <c r="AR140" s="481">
        <f>(AR143*1000)/AR138*(AU3/AR3)</f>
        <v>8974.4043621824549</v>
      </c>
      <c r="AS140" s="481">
        <f>(AS143*1000)/AS138*(AU3/AS3)</f>
        <v>10077.551699194537</v>
      </c>
      <c r="AT140" s="481">
        <f>(AT143*1000)/AT138*(AU3/AT3)</f>
        <v>7677.0124995197684</v>
      </c>
      <c r="AU140" s="1346">
        <f>(AU143*1000)/AU138</f>
        <v>8841.6107619843824</v>
      </c>
      <c r="AV140" s="481">
        <f>(AV143*1000)/AV138*(AZ3/AV3)</f>
        <v>12039.91769547325</v>
      </c>
      <c r="AW140" s="481">
        <f>(AW143*1000)/AW138*(AZ3/AW3)</f>
        <v>9148.9541874841234</v>
      </c>
      <c r="AX140" s="481">
        <f>(AX143*1000)/AX138*(AZ3/AX3)</f>
        <v>7932.8607954306135</v>
      </c>
      <c r="AY140" s="481">
        <f>(AY143*1000)/AY138*(AZ3/AY3)</f>
        <v>7988.7917703500843</v>
      </c>
      <c r="AZ140" s="1346">
        <f>(AZ143*1000)/AZ138</f>
        <v>9228.5695531844394</v>
      </c>
      <c r="BA140" s="481">
        <f>(BA143*1000)/BA138*(BE3/BA3)</f>
        <v>12896.344918775971</v>
      </c>
      <c r="BB140" s="481">
        <f>(BB143*1000)/BB138*(BE3/BB3)</f>
        <v>8738.7602040274323</v>
      </c>
      <c r="BC140" s="481">
        <f>(BC143*1000)/BC138*(BE3/BC3)</f>
        <v>7947.3410509179721</v>
      </c>
      <c r="BD140" s="481">
        <f>(BD143*1000)/BD138*(BE3/BD3)</f>
        <v>7867.605664299319</v>
      </c>
      <c r="BE140" s="1346">
        <f>(BE143*1000)/BE138</f>
        <v>9310.2993665917038</v>
      </c>
      <c r="BF140" s="481">
        <f>(BF143*1000)/BF138*(BJ3/BF3)</f>
        <v>13707.240515588624</v>
      </c>
      <c r="BG140" s="481">
        <f>(BG143*1000)/BG138*(BJ3/BG3)</f>
        <v>9095.8635666533264</v>
      </c>
      <c r="BH140" s="814">
        <f>(BH143*1000)/BH138*(BJ3/BH3)</f>
        <v>8417.328255937864</v>
      </c>
      <c r="BI140" s="482">
        <f>BD140*(1+BI141)</f>
        <v>8260.9859475142857</v>
      </c>
      <c r="BJ140" s="1347">
        <f>BJ143/BJ138*1000</f>
        <v>9837.2773360514457</v>
      </c>
      <c r="BK140" s="482">
        <f>BF140*(1+BK141)</f>
        <v>13021.878489809193</v>
      </c>
      <c r="BL140" s="482">
        <f>BG140*(1+BL141)</f>
        <v>8641.0703883206588</v>
      </c>
      <c r="BM140" s="482">
        <f>BH140*(1+BM141)</f>
        <v>7996.4618431409708</v>
      </c>
      <c r="BN140" s="482">
        <f>BI140*(1+BN141)</f>
        <v>8674.0352448900012</v>
      </c>
      <c r="BO140" s="1347">
        <f>BO143/BO138*1000</f>
        <v>9533.7335480314723</v>
      </c>
      <c r="BP140" s="1345">
        <f>BO140*(1+BP141)</f>
        <v>9724.4082189921028</v>
      </c>
      <c r="BQ140" s="1345">
        <f>BP140*(1+BQ141)</f>
        <v>9918.8963833719445</v>
      </c>
      <c r="BR140" s="1347">
        <f>BQ140*(1+BR141)</f>
        <v>10117.274311039384</v>
      </c>
      <c r="BS140" s="648"/>
    </row>
    <row r="141" spans="1:71" s="669" customFormat="1" ht="15" hidden="1" outlineLevel="2">
      <c r="A141" s="107" t="s">
        <v>630</v>
      </c>
      <c r="B141" s="108"/>
      <c r="C141" s="1325"/>
      <c r="D141" s="1325">
        <f>D140/C140-1</f>
        <v>-0.028240179552231792</v>
      </c>
      <c r="E141" s="1325">
        <f>E140/D140-1</f>
        <v>0.062344482657174405</v>
      </c>
      <c r="F141" s="1325">
        <f>F140/E140-1</f>
        <v>0.12127698590820168</v>
      </c>
      <c r="G141" s="1325">
        <f>G140/F140-1</f>
        <v>0.014507902548108964</v>
      </c>
      <c r="H141" s="726"/>
      <c r="I141" s="726"/>
      <c r="J141" s="726"/>
      <c r="K141" s="726"/>
      <c r="L141" s="1325">
        <f t="shared" si="318" ref="L141:AU141">L140/G140-1</f>
        <v>0.075733017691525628</v>
      </c>
      <c r="M141" s="726">
        <f t="shared" si="318"/>
        <v>0.13531911915938255</v>
      </c>
      <c r="N141" s="726">
        <f t="shared" si="318"/>
        <v>0.10192092889101567</v>
      </c>
      <c r="O141" s="726">
        <f t="shared" si="318"/>
        <v>0.13640433991944101</v>
      </c>
      <c r="P141" s="726">
        <f t="shared" si="318"/>
        <v>0.025246065903915094</v>
      </c>
      <c r="Q141" s="1325">
        <f t="shared" si="318"/>
        <v>0.098658553335929655</v>
      </c>
      <c r="R141" s="726">
        <f t="shared" si="318"/>
        <v>0.13298212737593285</v>
      </c>
      <c r="S141" s="726">
        <f t="shared" si="318"/>
        <v>0.13256460156119809</v>
      </c>
      <c r="T141" s="726">
        <f t="shared" si="318"/>
        <v>0.08766463907728439</v>
      </c>
      <c r="U141" s="726">
        <f t="shared" si="318"/>
        <v>-0.028822040408353122</v>
      </c>
      <c r="V141" s="1325">
        <f t="shared" si="318"/>
        <v>0.083571903411147286</v>
      </c>
      <c r="W141" s="726">
        <f t="shared" si="318"/>
        <v>-0.062607364224220863</v>
      </c>
      <c r="X141" s="726">
        <f t="shared" si="318"/>
        <v>0.12511495409921491</v>
      </c>
      <c r="Y141" s="726">
        <f t="shared" si="318"/>
        <v>0.17932837736877616</v>
      </c>
      <c r="Z141" s="726">
        <f t="shared" si="318"/>
        <v>0.34163181960415079</v>
      </c>
      <c r="AA141" s="1325">
        <f t="shared" si="318"/>
        <v>0.13599886410248119</v>
      </c>
      <c r="AB141" s="726">
        <f t="shared" si="318"/>
        <v>0.30538824640770179</v>
      </c>
      <c r="AC141" s="726">
        <f t="shared" si="318"/>
        <v>0.12402965241318364</v>
      </c>
      <c r="AD141" s="726">
        <f t="shared" si="318"/>
        <v>0.21049452906923327</v>
      </c>
      <c r="AE141" s="726">
        <f t="shared" si="318"/>
        <v>0.13208027212311158</v>
      </c>
      <c r="AF141" s="1325">
        <f t="shared" si="318"/>
        <v>0.18764021943194797</v>
      </c>
      <c r="AG141" s="726">
        <f t="shared" si="318"/>
        <v>0.16543325622722871</v>
      </c>
      <c r="AH141" s="726">
        <f t="shared" si="318"/>
        <v>0.047105954050257859</v>
      </c>
      <c r="AI141" s="726">
        <f t="shared" si="318"/>
        <v>0.027533562101046405</v>
      </c>
      <c r="AJ141" s="726">
        <f t="shared" si="318"/>
        <v>0.21980658090084404</v>
      </c>
      <c r="AK141" s="1325">
        <f t="shared" si="318"/>
        <v>0.10987379443325218</v>
      </c>
      <c r="AL141" s="726">
        <f t="shared" si="318"/>
        <v>-0.092354009629125322</v>
      </c>
      <c r="AM141" s="726">
        <f t="shared" si="318"/>
        <v>-0.045938721034262442</v>
      </c>
      <c r="AN141" s="726">
        <f t="shared" si="318"/>
        <v>0.25800251548072906</v>
      </c>
      <c r="AO141" s="726">
        <f t="shared" si="318"/>
        <v>0.019887883358894909</v>
      </c>
      <c r="AP141" s="1325">
        <f t="shared" si="318"/>
        <v>0.035718653909299514</v>
      </c>
      <c r="AQ141" s="726">
        <f t="shared" si="318"/>
        <v>0.42149275627848382</v>
      </c>
      <c r="AR141" s="726">
        <f t="shared" si="318"/>
        <v>0.43344660177731154</v>
      </c>
      <c r="AS141" s="726">
        <f t="shared" si="318"/>
        <v>0.24281789773456031</v>
      </c>
      <c r="AT141" s="726">
        <f t="shared" si="318"/>
        <v>0.14828196564637164</v>
      </c>
      <c r="AU141" s="1325">
        <f t="shared" si="318"/>
        <v>0.30019003775259567</v>
      </c>
      <c r="AV141" s="726">
        <f t="shared" si="319" ref="AV141:BA141">AV140/AQ140-1</f>
        <v>0.39071583102978225</v>
      </c>
      <c r="AW141" s="726">
        <f t="shared" si="319"/>
        <v>0.019449739309408631</v>
      </c>
      <c r="AX141" s="726">
        <f t="shared" si="319"/>
        <v>-0.21281864561759989</v>
      </c>
      <c r="AY141" s="726">
        <f t="shared" si="319"/>
        <v>0.040612057209730823</v>
      </c>
      <c r="AZ141" s="1325">
        <f t="shared" si="319"/>
        <v>0.04376564424933016</v>
      </c>
      <c r="BA141" s="726">
        <f t="shared" si="319"/>
        <v>0.071132315433079629</v>
      </c>
      <c r="BB141" s="726">
        <f t="shared" si="320" ref="BB141:BG141">BB140/AW140-1</f>
        <v>-0.044835068036283454</v>
      </c>
      <c r="BC141" s="726">
        <f t="shared" si="320"/>
        <v>0.0018253510128023454</v>
      </c>
      <c r="BD141" s="726">
        <f t="shared" si="320"/>
        <v>-0.015169516183979215</v>
      </c>
      <c r="BE141" s="1325">
        <f t="shared" si="320"/>
        <v>0.0088561735311474266</v>
      </c>
      <c r="BF141" s="726">
        <f t="shared" si="320"/>
        <v>0.06287793959605259</v>
      </c>
      <c r="BG141" s="726">
        <f t="shared" si="320"/>
        <v>0.040864305037380033</v>
      </c>
      <c r="BH141" s="808">
        <f>BH140/BC140-1</f>
        <v>0.05913766654894026</v>
      </c>
      <c r="BI141" s="1215">
        <v>0.05</v>
      </c>
      <c r="BJ141" s="1326">
        <f>BJ140/BE140-1</f>
        <v>0.056601613837542697</v>
      </c>
      <c r="BK141" s="1215">
        <v>-0.05</v>
      </c>
      <c r="BL141" s="1215">
        <v>-0.05</v>
      </c>
      <c r="BM141" s="1215">
        <v>-0.05</v>
      </c>
      <c r="BN141" s="1215">
        <v>0.05</v>
      </c>
      <c r="BO141" s="1326">
        <f>BO140/BJ140-1</f>
        <v>-0.030856483725182016</v>
      </c>
      <c r="BP141" s="1341">
        <v>0.02</v>
      </c>
      <c r="BQ141" s="1341">
        <v>0.02</v>
      </c>
      <c r="BR141" s="1342">
        <v>0.02</v>
      </c>
      <c r="BS141" s="648"/>
    </row>
    <row r="142" spans="1:71" s="669" customFormat="1" ht="7.5" customHeight="1" hidden="1" outlineLevel="2">
      <c r="A142" s="107"/>
      <c r="B142" s="108"/>
      <c r="C142" s="1325"/>
      <c r="D142" s="1325"/>
      <c r="E142" s="1325"/>
      <c r="F142" s="1325"/>
      <c r="G142" s="1325"/>
      <c r="H142" s="726"/>
      <c r="I142" s="726"/>
      <c r="J142" s="726"/>
      <c r="K142" s="726"/>
      <c r="L142" s="1325"/>
      <c r="M142" s="726"/>
      <c r="N142" s="726"/>
      <c r="O142" s="726"/>
      <c r="P142" s="726"/>
      <c r="Q142" s="1325"/>
      <c r="R142" s="726"/>
      <c r="S142" s="726"/>
      <c r="T142" s="726"/>
      <c r="U142" s="726"/>
      <c r="V142" s="1325"/>
      <c r="W142" s="726"/>
      <c r="X142" s="726"/>
      <c r="Y142" s="726"/>
      <c r="Z142" s="726"/>
      <c r="AA142" s="1325"/>
      <c r="AB142" s="726"/>
      <c r="AC142" s="726"/>
      <c r="AD142" s="726"/>
      <c r="AE142" s="726"/>
      <c r="AF142" s="1325"/>
      <c r="AG142" s="726"/>
      <c r="AH142" s="726"/>
      <c r="AI142" s="726"/>
      <c r="AJ142" s="726"/>
      <c r="AK142" s="1325"/>
      <c r="AL142" s="726"/>
      <c r="AM142" s="726"/>
      <c r="AN142" s="726"/>
      <c r="AO142" s="726"/>
      <c r="AP142" s="1325"/>
      <c r="AQ142" s="726"/>
      <c r="AR142" s="726"/>
      <c r="AS142" s="726"/>
      <c r="AT142" s="726"/>
      <c r="AU142" s="1325"/>
      <c r="AV142" s="726"/>
      <c r="AW142" s="726"/>
      <c r="AX142" s="726"/>
      <c r="AY142" s="726"/>
      <c r="AZ142" s="1325"/>
      <c r="BA142" s="726"/>
      <c r="BB142" s="726"/>
      <c r="BC142" s="726"/>
      <c r="BD142" s="726"/>
      <c r="BE142" s="1325"/>
      <c r="BF142" s="726"/>
      <c r="BG142" s="726"/>
      <c r="BH142" s="808"/>
      <c r="BI142" s="98"/>
      <c r="BJ142" s="1326"/>
      <c r="BK142" s="98"/>
      <c r="BL142" s="98"/>
      <c r="BM142" s="98"/>
      <c r="BN142" s="98"/>
      <c r="BO142" s="1326"/>
      <c r="BP142" s="1325"/>
      <c r="BQ142" s="1325"/>
      <c r="BR142" s="1326"/>
      <c r="BS142" s="648"/>
    </row>
    <row r="143" spans="1:71" s="668" customFormat="1" ht="15" hidden="1" outlineLevel="2">
      <c r="A143" s="25" t="s">
        <v>358</v>
      </c>
      <c r="B143" s="394"/>
      <c r="C143" s="1320">
        <f t="shared" si="321" ref="C143:AU143">C217</f>
        <v>1533.90</v>
      </c>
      <c r="D143" s="1320">
        <f t="shared" si="321"/>
        <v>1449.50</v>
      </c>
      <c r="E143" s="1320">
        <f t="shared" si="321"/>
        <v>1534.30</v>
      </c>
      <c r="F143" s="1320">
        <f t="shared" si="321"/>
        <v>1735.90</v>
      </c>
      <c r="G143" s="1320">
        <f t="shared" si="321"/>
        <v>1770.50</v>
      </c>
      <c r="H143" s="1021">
        <f t="shared" si="321"/>
        <v>461.80</v>
      </c>
      <c r="I143" s="1021">
        <f t="shared" si="321"/>
        <v>507.80</v>
      </c>
      <c r="J143" s="1021">
        <f t="shared" si="321"/>
        <v>463.40</v>
      </c>
      <c r="K143" s="1021">
        <f t="shared" si="321"/>
        <v>462.40000000000009</v>
      </c>
      <c r="L143" s="1320">
        <f t="shared" si="321"/>
        <v>1895.40</v>
      </c>
      <c r="M143" s="1021">
        <f t="shared" si="321"/>
        <v>531.10</v>
      </c>
      <c r="N143" s="1021">
        <f t="shared" si="321"/>
        <v>578.70000000000005</v>
      </c>
      <c r="O143" s="1021">
        <f t="shared" si="321"/>
        <v>553.90</v>
      </c>
      <c r="P143" s="1021">
        <f t="shared" si="321"/>
        <v>507.49999999999955</v>
      </c>
      <c r="Q143" s="1320">
        <f t="shared" si="321"/>
        <v>2171.1999999999998</v>
      </c>
      <c r="R143" s="1021">
        <f t="shared" si="321"/>
        <v>661.50</v>
      </c>
      <c r="S143" s="1021">
        <f t="shared" si="321"/>
        <v>724.10</v>
      </c>
      <c r="T143" s="1021">
        <f t="shared" si="321"/>
        <v>669.90</v>
      </c>
      <c r="U143" s="1021">
        <f t="shared" si="321"/>
        <v>542.80000000000018</v>
      </c>
      <c r="V143" s="1320">
        <f t="shared" si="321"/>
        <v>2598.3000000000002</v>
      </c>
      <c r="W143" s="1021">
        <f t="shared" si="321"/>
        <v>660.90</v>
      </c>
      <c r="X143" s="1021">
        <f t="shared" si="321"/>
        <v>857.10</v>
      </c>
      <c r="Y143" s="1021">
        <f t="shared" si="321"/>
        <v>825.70</v>
      </c>
      <c r="Z143" s="1021">
        <f t="shared" si="321"/>
        <v>769</v>
      </c>
      <c r="AA143" s="1320">
        <f t="shared" si="321"/>
        <v>3112.70</v>
      </c>
      <c r="AB143" s="1021">
        <f t="shared" si="321"/>
        <v>926.90</v>
      </c>
      <c r="AC143" s="1021">
        <f t="shared" si="321"/>
        <v>1045.20</v>
      </c>
      <c r="AD143" s="1021">
        <f t="shared" si="321"/>
        <v>1083.70</v>
      </c>
      <c r="AE143" s="1021">
        <f t="shared" si="321"/>
        <v>940.59999999999991</v>
      </c>
      <c r="AF143" s="1320">
        <f t="shared" si="321"/>
        <v>3996.40</v>
      </c>
      <c r="AG143" s="1021">
        <f t="shared" si="321"/>
        <v>1165.20</v>
      </c>
      <c r="AH143" s="1021">
        <f t="shared" si="321"/>
        <v>1182.70</v>
      </c>
      <c r="AI143" s="1021">
        <f t="shared" si="321"/>
        <v>1204.5999999999999</v>
      </c>
      <c r="AJ143" s="1021">
        <f t="shared" si="321"/>
        <v>1239.3000000000002</v>
      </c>
      <c r="AK143" s="1320">
        <f t="shared" si="321"/>
        <v>4791.80</v>
      </c>
      <c r="AL143" s="1021">
        <f t="shared" si="321"/>
        <v>1144.0999999999999</v>
      </c>
      <c r="AM143" s="1021">
        <f t="shared" si="321"/>
        <v>1195.0999999999999</v>
      </c>
      <c r="AN143" s="1021">
        <f t="shared" si="321"/>
        <v>1609.90</v>
      </c>
      <c r="AO143" s="1021">
        <f t="shared" si="321"/>
        <v>1366.2000000000003</v>
      </c>
      <c r="AP143" s="1320">
        <f t="shared" si="321"/>
        <v>5315.30</v>
      </c>
      <c r="AQ143" s="1021">
        <f t="shared" si="321"/>
        <v>1794.10</v>
      </c>
      <c r="AR143" s="1021">
        <f t="shared" si="321"/>
        <v>1986.3000000000002</v>
      </c>
      <c r="AS143" s="1021">
        <f t="shared" si="321"/>
        <v>2374.10</v>
      </c>
      <c r="AT143" s="1021">
        <f t="shared" si="321"/>
        <v>1861.3999999999996</v>
      </c>
      <c r="AU143" s="1320">
        <f t="shared" si="321"/>
        <v>8015.90</v>
      </c>
      <c r="AV143" s="1021">
        <f t="shared" si="322" ref="AV143:BA143">AV217</f>
        <v>2925.70</v>
      </c>
      <c r="AW143" s="1021">
        <f t="shared" si="322"/>
        <v>2308.8000000000002</v>
      </c>
      <c r="AX143" s="1021">
        <f t="shared" si="322"/>
        <v>2063.90</v>
      </c>
      <c r="AY143" s="1021">
        <f t="shared" si="322"/>
        <v>2100.3999999999996</v>
      </c>
      <c r="AZ143" s="1320">
        <f t="shared" si="322"/>
        <v>9398.7999999999993</v>
      </c>
      <c r="BA143" s="1021">
        <f t="shared" si="322"/>
        <v>3366.90</v>
      </c>
      <c r="BB143" s="1021">
        <f t="shared" si="323" ref="BB143:BG143">BB217</f>
        <v>2366.40</v>
      </c>
      <c r="BC143" s="1021">
        <f t="shared" si="323"/>
        <v>2214.90</v>
      </c>
      <c r="BD143" s="1021">
        <f t="shared" si="323"/>
        <v>2190.0999999999985</v>
      </c>
      <c r="BE143" s="1320">
        <f t="shared" si="323"/>
        <v>10138.299999999999</v>
      </c>
      <c r="BF143" s="1021">
        <f t="shared" si="323"/>
        <v>3747.70</v>
      </c>
      <c r="BG143" s="1021">
        <f t="shared" si="323"/>
        <v>2508.50</v>
      </c>
      <c r="BH143" s="1022">
        <f>BH217</f>
        <v>2378.3000000000002</v>
      </c>
      <c r="BI143" s="1023">
        <f>BI140*BI138/1000*(BI$3/BJ$3)</f>
        <v>2370.9946051960173</v>
      </c>
      <c r="BJ143" s="1321">
        <f>SUM(BF143,BG143,BH143,BI143)</f>
        <v>11005.494605196018</v>
      </c>
      <c r="BK143" s="1023">
        <f>BK140*BK138/1000*(BK$3/BO$3)</f>
        <v>3739.515999888753</v>
      </c>
      <c r="BL143" s="1023">
        <f>BL140*BL138/1000*(BL$3/BO$3)</f>
        <v>2559.2243231164384</v>
      </c>
      <c r="BM143" s="1023">
        <f>BM140*BM138/1000*(BM$3/BO$3)</f>
        <v>2442.2228365566966</v>
      </c>
      <c r="BN143" s="1023">
        <f>BN140*BN138/1000*(BN$3/BO$3)</f>
        <v>2702.145764367709</v>
      </c>
      <c r="BO143" s="1321">
        <f>SUM(BK143,BL143,BM143,BN143)</f>
        <v>11443.108923929598</v>
      </c>
      <c r="BP143" s="1322">
        <f>BP140*BP138/1000*(BP$3/BP$3)</f>
        <v>12259.026419308122</v>
      </c>
      <c r="BQ143" s="1322">
        <f>BQ140*BQ138/1000*(BQ$3/BQ$3)</f>
        <v>12754.291086648169</v>
      </c>
      <c r="BR143" s="1321">
        <f>BR140*BR138/1000*(BR$3/BR$3)</f>
        <v>13269.564446548758</v>
      </c>
      <c r="BS143" s="648"/>
    </row>
    <row r="144" spans="1:71" s="669" customFormat="1" ht="15" hidden="1" outlineLevel="2">
      <c r="A144" s="107" t="s">
        <v>538</v>
      </c>
      <c r="B144" s="108"/>
      <c r="C144" s="1325"/>
      <c r="D144" s="1325"/>
      <c r="E144" s="1325"/>
      <c r="F144" s="1325"/>
      <c r="G144" s="1325"/>
      <c r="H144" s="726"/>
      <c r="I144" s="726"/>
      <c r="J144" s="726"/>
      <c r="K144" s="726"/>
      <c r="L144" s="1325"/>
      <c r="M144" s="726"/>
      <c r="N144" s="726"/>
      <c r="O144" s="726"/>
      <c r="P144" s="726"/>
      <c r="Q144" s="1325"/>
      <c r="R144" s="726"/>
      <c r="S144" s="725">
        <f t="shared" si="324" ref="S144:AU144">S143/N143-1</f>
        <v>0.25125280801797123</v>
      </c>
      <c r="T144" s="725">
        <f t="shared" si="324"/>
        <v>0.20942408376963351</v>
      </c>
      <c r="U144" s="725">
        <f t="shared" si="324"/>
        <v>0.06955665024630675</v>
      </c>
      <c r="V144" s="1327">
        <f t="shared" si="324"/>
        <v>0.19671149594694204</v>
      </c>
      <c r="W144" s="725">
        <f t="shared" si="324"/>
        <v>-0.00090702947845811011</v>
      </c>
      <c r="X144" s="725">
        <f t="shared" si="324"/>
        <v>0.18367628780555179</v>
      </c>
      <c r="Y144" s="725">
        <f t="shared" si="324"/>
        <v>0.23257202567547397</v>
      </c>
      <c r="Z144" s="725">
        <f t="shared" si="324"/>
        <v>0.41672807663964573</v>
      </c>
      <c r="AA144" s="1327">
        <f t="shared" si="324"/>
        <v>0.19797559943039666</v>
      </c>
      <c r="AB144" s="725">
        <f t="shared" si="324"/>
        <v>0.40248146466939017</v>
      </c>
      <c r="AC144" s="725">
        <f t="shared" si="324"/>
        <v>0.21946097304865253</v>
      </c>
      <c r="AD144" s="725">
        <f t="shared" si="324"/>
        <v>0.31246215332445204</v>
      </c>
      <c r="AE144" s="725">
        <f t="shared" si="324"/>
        <v>0.22314694408322477</v>
      </c>
      <c r="AF144" s="1327">
        <f t="shared" si="324"/>
        <v>0.283901436052302</v>
      </c>
      <c r="AG144" s="725">
        <f t="shared" si="324"/>
        <v>0.25709353759844644</v>
      </c>
      <c r="AH144" s="725">
        <f t="shared" si="324"/>
        <v>0.13155376961347121</v>
      </c>
      <c r="AI144" s="725">
        <f t="shared" si="324"/>
        <v>0.11156224047245544</v>
      </c>
      <c r="AJ144" s="725">
        <f t="shared" si="324"/>
        <v>0.31756325749521608</v>
      </c>
      <c r="AK144" s="1327">
        <f t="shared" si="324"/>
        <v>0.19902912621359214</v>
      </c>
      <c r="AL144" s="725">
        <f t="shared" si="324"/>
        <v>-0.018108479231033425</v>
      </c>
      <c r="AM144" s="725">
        <f t="shared" si="324"/>
        <v>0.010484484653758175</v>
      </c>
      <c r="AN144" s="725">
        <f t="shared" si="324"/>
        <v>0.33646023576290895</v>
      </c>
      <c r="AO144" s="725">
        <f t="shared" si="324"/>
        <v>0.1023965141612202</v>
      </c>
      <c r="AP144" s="1327">
        <f t="shared" si="324"/>
        <v>0.10924913393714264</v>
      </c>
      <c r="AQ144" s="725">
        <f t="shared" si="324"/>
        <v>0.56813215628004543</v>
      </c>
      <c r="AR144" s="725">
        <f t="shared" si="324"/>
        <v>0.662036649652749</v>
      </c>
      <c r="AS144" s="725">
        <f t="shared" si="324"/>
        <v>0.47468786881172731</v>
      </c>
      <c r="AT144" s="725">
        <f t="shared" si="324"/>
        <v>0.36246523203044889</v>
      </c>
      <c r="AU144" s="1327">
        <f t="shared" si="324"/>
        <v>0.50808044701145727</v>
      </c>
      <c r="AV144" s="725">
        <f t="shared" si="325" ref="AV144:AZ144">AV143/AQ143-1</f>
        <v>0.63073407279415861</v>
      </c>
      <c r="AW144" s="725">
        <f t="shared" si="325"/>
        <v>0.16236218093943511</v>
      </c>
      <c r="AX144" s="725">
        <f t="shared" si="325"/>
        <v>-0.13066003959395134</v>
      </c>
      <c r="AY144" s="725">
        <f t="shared" si="325"/>
        <v>0.12839798001504255</v>
      </c>
      <c r="AZ144" s="1327">
        <f t="shared" si="325"/>
        <v>0.17251961726069442</v>
      </c>
      <c r="BA144" s="725">
        <f t="shared" si="326" ref="BA144:BO144">BA143/AV143-1</f>
        <v>0.15080151758553528</v>
      </c>
      <c r="BB144" s="725">
        <f t="shared" si="326"/>
        <v>0.024948024948024949</v>
      </c>
      <c r="BC144" s="725">
        <f t="shared" si="326"/>
        <v>0.073162459421483694</v>
      </c>
      <c r="BD144" s="725">
        <f t="shared" si="326"/>
        <v>0.042706151209292997</v>
      </c>
      <c r="BE144" s="1327">
        <f t="shared" si="326"/>
        <v>0.078680257054092095</v>
      </c>
      <c r="BF144" s="725">
        <f>BF143/BA143-1</f>
        <v>0.11310107220291665</v>
      </c>
      <c r="BG144" s="725">
        <f>BG143/BB143-1</f>
        <v>0.060049019607843146</v>
      </c>
      <c r="BH144" s="809">
        <f>BH143/BC143-1</f>
        <v>0.073773082306199056</v>
      </c>
      <c r="BI144" s="98">
        <f t="shared" si="326"/>
        <v>0.082596504815313887</v>
      </c>
      <c r="BJ144" s="1326">
        <f t="shared" si="326"/>
        <v>0.085536490851130687</v>
      </c>
      <c r="BK144" s="98">
        <f t="shared" si="326"/>
        <v>-0.002183739389824968</v>
      </c>
      <c r="BL144" s="98">
        <f t="shared" si="326"/>
        <v>0.020220977921641792</v>
      </c>
      <c r="BM144" s="98">
        <f t="shared" si="326"/>
        <v>0.026877532925491554</v>
      </c>
      <c r="BN144" s="98">
        <f t="shared" si="326"/>
        <v>0.1396676139397266</v>
      </c>
      <c r="BO144" s="1326">
        <f t="shared" si="326"/>
        <v>0.03976325775735412</v>
      </c>
      <c r="BP144" s="1325">
        <f>BP143/BO143-1</f>
        <v>0.071302082397581179</v>
      </c>
      <c r="BQ144" s="1325">
        <f>BQ143/BP143-1</f>
        <v>0.040399999999999991</v>
      </c>
      <c r="BR144" s="1326">
        <f>BR143/BQ143-1</f>
        <v>0.040400000000000214</v>
      </c>
      <c r="BS144" s="648"/>
    </row>
    <row r="145" spans="1:71" s="669" customFormat="1" ht="7.5" customHeight="1" hidden="1" outlineLevel="2">
      <c r="A145" s="107"/>
      <c r="B145" s="108"/>
      <c r="C145" s="1325"/>
      <c r="D145" s="1325"/>
      <c r="E145" s="1325"/>
      <c r="F145" s="1325"/>
      <c r="G145" s="1325"/>
      <c r="H145" s="726"/>
      <c r="I145" s="726"/>
      <c r="J145" s="726"/>
      <c r="K145" s="726"/>
      <c r="L145" s="1325"/>
      <c r="M145" s="726"/>
      <c r="N145" s="726"/>
      <c r="O145" s="726"/>
      <c r="P145" s="726"/>
      <c r="Q145" s="1325"/>
      <c r="R145" s="726"/>
      <c r="S145" s="726"/>
      <c r="T145" s="726"/>
      <c r="U145" s="726"/>
      <c r="V145" s="1325"/>
      <c r="W145" s="726"/>
      <c r="X145" s="726"/>
      <c r="Y145" s="726"/>
      <c r="Z145" s="726"/>
      <c r="AA145" s="1325"/>
      <c r="AB145" s="726"/>
      <c r="AC145" s="726"/>
      <c r="AD145" s="726"/>
      <c r="AE145" s="726"/>
      <c r="AF145" s="1325"/>
      <c r="AG145" s="726"/>
      <c r="AH145" s="726"/>
      <c r="AI145" s="726"/>
      <c r="AJ145" s="726"/>
      <c r="AK145" s="1325"/>
      <c r="AL145" s="726"/>
      <c r="AM145" s="726"/>
      <c r="AN145" s="726"/>
      <c r="AO145" s="726"/>
      <c r="AP145" s="1325"/>
      <c r="AQ145" s="726"/>
      <c r="AR145" s="726"/>
      <c r="AS145" s="726"/>
      <c r="AT145" s="726"/>
      <c r="AU145" s="1325"/>
      <c r="AV145" s="726"/>
      <c r="AW145" s="726"/>
      <c r="AX145" s="726"/>
      <c r="AY145" s="726"/>
      <c r="AZ145" s="1325"/>
      <c r="BA145" s="726"/>
      <c r="BB145" s="726"/>
      <c r="BC145" s="726"/>
      <c r="BD145" s="726"/>
      <c r="BE145" s="1325"/>
      <c r="BF145" s="726"/>
      <c r="BG145" s="726"/>
      <c r="BH145" s="808"/>
      <c r="BI145" s="98"/>
      <c r="BJ145" s="1326"/>
      <c r="BK145" s="98"/>
      <c r="BL145" s="98"/>
      <c r="BM145" s="98"/>
      <c r="BN145" s="98"/>
      <c r="BO145" s="1326"/>
      <c r="BP145" s="1325"/>
      <c r="BQ145" s="1325"/>
      <c r="BR145" s="1326"/>
      <c r="BS145" s="648"/>
    </row>
    <row r="146" spans="1:71" s="676" customFormat="1" ht="15" hidden="1" outlineLevel="2">
      <c r="A146" s="24" t="s">
        <v>470</v>
      </c>
      <c r="B146" s="397"/>
      <c r="C146" s="1352">
        <f t="shared" si="327" ref="C146:AU146">C148/C143</f>
        <v>1.0582828085272833</v>
      </c>
      <c r="D146" s="1352">
        <f t="shared" si="327"/>
        <v>1.0170403587443946</v>
      </c>
      <c r="E146" s="1352">
        <f t="shared" si="327"/>
        <v>0.9562015251254643</v>
      </c>
      <c r="F146" s="1352">
        <f t="shared" si="327"/>
        <v>0.94993951264473753</v>
      </c>
      <c r="G146" s="1352">
        <f t="shared" si="327"/>
        <v>0.99497317142050268</v>
      </c>
      <c r="H146" s="197">
        <f t="shared" si="327"/>
        <v>0.94608055435253346</v>
      </c>
      <c r="I146" s="197">
        <f t="shared" si="327"/>
        <v>0.88066167782591565</v>
      </c>
      <c r="J146" s="197">
        <f t="shared" si="327"/>
        <v>0.98403107466551576</v>
      </c>
      <c r="K146" s="197">
        <f t="shared" si="327"/>
        <v>1.0756920415224913</v>
      </c>
      <c r="L146" s="1352">
        <f t="shared" si="327"/>
        <v>0.96945235834124721</v>
      </c>
      <c r="M146" s="197">
        <f t="shared" si="327"/>
        <v>0.87817736772735822</v>
      </c>
      <c r="N146" s="197">
        <f t="shared" si="327"/>
        <v>0.84551581130119224</v>
      </c>
      <c r="O146" s="197">
        <f t="shared" si="327"/>
        <v>0.92309081061563469</v>
      </c>
      <c r="P146" s="197">
        <f t="shared" si="327"/>
        <v>1.0421674876847302</v>
      </c>
      <c r="Q146" s="1352">
        <f t="shared" si="327"/>
        <v>0.91926123802505544</v>
      </c>
      <c r="R146" s="197">
        <f t="shared" si="327"/>
        <v>0.82962962962962961</v>
      </c>
      <c r="S146" s="197">
        <f t="shared" si="327"/>
        <v>0.81950006905123596</v>
      </c>
      <c r="T146" s="197">
        <f t="shared" si="327"/>
        <v>0.94073742349604428</v>
      </c>
      <c r="U146" s="197">
        <f t="shared" si="327"/>
        <v>1.1954679439941047</v>
      </c>
      <c r="V146" s="1352">
        <f t="shared" si="327"/>
        <v>0.93187853596582382</v>
      </c>
      <c r="W146" s="197">
        <f t="shared" si="327"/>
        <v>0.97669844151914065</v>
      </c>
      <c r="X146" s="197">
        <f t="shared" si="327"/>
        <v>0.78368918445922298</v>
      </c>
      <c r="Y146" s="197">
        <f t="shared" si="327"/>
        <v>0.86472084292115781</v>
      </c>
      <c r="Z146" s="197">
        <f t="shared" si="327"/>
        <v>0.99180754226267887</v>
      </c>
      <c r="AA146" s="1352">
        <f t="shared" si="327"/>
        <v>0.89758087833713507</v>
      </c>
      <c r="AB146" s="197">
        <f t="shared" si="327"/>
        <v>0.87237026647966343</v>
      </c>
      <c r="AC146" s="197">
        <f t="shared" si="327"/>
        <v>0.8460581706850363</v>
      </c>
      <c r="AD146" s="197">
        <f t="shared" si="327"/>
        <v>0.86702962074374823</v>
      </c>
      <c r="AE146" s="197">
        <f t="shared" si="327"/>
        <v>1.0401871146076973</v>
      </c>
      <c r="AF146" s="1352">
        <f t="shared" si="327"/>
        <v>0.90353818436592936</v>
      </c>
      <c r="AG146" s="197">
        <f t="shared" si="327"/>
        <v>0.86937864744249915</v>
      </c>
      <c r="AH146" s="197">
        <f t="shared" si="327"/>
        <v>0.90513232434260582</v>
      </c>
      <c r="AI146" s="197">
        <f t="shared" si="327"/>
        <v>0.91889423875145293</v>
      </c>
      <c r="AJ146" s="197">
        <f t="shared" si="327"/>
        <v>0.99830549503752131</v>
      </c>
      <c r="AK146" s="1352">
        <f t="shared" si="327"/>
        <v>0.92399515839559254</v>
      </c>
      <c r="AL146" s="197">
        <f t="shared" si="327"/>
        <v>1.0392448212568832</v>
      </c>
      <c r="AM146" s="197">
        <f t="shared" si="327"/>
        <v>0.94469082085181166</v>
      </c>
      <c r="AN146" s="197">
        <f t="shared" si="327"/>
        <v>0.75458102987763209</v>
      </c>
      <c r="AO146" s="197">
        <f t="shared" si="327"/>
        <v>0.98301859171424366</v>
      </c>
      <c r="AP146" s="1352">
        <f t="shared" si="327"/>
        <v>0.91731416853235004</v>
      </c>
      <c r="AQ146" s="197">
        <f t="shared" si="327"/>
        <v>0.79025695334708213</v>
      </c>
      <c r="AR146" s="197">
        <f t="shared" si="327"/>
        <v>0.81649297689170808</v>
      </c>
      <c r="AS146" s="197">
        <f t="shared" si="327"/>
        <v>0.79078387599511402</v>
      </c>
      <c r="AT146" s="197">
        <f t="shared" si="327"/>
        <v>1.0896099709895779</v>
      </c>
      <c r="AU146" s="1352">
        <f t="shared" si="327"/>
        <v>0.86642797440087826</v>
      </c>
      <c r="AV146" s="197">
        <f t="shared" si="328" ref="AV146:BA146">AV148/AV143</f>
        <v>0.72707386266534502</v>
      </c>
      <c r="AW146" s="197">
        <f t="shared" si="328"/>
        <v>0.99809424809424829</v>
      </c>
      <c r="AX146" s="197">
        <f t="shared" si="328"/>
        <v>1.1230679780997141</v>
      </c>
      <c r="AY146" s="197">
        <f t="shared" si="328"/>
        <v>1.1135021900590363</v>
      </c>
      <c r="AZ146" s="1352">
        <f t="shared" si="328"/>
        <v>0.96696386772779508</v>
      </c>
      <c r="BA146" s="197">
        <f t="shared" si="328"/>
        <v>0.69978318334372858</v>
      </c>
      <c r="BB146" s="197">
        <f t="shared" si="329" ref="BB146:BG146">BB148/BB143</f>
        <v>1.0370605138607165</v>
      </c>
      <c r="BC146" s="197">
        <f t="shared" si="329"/>
        <v>1.1226691949975167</v>
      </c>
      <c r="BD146" s="197">
        <f t="shared" si="329"/>
        <v>1.1880279439295023</v>
      </c>
      <c r="BE146" s="1352">
        <f t="shared" si="329"/>
        <v>0.97636684651272909</v>
      </c>
      <c r="BF146" s="197">
        <f t="shared" si="329"/>
        <v>0.68239186701176724</v>
      </c>
      <c r="BG146" s="197">
        <f t="shared" si="329"/>
        <v>1.0621885588997406</v>
      </c>
      <c r="BH146" s="815">
        <f>BH148/BH143</f>
        <v>1.1464911911869824</v>
      </c>
      <c r="BI146" s="1221">
        <v>0.90</v>
      </c>
      <c r="BJ146" s="1340">
        <f>BJ148/BJ143</f>
        <v>0.91613285057776273</v>
      </c>
      <c r="BK146" s="1221">
        <v>0.90</v>
      </c>
      <c r="BL146" s="1221">
        <v>0.90</v>
      </c>
      <c r="BM146" s="1221">
        <v>0.90</v>
      </c>
      <c r="BN146" s="1221">
        <v>0.90</v>
      </c>
      <c r="BO146" s="1340">
        <f>BO148/BO143</f>
        <v>0.89999999999999991</v>
      </c>
      <c r="BP146" s="1343">
        <v>0.92</v>
      </c>
      <c r="BQ146" s="1343">
        <v>0.92</v>
      </c>
      <c r="BR146" s="1344">
        <v>0.92</v>
      </c>
      <c r="BS146" s="648"/>
    </row>
    <row r="147" spans="1:71" s="669" customFormat="1" ht="7.5" customHeight="1" hidden="1" outlineLevel="2">
      <c r="A147" s="107"/>
      <c r="B147" s="108"/>
      <c r="C147" s="1325"/>
      <c r="D147" s="1325"/>
      <c r="E147" s="1325"/>
      <c r="F147" s="1325"/>
      <c r="G147" s="1325"/>
      <c r="H147" s="726"/>
      <c r="I147" s="726"/>
      <c r="J147" s="726"/>
      <c r="K147" s="726"/>
      <c r="L147" s="1325"/>
      <c r="M147" s="726"/>
      <c r="N147" s="726"/>
      <c r="O147" s="726"/>
      <c r="P147" s="726"/>
      <c r="Q147" s="1325"/>
      <c r="R147" s="726"/>
      <c r="S147" s="726"/>
      <c r="T147" s="726"/>
      <c r="U147" s="726"/>
      <c r="V147" s="1325"/>
      <c r="W147" s="726"/>
      <c r="X147" s="726"/>
      <c r="Y147" s="726"/>
      <c r="Z147" s="726"/>
      <c r="AA147" s="1325"/>
      <c r="AB147" s="726"/>
      <c r="AC147" s="726"/>
      <c r="AD147" s="726"/>
      <c r="AE147" s="726"/>
      <c r="AF147" s="1325"/>
      <c r="AG147" s="726"/>
      <c r="AH147" s="726"/>
      <c r="AI147" s="726"/>
      <c r="AJ147" s="726"/>
      <c r="AK147" s="1325"/>
      <c r="AL147" s="726"/>
      <c r="AM147" s="726"/>
      <c r="AN147" s="726"/>
      <c r="AO147" s="726"/>
      <c r="AP147" s="1325"/>
      <c r="AQ147" s="726"/>
      <c r="AR147" s="726"/>
      <c r="AS147" s="726"/>
      <c r="AT147" s="726"/>
      <c r="AU147" s="1325"/>
      <c r="AV147" s="726"/>
      <c r="AW147" s="726"/>
      <c r="AX147" s="726"/>
      <c r="AY147" s="726"/>
      <c r="AZ147" s="1325"/>
      <c r="BA147" s="726"/>
      <c r="BB147" s="726"/>
      <c r="BC147" s="726"/>
      <c r="BD147" s="726"/>
      <c r="BE147" s="1325"/>
      <c r="BF147" s="726"/>
      <c r="BG147" s="726"/>
      <c r="BH147" s="808"/>
      <c r="BI147" s="98"/>
      <c r="BJ147" s="1326"/>
      <c r="BK147" s="98"/>
      <c r="BL147" s="98"/>
      <c r="BM147" s="98"/>
      <c r="BN147" s="98"/>
      <c r="BO147" s="1326"/>
      <c r="BP147" s="1325"/>
      <c r="BQ147" s="1325"/>
      <c r="BR147" s="1326"/>
      <c r="BS147" s="648"/>
    </row>
    <row r="148" spans="1:71" s="668" customFormat="1" ht="15" hidden="1" outlineLevel="2">
      <c r="A148" s="25" t="s">
        <v>359</v>
      </c>
      <c r="B148" s="1005"/>
      <c r="C148" s="1348">
        <f t="shared" si="330" ref="C148:AU148">C233</f>
        <v>1623.30</v>
      </c>
      <c r="D148" s="1348">
        <f t="shared" si="330"/>
        <v>1474.20</v>
      </c>
      <c r="E148" s="1348">
        <f t="shared" si="330"/>
        <v>1467.10</v>
      </c>
      <c r="F148" s="1348">
        <f t="shared" si="330"/>
        <v>1649</v>
      </c>
      <c r="G148" s="1348">
        <f t="shared" si="330"/>
        <v>1761.60</v>
      </c>
      <c r="H148" s="1039">
        <f t="shared" si="330"/>
        <v>436.90</v>
      </c>
      <c r="I148" s="1039">
        <f t="shared" si="330"/>
        <v>447.20</v>
      </c>
      <c r="J148" s="1039">
        <f t="shared" si="330"/>
        <v>456</v>
      </c>
      <c r="K148" s="1039">
        <f t="shared" si="330"/>
        <v>497.40000000000009</v>
      </c>
      <c r="L148" s="1348">
        <f t="shared" si="330"/>
        <v>1837.50</v>
      </c>
      <c r="M148" s="1039">
        <f t="shared" si="330"/>
        <v>466.40</v>
      </c>
      <c r="N148" s="1039">
        <f t="shared" si="330"/>
        <v>489.30</v>
      </c>
      <c r="O148" s="1039">
        <f t="shared" si="330"/>
        <v>511.30</v>
      </c>
      <c r="P148" s="1039">
        <f t="shared" si="330"/>
        <v>528.90000000000009</v>
      </c>
      <c r="Q148" s="1348">
        <f t="shared" si="330"/>
        <v>1995.90</v>
      </c>
      <c r="R148" s="1039">
        <f t="shared" si="330"/>
        <v>548.79999999999995</v>
      </c>
      <c r="S148" s="1039">
        <f t="shared" si="330"/>
        <v>593.40</v>
      </c>
      <c r="T148" s="1039">
        <f t="shared" si="330"/>
        <v>630.20000000000005</v>
      </c>
      <c r="U148" s="1039">
        <f t="shared" si="330"/>
        <v>648.90000000000032</v>
      </c>
      <c r="V148" s="1348">
        <f t="shared" si="330"/>
        <v>2421.3000000000002</v>
      </c>
      <c r="W148" s="1039">
        <f t="shared" si="330"/>
        <v>645.50</v>
      </c>
      <c r="X148" s="1039">
        <f t="shared" si="330"/>
        <v>671.70</v>
      </c>
      <c r="Y148" s="1039">
        <f t="shared" si="330"/>
        <v>714</v>
      </c>
      <c r="Z148" s="1039">
        <f t="shared" si="330"/>
        <v>762.70</v>
      </c>
      <c r="AA148" s="1348">
        <f t="shared" si="330"/>
        <v>2793.90</v>
      </c>
      <c r="AB148" s="1039">
        <f t="shared" si="330"/>
        <v>808.60</v>
      </c>
      <c r="AC148" s="1039">
        <f t="shared" si="330"/>
        <v>884.30</v>
      </c>
      <c r="AD148" s="1039">
        <f t="shared" si="330"/>
        <v>939.60</v>
      </c>
      <c r="AE148" s="1039">
        <f t="shared" si="330"/>
        <v>978.40000000000009</v>
      </c>
      <c r="AF148" s="1348">
        <f t="shared" si="330"/>
        <v>3610.90</v>
      </c>
      <c r="AG148" s="1039">
        <f t="shared" si="330"/>
        <v>1013</v>
      </c>
      <c r="AH148" s="1039">
        <f t="shared" si="330"/>
        <v>1070.50</v>
      </c>
      <c r="AI148" s="1039">
        <f t="shared" si="330"/>
        <v>1106.9000000000001</v>
      </c>
      <c r="AJ148" s="1039">
        <f t="shared" si="330"/>
        <v>1237.2000000000003</v>
      </c>
      <c r="AK148" s="1348">
        <f t="shared" si="330"/>
        <v>4427.6000000000004</v>
      </c>
      <c r="AL148" s="1039">
        <f t="shared" si="330"/>
        <v>1189</v>
      </c>
      <c r="AM148" s="1039">
        <f t="shared" si="330"/>
        <v>1129</v>
      </c>
      <c r="AN148" s="1039">
        <f t="shared" si="330"/>
        <v>1214.80</v>
      </c>
      <c r="AO148" s="1039">
        <f t="shared" si="330"/>
        <v>1343</v>
      </c>
      <c r="AP148" s="1348">
        <f t="shared" si="330"/>
        <v>4875.80</v>
      </c>
      <c r="AQ148" s="1039">
        <f t="shared" si="330"/>
        <v>1417.80</v>
      </c>
      <c r="AR148" s="1039">
        <f t="shared" si="330"/>
        <v>1621.80</v>
      </c>
      <c r="AS148" s="1039">
        <f t="shared" si="330"/>
        <v>1877.40</v>
      </c>
      <c r="AT148" s="1039">
        <f t="shared" si="330"/>
        <v>2028.1999999999998</v>
      </c>
      <c r="AU148" s="1348">
        <f t="shared" si="330"/>
        <v>6945.20</v>
      </c>
      <c r="AV148" s="1039">
        <f t="shared" si="331" ref="AV148:BA148">AV233</f>
        <v>2127.1999999999998</v>
      </c>
      <c r="AW148" s="1039">
        <f t="shared" si="331"/>
        <v>2304.4000000000005</v>
      </c>
      <c r="AX148" s="1039">
        <f t="shared" si="331"/>
        <v>2317.90</v>
      </c>
      <c r="AY148" s="1039">
        <f t="shared" si="331"/>
        <v>2338.7999999999993</v>
      </c>
      <c r="AZ148" s="1348">
        <f t="shared" si="331"/>
        <v>9088.2999999999993</v>
      </c>
      <c r="BA148" s="1039">
        <f t="shared" si="331"/>
        <v>2356.10</v>
      </c>
      <c r="BB148" s="1039">
        <f t="shared" si="332" ref="BB148:BG148">BB233</f>
        <v>2454.10</v>
      </c>
      <c r="BC148" s="1039">
        <f t="shared" si="332"/>
        <v>2486.60</v>
      </c>
      <c r="BD148" s="1039">
        <f t="shared" si="332"/>
        <v>2601.9000000000015</v>
      </c>
      <c r="BE148" s="1348">
        <f t="shared" si="332"/>
        <v>9898.7000000000007</v>
      </c>
      <c r="BF148" s="1039">
        <f t="shared" si="332"/>
        <v>2557.40</v>
      </c>
      <c r="BG148" s="1039">
        <f t="shared" si="332"/>
        <v>2664.4999999999995</v>
      </c>
      <c r="BH148" s="1040">
        <f>BH233</f>
        <v>2726.7000000000003</v>
      </c>
      <c r="BI148" s="1023">
        <f>BI143*BI146</f>
        <v>2133.8951446764158</v>
      </c>
      <c r="BJ148" s="1321">
        <f>SUM(BF148,BG148,BH148,BI148)</f>
        <v>10082.495144676417</v>
      </c>
      <c r="BK148" s="1023">
        <f>BK143*BK146</f>
        <v>3365.5643998998776</v>
      </c>
      <c r="BL148" s="1023">
        <f>BL143*BL146</f>
        <v>2303.3018908047948</v>
      </c>
      <c r="BM148" s="1023">
        <f>BM143*BM146</f>
        <v>2198.0005529010268</v>
      </c>
      <c r="BN148" s="1023">
        <f>BN143*BN146</f>
        <v>2431.931187930938</v>
      </c>
      <c r="BO148" s="1321">
        <f>SUM(BK148,BL148,BM148,BN148)</f>
        <v>10298.798031536637</v>
      </c>
      <c r="BP148" s="1322">
        <f>BP143*BP146</f>
        <v>11278.304305763473</v>
      </c>
      <c r="BQ148" s="1322">
        <f>BQ143*BQ146</f>
        <v>11733.947799716316</v>
      </c>
      <c r="BR148" s="1321">
        <f>BR143*BR146</f>
        <v>12207.999290824859</v>
      </c>
      <c r="BS148" s="648"/>
    </row>
    <row r="149" spans="1:71" s="669" customFormat="1" ht="15" hidden="1" outlineLevel="2">
      <c r="A149" s="107" t="s">
        <v>539</v>
      </c>
      <c r="B149" s="108"/>
      <c r="C149" s="1325"/>
      <c r="D149" s="1325"/>
      <c r="E149" s="1325"/>
      <c r="F149" s="1325"/>
      <c r="G149" s="1325"/>
      <c r="H149" s="726"/>
      <c r="I149" s="726"/>
      <c r="J149" s="726"/>
      <c r="K149" s="726"/>
      <c r="L149" s="1325"/>
      <c r="M149" s="726"/>
      <c r="N149" s="726"/>
      <c r="O149" s="726"/>
      <c r="P149" s="726"/>
      <c r="Q149" s="1325"/>
      <c r="R149" s="726"/>
      <c r="S149" s="725">
        <f t="shared" si="333" ref="S149:AU149">S148/N148-1</f>
        <v>0.21275291232372773</v>
      </c>
      <c r="T149" s="725">
        <f t="shared" si="333"/>
        <v>0.23254449442597314</v>
      </c>
      <c r="U149" s="725">
        <f t="shared" si="333"/>
        <v>0.22688598979013075</v>
      </c>
      <c r="V149" s="1327">
        <f t="shared" si="333"/>
        <v>0.21313693070795137</v>
      </c>
      <c r="W149" s="725">
        <f t="shared" si="333"/>
        <v>0.1762026239067056</v>
      </c>
      <c r="X149" s="725">
        <f t="shared" si="333"/>
        <v>0.1319514661274015</v>
      </c>
      <c r="Y149" s="725">
        <f t="shared" si="333"/>
        <v>0.13297365915582349</v>
      </c>
      <c r="Z149" s="725">
        <f t="shared" si="333"/>
        <v>0.17537370935429131</v>
      </c>
      <c r="AA149" s="1327">
        <f t="shared" si="333"/>
        <v>0.15388427704125873</v>
      </c>
      <c r="AB149" s="725">
        <f t="shared" si="333"/>
        <v>0.2526723470178156</v>
      </c>
      <c r="AC149" s="725">
        <f t="shared" si="333"/>
        <v>0.31651034688104795</v>
      </c>
      <c r="AD149" s="725">
        <f t="shared" si="333"/>
        <v>0.31596638655462184</v>
      </c>
      <c r="AE149" s="725">
        <f t="shared" si="333"/>
        <v>0.28281106594991479</v>
      </c>
      <c r="AF149" s="1327">
        <f t="shared" si="333"/>
        <v>0.29242277819535412</v>
      </c>
      <c r="AG149" s="725">
        <f t="shared" si="333"/>
        <v>0.25278258718773183</v>
      </c>
      <c r="AH149" s="725">
        <f t="shared" si="333"/>
        <v>0.21056202646160815</v>
      </c>
      <c r="AI149" s="725">
        <f t="shared" si="333"/>
        <v>0.17805449127288209</v>
      </c>
      <c r="AJ149" s="725">
        <f t="shared" si="333"/>
        <v>0.2645134914145546</v>
      </c>
      <c r="AK149" s="1327">
        <f t="shared" si="333"/>
        <v>0.22617629953751139</v>
      </c>
      <c r="AL149" s="725">
        <f t="shared" si="333"/>
        <v>0.17374136229022707</v>
      </c>
      <c r="AM149" s="725">
        <f t="shared" si="333"/>
        <v>0.054647361046240128</v>
      </c>
      <c r="AN149" s="725">
        <f t="shared" si="333"/>
        <v>0.09747944710452594</v>
      </c>
      <c r="AO149" s="725">
        <f t="shared" si="333"/>
        <v>0.085515680569026697</v>
      </c>
      <c r="AP149" s="1327">
        <f t="shared" si="333"/>
        <v>0.1012286566085463</v>
      </c>
      <c r="AQ149" s="725">
        <f t="shared" si="333"/>
        <v>0.19243061396131189</v>
      </c>
      <c r="AR149" s="725">
        <f t="shared" si="333"/>
        <v>0.43649247121346324</v>
      </c>
      <c r="AS149" s="725">
        <f t="shared" si="333"/>
        <v>0.54543957853144565</v>
      </c>
      <c r="AT149" s="725">
        <f t="shared" si="333"/>
        <v>0.51020104244229314</v>
      </c>
      <c r="AU149" s="1327">
        <f t="shared" si="333"/>
        <v>0.42442265884572783</v>
      </c>
      <c r="AV149" s="725">
        <f t="shared" si="334" ref="AV149:AZ149">AV148/AQ148-1</f>
        <v>0.5003526590492311</v>
      </c>
      <c r="AW149" s="725">
        <f t="shared" si="334"/>
        <v>0.42089036872610719</v>
      </c>
      <c r="AX149" s="725">
        <f t="shared" si="334"/>
        <v>0.23463300308937884</v>
      </c>
      <c r="AY149" s="725">
        <f t="shared" si="334"/>
        <v>0.15314071590572897</v>
      </c>
      <c r="AZ149" s="1327">
        <f t="shared" si="334"/>
        <v>0.30857282727639235</v>
      </c>
      <c r="BA149" s="725">
        <f t="shared" si="335" ref="BA149:BO149">BA148/AV148-1</f>
        <v>0.10760624294847698</v>
      </c>
      <c r="BB149" s="725">
        <f t="shared" si="335"/>
        <v>0.064962680090261848</v>
      </c>
      <c r="BC149" s="725">
        <f t="shared" si="335"/>
        <v>0.072781396954139543</v>
      </c>
      <c r="BD149" s="725">
        <f t="shared" si="335"/>
        <v>0.11249358645459306</v>
      </c>
      <c r="BE149" s="1327">
        <f t="shared" si="335"/>
        <v>0.089169591672810355</v>
      </c>
      <c r="BF149" s="725">
        <f>BF148/BA148-1</f>
        <v>0.085437799753830479</v>
      </c>
      <c r="BG149" s="725">
        <f>BG148/BB148-1</f>
        <v>0.08573407766594654</v>
      </c>
      <c r="BH149" s="809">
        <f>BH148/BC148-1</f>
        <v>0.096557548459744291</v>
      </c>
      <c r="BI149" s="98">
        <f t="shared" si="335"/>
        <v>-0.17987042366101136</v>
      </c>
      <c r="BJ149" s="1326">
        <f t="shared" si="335"/>
        <v>0.018567604299192464</v>
      </c>
      <c r="BK149" s="98">
        <f t="shared" si="335"/>
        <v>0.316010166536278</v>
      </c>
      <c r="BL149" s="98">
        <f t="shared" si="335"/>
        <v>-0.13555943298750417</v>
      </c>
      <c r="BM149" s="98">
        <f t="shared" si="335"/>
        <v>-0.19389718234458264</v>
      </c>
      <c r="BN149" s="98">
        <f t="shared" si="335"/>
        <v>0.13966761393972638</v>
      </c>
      <c r="BO149" s="1326">
        <f t="shared" si="335"/>
        <v>0.021453309300568213</v>
      </c>
      <c r="BP149" s="1325">
        <f>BP148/BO148-1</f>
        <v>0.095108795339749808</v>
      </c>
      <c r="BQ149" s="1325">
        <f>BQ148/BP148-1</f>
        <v>0.040399999999999769</v>
      </c>
      <c r="BR149" s="1326">
        <f>BR148/BQ148-1</f>
        <v>0.040400000000000214</v>
      </c>
      <c r="BS149" s="648"/>
    </row>
    <row r="150" spans="1:71" s="669" customFormat="1" ht="7.5" customHeight="1" hidden="1" outlineLevel="2">
      <c r="A150" s="107"/>
      <c r="B150" s="108"/>
      <c r="C150" s="1325"/>
      <c r="D150" s="1325"/>
      <c r="E150" s="1325"/>
      <c r="F150" s="1325"/>
      <c r="G150" s="1325"/>
      <c r="H150" s="726"/>
      <c r="I150" s="726"/>
      <c r="J150" s="726"/>
      <c r="K150" s="726"/>
      <c r="L150" s="1325"/>
      <c r="M150" s="726"/>
      <c r="N150" s="726"/>
      <c r="O150" s="726"/>
      <c r="P150" s="726"/>
      <c r="Q150" s="1325"/>
      <c r="R150" s="726"/>
      <c r="S150" s="726"/>
      <c r="T150" s="726"/>
      <c r="U150" s="726"/>
      <c r="V150" s="1325"/>
      <c r="W150" s="726"/>
      <c r="X150" s="726"/>
      <c r="Y150" s="726"/>
      <c r="Z150" s="726"/>
      <c r="AA150" s="1325"/>
      <c r="AB150" s="726"/>
      <c r="AC150" s="726"/>
      <c r="AD150" s="726"/>
      <c r="AE150" s="726"/>
      <c r="AF150" s="1325"/>
      <c r="AG150" s="726"/>
      <c r="AH150" s="726"/>
      <c r="AI150" s="726"/>
      <c r="AJ150" s="726"/>
      <c r="AK150" s="1325"/>
      <c r="AL150" s="726"/>
      <c r="AM150" s="726"/>
      <c r="AN150" s="726"/>
      <c r="AO150" s="726"/>
      <c r="AP150" s="1325"/>
      <c r="AQ150" s="726"/>
      <c r="AR150" s="726"/>
      <c r="AS150" s="726"/>
      <c r="AT150" s="726"/>
      <c r="AU150" s="1325"/>
      <c r="AV150" s="726"/>
      <c r="AW150" s="726"/>
      <c r="AX150" s="726"/>
      <c r="AY150" s="726"/>
      <c r="AZ150" s="1325"/>
      <c r="BA150" s="726"/>
      <c r="BB150" s="726"/>
      <c r="BC150" s="726"/>
      <c r="BD150" s="726"/>
      <c r="BE150" s="1325"/>
      <c r="BF150" s="726"/>
      <c r="BG150" s="726"/>
      <c r="BH150" s="808"/>
      <c r="BI150" s="98"/>
      <c r="BJ150" s="1326"/>
      <c r="BK150" s="98"/>
      <c r="BL150" s="98"/>
      <c r="BM150" s="98"/>
      <c r="BN150" s="98"/>
      <c r="BO150" s="1326"/>
      <c r="BP150" s="1325"/>
      <c r="BQ150" s="1325"/>
      <c r="BR150" s="1326"/>
      <c r="BS150" s="648"/>
    </row>
    <row r="151" spans="1:71" s="665" customFormat="1" ht="15" hidden="1" outlineLevel="2">
      <c r="A151" s="307" t="s">
        <v>581</v>
      </c>
      <c r="B151" s="308"/>
      <c r="C151" s="1351"/>
      <c r="D151" s="1351"/>
      <c r="E151" s="1351"/>
      <c r="F151" s="1351"/>
      <c r="G151" s="1351"/>
      <c r="H151" s="1047"/>
      <c r="I151" s="1047"/>
      <c r="J151" s="1047"/>
      <c r="K151" s="1047"/>
      <c r="L151" s="1351"/>
      <c r="M151" s="1047"/>
      <c r="N151" s="1047"/>
      <c r="O151" s="1047"/>
      <c r="P151" s="1047"/>
      <c r="Q151" s="1351"/>
      <c r="R151" s="1047"/>
      <c r="S151" s="1047"/>
      <c r="T151" s="1047"/>
      <c r="U151" s="1047"/>
      <c r="V151" s="1351"/>
      <c r="W151" s="1047"/>
      <c r="X151" s="1047"/>
      <c r="Y151" s="1047"/>
      <c r="Z151" s="1047"/>
      <c r="AA151" s="1351"/>
      <c r="AB151" s="1047"/>
      <c r="AC151" s="1047"/>
      <c r="AD151" s="1047"/>
      <c r="AE151" s="1047"/>
      <c r="AF151" s="1351"/>
      <c r="AG151" s="1042">
        <f>AG153-AG152</f>
        <v>633.65099999999995</v>
      </c>
      <c r="AH151" s="1042">
        <f t="shared" si="336" ref="AH151:AU151">AH153-AH152</f>
        <v>715.64650000000006</v>
      </c>
      <c r="AI151" s="1042">
        <f t="shared" si="336"/>
        <v>795.78180000000009</v>
      </c>
      <c r="AJ151" s="1042">
        <f t="shared" si="336"/>
        <v>874.22670000000028</v>
      </c>
      <c r="AK151" s="1349">
        <f t="shared" si="336"/>
        <v>3019.3060000000005</v>
      </c>
      <c r="AL151" s="1042">
        <f t="shared" si="336"/>
        <v>808.40900000000011</v>
      </c>
      <c r="AM151" s="1042">
        <f t="shared" si="336"/>
        <v>640.61699999999996</v>
      </c>
      <c r="AN151" s="1042">
        <f t="shared" si="336"/>
        <v>805.65680000000009</v>
      </c>
      <c r="AO151" s="1042">
        <f t="shared" si="336"/>
        <v>875.40820000000008</v>
      </c>
      <c r="AP151" s="1349">
        <f t="shared" si="336"/>
        <v>3130.0909999999999</v>
      </c>
      <c r="AQ151" s="1042">
        <f t="shared" si="336"/>
        <v>898.50300000000004</v>
      </c>
      <c r="AR151" s="1042">
        <f t="shared" si="336"/>
        <v>1157.8524</v>
      </c>
      <c r="AS151" s="1042">
        <f t="shared" si="336"/>
        <v>1306.2348</v>
      </c>
      <c r="AT151" s="1042">
        <f t="shared" si="336"/>
        <v>1423.7333999999996</v>
      </c>
      <c r="AU151" s="1349">
        <f t="shared" si="336"/>
        <v>4786.3235999999997</v>
      </c>
      <c r="AV151" s="1042">
        <f t="shared" si="337" ref="AV151:BA151">AV153-AV152</f>
        <v>1507.5119999999999</v>
      </c>
      <c r="AW151" s="1042">
        <f t="shared" si="337"/>
        <v>1612.6976000000004</v>
      </c>
      <c r="AX151" s="1042">
        <f t="shared" si="337"/>
        <v>1617.4195</v>
      </c>
      <c r="AY151" s="1042">
        <f t="shared" si="337"/>
        <v>1726.1053999999988</v>
      </c>
      <c r="AZ151" s="1349">
        <f t="shared" si="337"/>
        <v>6463.7344999999996</v>
      </c>
      <c r="BA151" s="1042">
        <f t="shared" si="337"/>
        <v>1794.2042999999999</v>
      </c>
      <c r="BB151" s="1042">
        <f t="shared" si="338" ref="BB151:BG151">BB153-BB152</f>
        <v>1875.6651999999999</v>
      </c>
      <c r="BC151" s="1042">
        <f t="shared" si="338"/>
        <v>1969.3202000000001</v>
      </c>
      <c r="BD151" s="1042">
        <f t="shared" si="338"/>
        <v>2139.5833000000002</v>
      </c>
      <c r="BE151" s="1349">
        <f t="shared" si="338"/>
        <v>7778.773000000001</v>
      </c>
      <c r="BF151" s="1042">
        <f t="shared" si="338"/>
        <v>1842.6576</v>
      </c>
      <c r="BG151" s="1042">
        <f t="shared" si="338"/>
        <v>1828.5919999999994</v>
      </c>
      <c r="BH151" s="1043">
        <f>BH153-BH152</f>
        <v>1855.8031000000001</v>
      </c>
      <c r="BI151" s="1044">
        <f>BI155*BI148</f>
        <v>1493.726601273491</v>
      </c>
      <c r="BJ151" s="1350">
        <f>SUM(BF151,BG151,BH151,BI151)</f>
        <v>7020.7793012734901</v>
      </c>
      <c r="BK151" s="1044">
        <f>BK155*BK148</f>
        <v>2355.8950799299141</v>
      </c>
      <c r="BL151" s="1044">
        <f>BL155*BL148</f>
        <v>1612.3113235633562</v>
      </c>
      <c r="BM151" s="1044">
        <f>BM155*BM148</f>
        <v>1538.6003870307186</v>
      </c>
      <c r="BN151" s="1044">
        <f>BN155*BN148</f>
        <v>1702.3518315516565</v>
      </c>
      <c r="BO151" s="1350">
        <f>SUM(BK151,BL151,BM151,BN151)</f>
        <v>7209.1586220756453</v>
      </c>
      <c r="BP151" s="1351">
        <f>BP155*BP148</f>
        <v>7894.813014034431</v>
      </c>
      <c r="BQ151" s="1351">
        <f>BQ155*BQ148</f>
        <v>8213.763459801421</v>
      </c>
      <c r="BR151" s="1350">
        <f>BR155*BR148</f>
        <v>8545.5995035774013</v>
      </c>
      <c r="BS151" s="648"/>
    </row>
    <row r="152" spans="1:71" s="665" customFormat="1" ht="15" hidden="1" outlineLevel="2">
      <c r="A152" s="524" t="s">
        <v>582</v>
      </c>
      <c r="B152" s="308"/>
      <c r="C152" s="1351"/>
      <c r="D152" s="1351"/>
      <c r="E152" s="1351"/>
      <c r="F152" s="1351"/>
      <c r="G152" s="1351"/>
      <c r="H152" s="1047"/>
      <c r="I152" s="1047"/>
      <c r="J152" s="1047"/>
      <c r="K152" s="1047"/>
      <c r="L152" s="1351"/>
      <c r="M152" s="1047"/>
      <c r="N152" s="1047"/>
      <c r="O152" s="1047"/>
      <c r="P152" s="1047"/>
      <c r="Q152" s="1351"/>
      <c r="R152" s="1047"/>
      <c r="S152" s="1047"/>
      <c r="T152" s="1047"/>
      <c r="U152" s="1047"/>
      <c r="V152" s="1351"/>
      <c r="W152" s="1047"/>
      <c r="X152" s="1047"/>
      <c r="Y152" s="1047"/>
      <c r="Z152" s="1047"/>
      <c r="AA152" s="1351"/>
      <c r="AB152" s="1047"/>
      <c r="AC152" s="1047"/>
      <c r="AD152" s="1047"/>
      <c r="AE152" s="1047"/>
      <c r="AF152" s="1351"/>
      <c r="AG152" s="1042">
        <f t="shared" si="339" ref="AG152:AU152">AG271</f>
        <v>1.50</v>
      </c>
      <c r="AH152" s="1042">
        <f t="shared" si="339"/>
        <v>4.80</v>
      </c>
      <c r="AI152" s="1042">
        <f t="shared" si="339"/>
        <v>3.40</v>
      </c>
      <c r="AJ152" s="1042">
        <f t="shared" si="339"/>
        <v>3.9000000000000004</v>
      </c>
      <c r="AK152" s="1349">
        <f t="shared" si="339"/>
        <v>13.60</v>
      </c>
      <c r="AL152" s="1042">
        <f t="shared" si="339"/>
        <v>1.30</v>
      </c>
      <c r="AM152" s="1042">
        <f t="shared" si="339"/>
        <v>6.30</v>
      </c>
      <c r="AN152" s="1042">
        <f t="shared" si="339"/>
        <v>3.40</v>
      </c>
      <c r="AO152" s="1042">
        <f t="shared" si="339"/>
        <v>3.8000000000000007</v>
      </c>
      <c r="AP152" s="1349">
        <f t="shared" si="339"/>
        <v>14.80</v>
      </c>
      <c r="AQ152" s="1042">
        <f t="shared" si="339"/>
        <v>1.80</v>
      </c>
      <c r="AR152" s="1042">
        <f t="shared" si="339"/>
        <v>6.60</v>
      </c>
      <c r="AS152" s="1042">
        <f t="shared" si="339"/>
        <v>11.70</v>
      </c>
      <c r="AT152" s="1042">
        <f t="shared" si="339"/>
        <v>6.5999999999999979</v>
      </c>
      <c r="AU152" s="1349">
        <f t="shared" si="339"/>
        <v>26.70</v>
      </c>
      <c r="AV152" s="1042">
        <f t="shared" si="340" ref="AV152:BA152">AV271</f>
        <v>2.80</v>
      </c>
      <c r="AW152" s="1042">
        <f t="shared" si="340"/>
        <v>9.60</v>
      </c>
      <c r="AX152" s="1042">
        <f t="shared" si="340"/>
        <v>16.70</v>
      </c>
      <c r="AY152" s="1042">
        <f t="shared" si="340"/>
        <v>5.3000000000000007</v>
      </c>
      <c r="AZ152" s="1349">
        <f t="shared" si="340"/>
        <v>34.40</v>
      </c>
      <c r="BA152" s="1042">
        <f t="shared" si="340"/>
        <v>3.50</v>
      </c>
      <c r="BB152" s="1042">
        <f t="shared" si="341" ref="BB152:BG152">BB271</f>
        <v>18.90</v>
      </c>
      <c r="BC152" s="1042">
        <f t="shared" si="341"/>
        <v>12.50</v>
      </c>
      <c r="BD152" s="1042">
        <f t="shared" si="341"/>
        <v>6.3000000000000043</v>
      </c>
      <c r="BE152" s="1349">
        <f t="shared" si="341"/>
        <v>41.20</v>
      </c>
      <c r="BF152" s="1042">
        <f t="shared" si="341"/>
        <v>8.90</v>
      </c>
      <c r="BG152" s="1042">
        <f t="shared" si="341"/>
        <v>25.90</v>
      </c>
      <c r="BH152" s="1043">
        <f>BH271</f>
        <v>33.799999999999997</v>
      </c>
      <c r="BI152" s="1044">
        <f>BI148*BI156</f>
        <v>10.66947572338208</v>
      </c>
      <c r="BJ152" s="1350">
        <f>SUM(BF152,BG152,BH152,BI152)</f>
        <v>79.269475723382072</v>
      </c>
      <c r="BK152" s="1044">
        <f>BK148*BK156</f>
        <v>16.827821999499388</v>
      </c>
      <c r="BL152" s="1044">
        <f>BL148*BL156</f>
        <v>11.516509454023973</v>
      </c>
      <c r="BM152" s="1044">
        <f>BM148*BM156</f>
        <v>10.990002764505133</v>
      </c>
      <c r="BN152" s="1044">
        <f>BN148*BN156</f>
        <v>12.159655939654691</v>
      </c>
      <c r="BO152" s="1350">
        <f>SUM(BK152,BL152,BM152,BN152)</f>
        <v>51.493990157683186</v>
      </c>
      <c r="BP152" s="1351">
        <f>BP148*BP156</f>
        <v>56.391521528817364</v>
      </c>
      <c r="BQ152" s="1351">
        <f>BQ148*BQ156</f>
        <v>58.669738998581579</v>
      </c>
      <c r="BR152" s="1350">
        <f>BR148*BR156</f>
        <v>61.039996454124292</v>
      </c>
      <c r="BS152" s="648"/>
    </row>
    <row r="153" spans="1:71" s="665" customFormat="1" ht="15" hidden="1" outlineLevel="2">
      <c r="A153" s="567" t="str">
        <f>A281</f>
        <v>Commercial Lines - Loss &amp; LAE (Calculated), mm</v>
      </c>
      <c r="B153" s="491"/>
      <c r="C153" s="1359">
        <f t="shared" si="342" ref="C153:AU153">C281</f>
        <v>1050.2751000000001</v>
      </c>
      <c r="D153" s="1359">
        <f t="shared" si="342"/>
        <v>959.70420000000001</v>
      </c>
      <c r="E153" s="1359">
        <f t="shared" si="342"/>
        <v>1010.8318999999999</v>
      </c>
      <c r="F153" s="1359">
        <f t="shared" si="342"/>
        <v>1197.174</v>
      </c>
      <c r="G153" s="1359">
        <f t="shared" si="342"/>
        <v>1266.5903999999998</v>
      </c>
      <c r="H153" s="1057">
        <f t="shared" si="342"/>
        <v>302.77169999999995</v>
      </c>
      <c r="I153" s="1057">
        <f t="shared" si="342"/>
        <v>269.66159999999996</v>
      </c>
      <c r="J153" s="1057">
        <f t="shared" si="342"/>
        <v>273.59999999999997</v>
      </c>
      <c r="K153" s="1057">
        <f t="shared" si="342"/>
        <v>287.70420000000013</v>
      </c>
      <c r="L153" s="1359">
        <f t="shared" si="342"/>
        <v>1133.7375</v>
      </c>
      <c r="M153" s="1057">
        <f t="shared" si="342"/>
        <v>284.50399999999996</v>
      </c>
      <c r="N153" s="1057">
        <f t="shared" si="342"/>
        <v>299.9409</v>
      </c>
      <c r="O153" s="1057">
        <f t="shared" si="342"/>
        <v>324.6755</v>
      </c>
      <c r="P153" s="1057">
        <f t="shared" si="342"/>
        <v>336.32120000000009</v>
      </c>
      <c r="Q153" s="1359">
        <f t="shared" si="342"/>
        <v>1245.4416000000001</v>
      </c>
      <c r="R153" s="1057">
        <f t="shared" si="342"/>
        <v>364.40319999999997</v>
      </c>
      <c r="S153" s="1057">
        <f t="shared" si="342"/>
        <v>426.06119999999999</v>
      </c>
      <c r="T153" s="1057">
        <f t="shared" si="342"/>
        <v>492.81640000000004</v>
      </c>
      <c r="U153" s="1057">
        <f t="shared" si="342"/>
        <v>457.63390000000004</v>
      </c>
      <c r="V153" s="1359">
        <f t="shared" si="342"/>
        <v>1740.9147</v>
      </c>
      <c r="W153" s="1057">
        <f t="shared" si="342"/>
        <v>436.358</v>
      </c>
      <c r="X153" s="1057">
        <f t="shared" si="342"/>
        <v>466.15980000000002</v>
      </c>
      <c r="Y153" s="1057">
        <f t="shared" si="342"/>
        <v>515.50800000000004</v>
      </c>
      <c r="Z153" s="1057">
        <f t="shared" si="342"/>
        <v>546.08589999999981</v>
      </c>
      <c r="AA153" s="1359">
        <f t="shared" si="342"/>
        <v>1964.1116999999999</v>
      </c>
      <c r="AB153" s="1057">
        <f t="shared" si="342"/>
        <v>544.99639999999999</v>
      </c>
      <c r="AC153" s="1057">
        <f t="shared" si="342"/>
        <v>607.51409999999998</v>
      </c>
      <c r="AD153" s="1057">
        <f t="shared" si="342"/>
        <v>635.16960000000006</v>
      </c>
      <c r="AE153" s="1057">
        <f t="shared" si="342"/>
        <v>606.34660000000031</v>
      </c>
      <c r="AF153" s="1359">
        <f t="shared" si="342"/>
        <v>2394.0267000000003</v>
      </c>
      <c r="AG153" s="1058">
        <f t="shared" si="342"/>
        <v>635.15099999999995</v>
      </c>
      <c r="AH153" s="1058">
        <f t="shared" si="342"/>
        <v>720.44650000000001</v>
      </c>
      <c r="AI153" s="1058">
        <f t="shared" si="342"/>
        <v>799.18180000000007</v>
      </c>
      <c r="AJ153" s="1058">
        <f t="shared" si="342"/>
        <v>878.12670000000026</v>
      </c>
      <c r="AK153" s="1360">
        <f t="shared" si="342"/>
        <v>3032.9060000000004</v>
      </c>
      <c r="AL153" s="1058">
        <f t="shared" si="342"/>
        <v>809.70900000000006</v>
      </c>
      <c r="AM153" s="1058">
        <f t="shared" si="342"/>
        <v>646.91699999999992</v>
      </c>
      <c r="AN153" s="1058">
        <f t="shared" si="342"/>
        <v>809.05680000000007</v>
      </c>
      <c r="AO153" s="1058">
        <f t="shared" si="342"/>
        <v>879.20820000000003</v>
      </c>
      <c r="AP153" s="1360">
        <f t="shared" si="342"/>
        <v>3144.8910000000001</v>
      </c>
      <c r="AQ153" s="1058">
        <f t="shared" si="342"/>
        <v>900.303</v>
      </c>
      <c r="AR153" s="1058">
        <f t="shared" si="342"/>
        <v>1164.4523999999999</v>
      </c>
      <c r="AS153" s="1058">
        <f t="shared" si="342"/>
        <v>1317.9348</v>
      </c>
      <c r="AT153" s="1058">
        <f t="shared" si="342"/>
        <v>1430.3333999999995</v>
      </c>
      <c r="AU153" s="1360">
        <f t="shared" si="342"/>
        <v>4813.0235999999995</v>
      </c>
      <c r="AV153" s="1058">
        <f t="shared" si="343" ref="AV153:BA153">AV281</f>
        <v>1510.3119999999999</v>
      </c>
      <c r="AW153" s="1058">
        <f t="shared" si="343"/>
        <v>1622.2976000000003</v>
      </c>
      <c r="AX153" s="1058">
        <f t="shared" si="343"/>
        <v>1634.1195</v>
      </c>
      <c r="AY153" s="1058">
        <f t="shared" si="343"/>
        <v>1731.4053999999987</v>
      </c>
      <c r="AZ153" s="1360">
        <f t="shared" si="343"/>
        <v>6498.1344999999992</v>
      </c>
      <c r="BA153" s="1058">
        <f t="shared" si="343"/>
        <v>1797.7042999999999</v>
      </c>
      <c r="BB153" s="1058">
        <f t="shared" si="344" ref="BB153:BG153">BB281</f>
        <v>1894.5652</v>
      </c>
      <c r="BC153" s="1058">
        <f t="shared" si="344"/>
        <v>1981.8202000000001</v>
      </c>
      <c r="BD153" s="1058">
        <f t="shared" si="344"/>
        <v>2145.8833000000004</v>
      </c>
      <c r="BE153" s="1360">
        <f t="shared" si="344"/>
        <v>7819.9730000000009</v>
      </c>
      <c r="BF153" s="1058">
        <f t="shared" si="344"/>
        <v>1851.5576000000001</v>
      </c>
      <c r="BG153" s="1058">
        <f t="shared" si="344"/>
        <v>1854.4919999999995</v>
      </c>
      <c r="BH153" s="1060">
        <f>BH281</f>
        <v>1889.6031</v>
      </c>
      <c r="BI153" s="1057">
        <f t="shared" si="345" ref="BI153:BR153">BI151+BI152</f>
        <v>1504.396076996873</v>
      </c>
      <c r="BJ153" s="1359">
        <f t="shared" si="345"/>
        <v>7100.0487769968722</v>
      </c>
      <c r="BK153" s="1057">
        <f t="shared" si="345"/>
        <v>2372.7229019294136</v>
      </c>
      <c r="BL153" s="1057">
        <f t="shared" si="345"/>
        <v>1623.82783301738</v>
      </c>
      <c r="BM153" s="1057">
        <f t="shared" si="345"/>
        <v>1549.5903897952237</v>
      </c>
      <c r="BN153" s="1057">
        <f t="shared" si="345"/>
        <v>1714.5114874913111</v>
      </c>
      <c r="BO153" s="1359">
        <f t="shared" si="345"/>
        <v>7260.6526122333289</v>
      </c>
      <c r="BP153" s="1359">
        <f t="shared" si="345"/>
        <v>7951.2045355632481</v>
      </c>
      <c r="BQ153" s="1359">
        <f t="shared" si="345"/>
        <v>8272.4331988000031</v>
      </c>
      <c r="BR153" s="1359">
        <f t="shared" si="345"/>
        <v>8606.639500031526</v>
      </c>
      <c r="BS153" s="648"/>
    </row>
    <row r="154" spans="1:71" s="669" customFormat="1" ht="7.5" customHeight="1" hidden="1" outlineLevel="2">
      <c r="A154" s="107"/>
      <c r="B154" s="108"/>
      <c r="C154" s="1325"/>
      <c r="D154" s="1325"/>
      <c r="E154" s="1325"/>
      <c r="F154" s="1325"/>
      <c r="G154" s="1325"/>
      <c r="H154" s="726"/>
      <c r="I154" s="726"/>
      <c r="J154" s="726"/>
      <c r="K154" s="726"/>
      <c r="L154" s="1325"/>
      <c r="M154" s="726"/>
      <c r="N154" s="726"/>
      <c r="O154" s="726"/>
      <c r="P154" s="726"/>
      <c r="Q154" s="1325"/>
      <c r="R154" s="726"/>
      <c r="S154" s="726"/>
      <c r="T154" s="726"/>
      <c r="U154" s="726"/>
      <c r="V154" s="1325"/>
      <c r="W154" s="726"/>
      <c r="X154" s="726"/>
      <c r="Y154" s="726"/>
      <c r="Z154" s="726"/>
      <c r="AA154" s="1325"/>
      <c r="AB154" s="726"/>
      <c r="AC154" s="726"/>
      <c r="AD154" s="726"/>
      <c r="AE154" s="726"/>
      <c r="AF154" s="1325"/>
      <c r="AG154" s="726"/>
      <c r="AH154" s="726"/>
      <c r="AI154" s="726"/>
      <c r="AJ154" s="726"/>
      <c r="AK154" s="1325"/>
      <c r="AL154" s="726"/>
      <c r="AM154" s="726"/>
      <c r="AN154" s="726"/>
      <c r="AO154" s="726"/>
      <c r="AP154" s="1325"/>
      <c r="AQ154" s="726"/>
      <c r="AR154" s="726"/>
      <c r="AS154" s="726"/>
      <c r="AT154" s="726"/>
      <c r="AU154" s="1325"/>
      <c r="AV154" s="726"/>
      <c r="AW154" s="726"/>
      <c r="AX154" s="726"/>
      <c r="AY154" s="726"/>
      <c r="AZ154" s="1325"/>
      <c r="BA154" s="726"/>
      <c r="BB154" s="726"/>
      <c r="BC154" s="726"/>
      <c r="BD154" s="726"/>
      <c r="BE154" s="1325"/>
      <c r="BF154" s="726"/>
      <c r="BG154" s="726"/>
      <c r="BH154" s="808"/>
      <c r="BI154" s="98"/>
      <c r="BJ154" s="1326"/>
      <c r="BK154" s="98"/>
      <c r="BL154" s="98"/>
      <c r="BM154" s="98"/>
      <c r="BN154" s="98"/>
      <c r="BO154" s="1326"/>
      <c r="BP154" s="1325"/>
      <c r="BQ154" s="1325"/>
      <c r="BR154" s="1326"/>
      <c r="BS154" s="648"/>
    </row>
    <row r="155" spans="1:71" s="676" customFormat="1" ht="15" hidden="1" outlineLevel="2">
      <c r="A155" s="513" t="str">
        <f>A248</f>
        <v>Commercial Lines - Loss &amp; LAE Ratio excluding Catastrophe Losses Incurred, %</v>
      </c>
      <c r="B155" s="396"/>
      <c r="C155" s="1339">
        <f t="shared" si="346" ref="C155:AU155">C248</f>
        <v>0</v>
      </c>
      <c r="D155" s="1339">
        <f t="shared" si="346"/>
        <v>0</v>
      </c>
      <c r="E155" s="1339">
        <f t="shared" si="346"/>
        <v>0</v>
      </c>
      <c r="F155" s="1339">
        <f t="shared" si="346"/>
        <v>0</v>
      </c>
      <c r="G155" s="1339">
        <f t="shared" si="346"/>
        <v>0</v>
      </c>
      <c r="H155" s="381">
        <f t="shared" si="346"/>
        <v>0</v>
      </c>
      <c r="I155" s="381">
        <f t="shared" si="346"/>
        <v>0</v>
      </c>
      <c r="J155" s="381">
        <f t="shared" si="346"/>
        <v>0</v>
      </c>
      <c r="K155" s="381">
        <f t="shared" si="346"/>
        <v>0</v>
      </c>
      <c r="L155" s="1339">
        <f t="shared" si="346"/>
        <v>0</v>
      </c>
      <c r="M155" s="381">
        <f t="shared" si="346"/>
        <v>0</v>
      </c>
      <c r="N155" s="381">
        <f t="shared" si="346"/>
        <v>0</v>
      </c>
      <c r="O155" s="381">
        <f t="shared" si="346"/>
        <v>0</v>
      </c>
      <c r="P155" s="381">
        <f t="shared" si="346"/>
        <v>0</v>
      </c>
      <c r="Q155" s="1339">
        <f t="shared" si="346"/>
        <v>0</v>
      </c>
      <c r="R155" s="381">
        <f t="shared" si="346"/>
        <v>0</v>
      </c>
      <c r="S155" s="381">
        <f t="shared" si="346"/>
        <v>0</v>
      </c>
      <c r="T155" s="381">
        <f t="shared" si="346"/>
        <v>0</v>
      </c>
      <c r="U155" s="381">
        <f t="shared" si="346"/>
        <v>0</v>
      </c>
      <c r="V155" s="1339">
        <f t="shared" si="346"/>
        <v>0</v>
      </c>
      <c r="W155" s="381">
        <f t="shared" si="346"/>
        <v>0</v>
      </c>
      <c r="X155" s="381">
        <f t="shared" si="346"/>
        <v>0</v>
      </c>
      <c r="Y155" s="381">
        <f t="shared" si="346"/>
        <v>0</v>
      </c>
      <c r="Z155" s="381">
        <f t="shared" si="346"/>
        <v>0</v>
      </c>
      <c r="AA155" s="1339">
        <f t="shared" si="346"/>
        <v>0</v>
      </c>
      <c r="AB155" s="381">
        <f t="shared" si="346"/>
        <v>0</v>
      </c>
      <c r="AC155" s="381">
        <f t="shared" si="346"/>
        <v>0</v>
      </c>
      <c r="AD155" s="381">
        <f t="shared" si="346"/>
        <v>0</v>
      </c>
      <c r="AE155" s="381">
        <f t="shared" si="346"/>
        <v>0</v>
      </c>
      <c r="AF155" s="1339">
        <f t="shared" si="346"/>
        <v>0</v>
      </c>
      <c r="AG155" s="381">
        <f t="shared" si="346"/>
        <v>0.62551924975320827</v>
      </c>
      <c r="AH155" s="381">
        <f t="shared" si="346"/>
        <v>0.66851611396543675</v>
      </c>
      <c r="AI155" s="381">
        <f t="shared" si="346"/>
        <v>0.71892835847863401</v>
      </c>
      <c r="AJ155" s="381">
        <f t="shared" si="346"/>
        <v>0.70661711930164894</v>
      </c>
      <c r="AK155" s="1339">
        <f t="shared" si="346"/>
        <v>0.68192835847863409</v>
      </c>
      <c r="AL155" s="381">
        <f t="shared" si="346"/>
        <v>0.67990664423885627</v>
      </c>
      <c r="AM155" s="381">
        <f t="shared" si="346"/>
        <v>0.56741984056687333</v>
      </c>
      <c r="AN155" s="381">
        <f t="shared" si="346"/>
        <v>0.66320118538030959</v>
      </c>
      <c r="AO155" s="381">
        <f t="shared" si="346"/>
        <v>0.65183037974683544</v>
      </c>
      <c r="AP155" s="1339">
        <f t="shared" si="346"/>
        <v>0.64196460068091388</v>
      </c>
      <c r="AQ155" s="381">
        <f t="shared" si="346"/>
        <v>0.63373042742276764</v>
      </c>
      <c r="AR155" s="381">
        <f t="shared" si="346"/>
        <v>0.71393044765075842</v>
      </c>
      <c r="AS155" s="381">
        <f t="shared" si="346"/>
        <v>0.69576797698945347</v>
      </c>
      <c r="AT155" s="381">
        <f t="shared" si="346"/>
        <v>0.70196893797455862</v>
      </c>
      <c r="AU155" s="1339">
        <f t="shared" si="346"/>
        <v>0.68915561826873228</v>
      </c>
      <c r="AV155" s="381">
        <f t="shared" si="347" ref="AV155:BA155">AV248</f>
        <v>0.70868371568258737</v>
      </c>
      <c r="AW155" s="381">
        <f t="shared" si="347"/>
        <v>0.69983405658739795</v>
      </c>
      <c r="AX155" s="381">
        <f t="shared" si="347"/>
        <v>0.69779520255403593</v>
      </c>
      <c r="AY155" s="381">
        <f t="shared" si="347"/>
        <v>0.73803035744826373</v>
      </c>
      <c r="AZ155" s="1339">
        <f t="shared" si="347"/>
        <v>0.71121491368022616</v>
      </c>
      <c r="BA155" s="381">
        <f t="shared" si="347"/>
        <v>0.76151449429141382</v>
      </c>
      <c r="BB155" s="381">
        <f t="shared" si="348" ref="BB155:BG155">BB248</f>
        <v>0.76429860233894298</v>
      </c>
      <c r="BC155" s="381">
        <f t="shared" si="348"/>
        <v>0.79197305557789754</v>
      </c>
      <c r="BD155" s="381">
        <f t="shared" si="348"/>
        <v>0.82231573081209852</v>
      </c>
      <c r="BE155" s="1339">
        <f t="shared" si="348"/>
        <v>0.7858378372917656</v>
      </c>
      <c r="BF155" s="381">
        <f t="shared" si="348"/>
        <v>0.72051990302651125</v>
      </c>
      <c r="BG155" s="381">
        <f t="shared" si="348"/>
        <v>0.68627960217676853</v>
      </c>
      <c r="BH155" s="813">
        <f>BH248</f>
        <v>0.6806040635200058</v>
      </c>
      <c r="BI155" s="1221">
        <v>0.70</v>
      </c>
      <c r="BJ155" s="1340">
        <f>BJ151/BJ148</f>
        <v>0.69633351670697097</v>
      </c>
      <c r="BK155" s="1221">
        <v>0.70</v>
      </c>
      <c r="BL155" s="1221">
        <v>0.70</v>
      </c>
      <c r="BM155" s="1221">
        <v>0.70</v>
      </c>
      <c r="BN155" s="1221">
        <v>0.70</v>
      </c>
      <c r="BO155" s="1340">
        <f>BO151/BO148</f>
        <v>0.70</v>
      </c>
      <c r="BP155" s="1343">
        <v>0.70</v>
      </c>
      <c r="BQ155" s="1343">
        <v>0.70</v>
      </c>
      <c r="BR155" s="1344">
        <v>0.70</v>
      </c>
      <c r="BS155" s="648"/>
    </row>
    <row r="156" spans="1:71" s="676" customFormat="1" ht="15" hidden="1" outlineLevel="2">
      <c r="A156" s="555" t="str">
        <f>A252</f>
        <v>Commercial Lines - Catastrophe Loss Ratio, %</v>
      </c>
      <c r="B156" s="396"/>
      <c r="C156" s="1339">
        <f t="shared" si="349" ref="C156:AU156">C252</f>
        <v>0</v>
      </c>
      <c r="D156" s="1339">
        <f t="shared" si="349"/>
        <v>0</v>
      </c>
      <c r="E156" s="1339">
        <f t="shared" si="349"/>
        <v>0</v>
      </c>
      <c r="F156" s="1339">
        <f t="shared" si="349"/>
        <v>0</v>
      </c>
      <c r="G156" s="1339">
        <f t="shared" si="349"/>
        <v>0</v>
      </c>
      <c r="H156" s="381">
        <f t="shared" si="349"/>
        <v>0</v>
      </c>
      <c r="I156" s="381">
        <f t="shared" si="349"/>
        <v>0</v>
      </c>
      <c r="J156" s="381">
        <f t="shared" si="349"/>
        <v>0</v>
      </c>
      <c r="K156" s="381">
        <f t="shared" si="349"/>
        <v>0</v>
      </c>
      <c r="L156" s="1339">
        <f t="shared" si="349"/>
        <v>0</v>
      </c>
      <c r="M156" s="381">
        <f t="shared" si="349"/>
        <v>0</v>
      </c>
      <c r="N156" s="381">
        <f t="shared" si="349"/>
        <v>0</v>
      </c>
      <c r="O156" s="381">
        <f t="shared" si="349"/>
        <v>0</v>
      </c>
      <c r="P156" s="381">
        <f t="shared" si="349"/>
        <v>0</v>
      </c>
      <c r="Q156" s="1339">
        <f t="shared" si="349"/>
        <v>0</v>
      </c>
      <c r="R156" s="381">
        <f t="shared" si="349"/>
        <v>0</v>
      </c>
      <c r="S156" s="381">
        <f t="shared" si="349"/>
        <v>0</v>
      </c>
      <c r="T156" s="381">
        <f t="shared" si="349"/>
        <v>0</v>
      </c>
      <c r="U156" s="381">
        <f t="shared" si="349"/>
        <v>0</v>
      </c>
      <c r="V156" s="1339">
        <f t="shared" si="349"/>
        <v>0</v>
      </c>
      <c r="W156" s="381">
        <f t="shared" si="349"/>
        <v>0</v>
      </c>
      <c r="X156" s="381">
        <f t="shared" si="349"/>
        <v>0</v>
      </c>
      <c r="Y156" s="381">
        <f t="shared" si="349"/>
        <v>0</v>
      </c>
      <c r="Z156" s="381">
        <f t="shared" si="349"/>
        <v>0</v>
      </c>
      <c r="AA156" s="1339">
        <f t="shared" si="349"/>
        <v>0</v>
      </c>
      <c r="AB156" s="381">
        <f t="shared" si="349"/>
        <v>0</v>
      </c>
      <c r="AC156" s="381">
        <f t="shared" si="349"/>
        <v>0</v>
      </c>
      <c r="AD156" s="381">
        <f t="shared" si="349"/>
        <v>0</v>
      </c>
      <c r="AE156" s="381">
        <f t="shared" si="349"/>
        <v>0</v>
      </c>
      <c r="AF156" s="1339">
        <f t="shared" si="349"/>
        <v>0</v>
      </c>
      <c r="AG156" s="381">
        <f t="shared" si="349"/>
        <v>0.0014807502467917078</v>
      </c>
      <c r="AH156" s="381">
        <f t="shared" si="349"/>
        <v>0.0044838860345632883</v>
      </c>
      <c r="AI156" s="381">
        <f t="shared" si="349"/>
        <v>0.0030716415213659768</v>
      </c>
      <c r="AJ156" s="381">
        <f t="shared" si="349"/>
        <v>0.0031522793404461682</v>
      </c>
      <c r="AK156" s="1339">
        <f t="shared" si="349"/>
        <v>0.0030716415213659768</v>
      </c>
      <c r="AL156" s="381">
        <f t="shared" si="349"/>
        <v>0.0010933557611438184</v>
      </c>
      <c r="AM156" s="381">
        <f t="shared" si="349"/>
        <v>0.0055801594331266607</v>
      </c>
      <c r="AN156" s="381">
        <f t="shared" si="349"/>
        <v>0.002798814619690484</v>
      </c>
      <c r="AO156" s="381">
        <f t="shared" si="349"/>
        <v>0.0028294862248696953</v>
      </c>
      <c r="AP156" s="1339">
        <f t="shared" si="349"/>
        <v>0.0030353993190860985</v>
      </c>
      <c r="AQ156" s="381">
        <f t="shared" si="349"/>
        <v>0.0012695725772323319</v>
      </c>
      <c r="AR156" s="381">
        <f t="shared" si="349"/>
        <v>0.0040695523492415833</v>
      </c>
      <c r="AS156" s="381">
        <f t="shared" si="349"/>
        <v>0.0062320230105465</v>
      </c>
      <c r="AT156" s="381">
        <f t="shared" si="349"/>
        <v>0.0032541169509910256</v>
      </c>
      <c r="AU156" s="1339">
        <f t="shared" si="349"/>
        <v>0.003844381731267638</v>
      </c>
      <c r="AV156" s="381">
        <f t="shared" si="350" ref="AV156:BA156">AV252</f>
        <v>0.0013162843174125611</v>
      </c>
      <c r="AW156" s="381">
        <f t="shared" si="350"/>
        <v>0.0041659434126019778</v>
      </c>
      <c r="AX156" s="381">
        <f t="shared" si="350"/>
        <v>0.0072047974459640189</v>
      </c>
      <c r="AY156" s="381">
        <f t="shared" si="350"/>
        <v>0.0022661193774585267</v>
      </c>
      <c r="AZ156" s="1339">
        <f t="shared" si="350"/>
        <v>0.0037850863197737752</v>
      </c>
      <c r="BA156" s="381">
        <f t="shared" si="350"/>
        <v>0.0014855057085862231</v>
      </c>
      <c r="BB156" s="381">
        <f t="shared" si="351" ref="BB156:BG156">BB252</f>
        <v>0.0077013976610570065</v>
      </c>
      <c r="BC156" s="381">
        <f t="shared" si="351"/>
        <v>0.0050269444221024695</v>
      </c>
      <c r="BD156" s="381">
        <f t="shared" si="351"/>
        <v>0.0024213075060532689</v>
      </c>
      <c r="BE156" s="1339">
        <f t="shared" si="351"/>
        <v>0.0041621627082344143</v>
      </c>
      <c r="BF156" s="381">
        <f t="shared" si="351"/>
        <v>0.0034800969734886996</v>
      </c>
      <c r="BG156" s="381">
        <f t="shared" si="351"/>
        <v>0.0097203978232313758</v>
      </c>
      <c r="BH156" s="813">
        <f>BH252</f>
        <v>0.012395936479994129</v>
      </c>
      <c r="BI156" s="1221">
        <v>0.005</v>
      </c>
      <c r="BJ156" s="1340">
        <f>BJ152/BJ148</f>
        <v>0.0078620891541154436</v>
      </c>
      <c r="BK156" s="1221">
        <v>0.005</v>
      </c>
      <c r="BL156" s="1221">
        <v>0.005</v>
      </c>
      <c r="BM156" s="1221">
        <v>0.005</v>
      </c>
      <c r="BN156" s="1221">
        <v>0.005</v>
      </c>
      <c r="BO156" s="1340">
        <f>BO152/BO148</f>
        <v>0.005</v>
      </c>
      <c r="BP156" s="1343">
        <v>0.005</v>
      </c>
      <c r="BQ156" s="1343">
        <v>0.005</v>
      </c>
      <c r="BR156" s="1344">
        <v>0.005</v>
      </c>
      <c r="BS156" s="648"/>
    </row>
    <row r="157" spans="1:71" s="676" customFormat="1" ht="15" hidden="1" outlineLevel="2">
      <c r="A157" s="548" t="str">
        <f>A262</f>
        <v>Commercial Lines - Loss &amp; LAE Ratio, %</v>
      </c>
      <c r="B157" s="521"/>
      <c r="C157" s="1361">
        <f t="shared" si="352" ref="C157:AU157">C262</f>
        <v>0.64700000000000002</v>
      </c>
      <c r="D157" s="1361">
        <f t="shared" si="352"/>
        <v>0.65100000000000002</v>
      </c>
      <c r="E157" s="1361">
        <f t="shared" si="352"/>
        <v>0.68899999999999995</v>
      </c>
      <c r="F157" s="1361">
        <f t="shared" si="352"/>
        <v>0.72599999999999998</v>
      </c>
      <c r="G157" s="1361">
        <f t="shared" si="352"/>
        <v>0.71899999999999997</v>
      </c>
      <c r="H157" s="551">
        <f t="shared" si="352"/>
        <v>0.69299999999999995</v>
      </c>
      <c r="I157" s="551">
        <f t="shared" si="352"/>
        <v>0.60299999999999998</v>
      </c>
      <c r="J157" s="551">
        <f t="shared" si="352"/>
        <v>0.60</v>
      </c>
      <c r="K157" s="551">
        <f t="shared" si="352"/>
        <v>0.57841616405307616</v>
      </c>
      <c r="L157" s="1361">
        <f t="shared" si="352"/>
        <v>0.61699999999999999</v>
      </c>
      <c r="M157" s="551">
        <f t="shared" si="352"/>
        <v>0.61</v>
      </c>
      <c r="N157" s="551">
        <f t="shared" si="352"/>
        <v>0.61299999999999999</v>
      </c>
      <c r="O157" s="551">
        <f t="shared" si="352"/>
        <v>0.635</v>
      </c>
      <c r="P157" s="551">
        <f t="shared" si="352"/>
        <v>0.6358880695783703</v>
      </c>
      <c r="Q157" s="1361">
        <f t="shared" si="352"/>
        <v>0.624</v>
      </c>
      <c r="R157" s="551">
        <f t="shared" si="352"/>
        <v>0.66400000000000003</v>
      </c>
      <c r="S157" s="551">
        <f t="shared" si="352"/>
        <v>0.71799999999999997</v>
      </c>
      <c r="T157" s="551">
        <f t="shared" si="352"/>
        <v>0.78200000000000003</v>
      </c>
      <c r="U157" s="551">
        <f t="shared" si="352"/>
        <v>0.70524564647865595</v>
      </c>
      <c r="V157" s="1361">
        <f t="shared" si="352"/>
        <v>0.71899999999999997</v>
      </c>
      <c r="W157" s="551">
        <f t="shared" si="352"/>
        <v>0.67600000000000005</v>
      </c>
      <c r="X157" s="551">
        <f t="shared" si="352"/>
        <v>0.69399999999999995</v>
      </c>
      <c r="Y157" s="551">
        <f t="shared" si="352"/>
        <v>0.72199999999999998</v>
      </c>
      <c r="Z157" s="551">
        <f t="shared" si="352"/>
        <v>0.71599042874000229</v>
      </c>
      <c r="AA157" s="1361">
        <f t="shared" si="352"/>
        <v>0.70299999999999996</v>
      </c>
      <c r="AB157" s="551">
        <f t="shared" si="352"/>
        <v>0.67400000000000004</v>
      </c>
      <c r="AC157" s="551">
        <f t="shared" si="352"/>
        <v>0.68700000000000006</v>
      </c>
      <c r="AD157" s="551">
        <f t="shared" si="352"/>
        <v>0.67600000000000005</v>
      </c>
      <c r="AE157" s="551">
        <f t="shared" si="352"/>
        <v>0.61973282910874927</v>
      </c>
      <c r="AF157" s="1361">
        <f t="shared" si="352"/>
        <v>0.66300000000000003</v>
      </c>
      <c r="AG157" s="551">
        <f t="shared" si="352"/>
        <v>0.627</v>
      </c>
      <c r="AH157" s="551">
        <f t="shared" si="352"/>
        <v>0.67300000000000004</v>
      </c>
      <c r="AI157" s="551">
        <f t="shared" si="352"/>
        <v>0.72199999999999998</v>
      </c>
      <c r="AJ157" s="551">
        <f t="shared" si="352"/>
        <v>0.7097693986420951</v>
      </c>
      <c r="AK157" s="1361">
        <f t="shared" si="352"/>
        <v>0.685</v>
      </c>
      <c r="AL157" s="551">
        <f t="shared" si="352"/>
        <v>0.68100000000000005</v>
      </c>
      <c r="AM157" s="551">
        <f t="shared" si="352"/>
        <v>0.57299999999999995</v>
      </c>
      <c r="AN157" s="551">
        <f t="shared" si="352"/>
        <v>0.66600000000000004</v>
      </c>
      <c r="AO157" s="551">
        <f t="shared" si="352"/>
        <v>0.65465986597170511</v>
      </c>
      <c r="AP157" s="1361">
        <f t="shared" si="352"/>
        <v>0.645</v>
      </c>
      <c r="AQ157" s="551">
        <f t="shared" si="352"/>
        <v>0.635</v>
      </c>
      <c r="AR157" s="551">
        <f t="shared" si="352"/>
        <v>0.71799999999999997</v>
      </c>
      <c r="AS157" s="551">
        <f t="shared" si="352"/>
        <v>0.70199999999999996</v>
      </c>
      <c r="AT157" s="551">
        <f t="shared" si="352"/>
        <v>0.7052230549255496</v>
      </c>
      <c r="AU157" s="1361">
        <f t="shared" si="352"/>
        <v>0.69299999999999995</v>
      </c>
      <c r="AV157" s="551">
        <f t="shared" si="353" ref="AV157:BA157">AV262</f>
        <v>0.71</v>
      </c>
      <c r="AW157" s="551">
        <f t="shared" si="353"/>
        <v>0.70399999999999996</v>
      </c>
      <c r="AX157" s="551">
        <f t="shared" si="353"/>
        <v>0.705</v>
      </c>
      <c r="AY157" s="551">
        <f t="shared" si="353"/>
        <v>0.7402964768257223</v>
      </c>
      <c r="AZ157" s="1361">
        <f t="shared" si="353"/>
        <v>0.715</v>
      </c>
      <c r="BA157" s="551">
        <f t="shared" si="353"/>
        <v>0.76300000000000001</v>
      </c>
      <c r="BB157" s="551">
        <f t="shared" si="354" ref="BB157:BG157">BB262</f>
        <v>0.77200000000000002</v>
      </c>
      <c r="BC157" s="551">
        <f t="shared" si="354"/>
        <v>0.79700000000000004</v>
      </c>
      <c r="BD157" s="551">
        <f t="shared" si="354"/>
        <v>0.82473703831815182</v>
      </c>
      <c r="BE157" s="1361">
        <f t="shared" si="354"/>
        <v>0.79</v>
      </c>
      <c r="BF157" s="551">
        <f t="shared" si="354"/>
        <v>0.72399999999999998</v>
      </c>
      <c r="BG157" s="551">
        <f t="shared" si="354"/>
        <v>0.69599999999999995</v>
      </c>
      <c r="BH157" s="817">
        <f>BH262</f>
        <v>0.69299999999999995</v>
      </c>
      <c r="BI157" s="523">
        <f t="shared" si="355" ref="BI157:BR157">BI153/BI148</f>
        <v>0.705</v>
      </c>
      <c r="BJ157" s="1362">
        <f t="shared" si="355"/>
        <v>0.70419560586108643</v>
      </c>
      <c r="BK157" s="523">
        <f t="shared" si="355"/>
        <v>0.705</v>
      </c>
      <c r="BL157" s="523">
        <f t="shared" si="355"/>
        <v>0.70499999999999985</v>
      </c>
      <c r="BM157" s="523">
        <f t="shared" si="355"/>
        <v>0.705</v>
      </c>
      <c r="BN157" s="523">
        <f t="shared" si="355"/>
        <v>0.705</v>
      </c>
      <c r="BO157" s="1362">
        <f t="shared" si="355"/>
        <v>0.705</v>
      </c>
      <c r="BP157" s="1362">
        <f t="shared" si="355"/>
        <v>0.705</v>
      </c>
      <c r="BQ157" s="1362">
        <f t="shared" si="355"/>
        <v>0.705</v>
      </c>
      <c r="BR157" s="1362">
        <f t="shared" si="355"/>
        <v>0.705</v>
      </c>
      <c r="BS157" s="648"/>
    </row>
    <row r="158" spans="1:71" s="669" customFormat="1" ht="7.5" customHeight="1" hidden="1" outlineLevel="2">
      <c r="A158" s="107"/>
      <c r="B158" s="108"/>
      <c r="C158" s="1325"/>
      <c r="D158" s="1325"/>
      <c r="E158" s="1325"/>
      <c r="F158" s="1325"/>
      <c r="G158" s="1325"/>
      <c r="H158" s="726"/>
      <c r="I158" s="726"/>
      <c r="J158" s="726"/>
      <c r="K158" s="726"/>
      <c r="L158" s="1325"/>
      <c r="M158" s="726"/>
      <c r="N158" s="726"/>
      <c r="O158" s="726"/>
      <c r="P158" s="726"/>
      <c r="Q158" s="1325"/>
      <c r="R158" s="726"/>
      <c r="S158" s="726"/>
      <c r="T158" s="726"/>
      <c r="U158" s="726"/>
      <c r="V158" s="1325"/>
      <c r="W158" s="726"/>
      <c r="X158" s="726"/>
      <c r="Y158" s="726"/>
      <c r="Z158" s="726"/>
      <c r="AA158" s="1325"/>
      <c r="AB158" s="726"/>
      <c r="AC158" s="726"/>
      <c r="AD158" s="726"/>
      <c r="AE158" s="726"/>
      <c r="AF158" s="1325"/>
      <c r="AG158" s="726"/>
      <c r="AH158" s="726"/>
      <c r="AI158" s="726"/>
      <c r="AJ158" s="726"/>
      <c r="AK158" s="1325"/>
      <c r="AL158" s="726"/>
      <c r="AM158" s="726"/>
      <c r="AN158" s="726"/>
      <c r="AO158" s="726"/>
      <c r="AP158" s="1325"/>
      <c r="AQ158" s="726"/>
      <c r="AR158" s="726"/>
      <c r="AS158" s="726"/>
      <c r="AT158" s="726"/>
      <c r="AU158" s="1325"/>
      <c r="AV158" s="726"/>
      <c r="AW158" s="726"/>
      <c r="AX158" s="726"/>
      <c r="AY158" s="726"/>
      <c r="AZ158" s="1325"/>
      <c r="BA158" s="726"/>
      <c r="BB158" s="726"/>
      <c r="BC158" s="726"/>
      <c r="BD158" s="726"/>
      <c r="BE158" s="1325"/>
      <c r="BF158" s="726"/>
      <c r="BG158" s="726"/>
      <c r="BH158" s="808"/>
      <c r="BI158" s="98"/>
      <c r="BJ158" s="1326"/>
      <c r="BK158" s="98"/>
      <c r="BL158" s="98"/>
      <c r="BM158" s="98"/>
      <c r="BN158" s="98"/>
      <c r="BO158" s="1326"/>
      <c r="BP158" s="1325"/>
      <c r="BQ158" s="1325"/>
      <c r="BR158" s="1326"/>
      <c r="BS158" s="648"/>
    </row>
    <row r="159" spans="1:71" s="665" customFormat="1" ht="15" hidden="1" outlineLevel="2">
      <c r="A159" s="371" t="s">
        <v>666</v>
      </c>
      <c r="B159" s="308"/>
      <c r="C159" s="1349">
        <f>C148*C160</f>
        <v>342.5163</v>
      </c>
      <c r="D159" s="1349">
        <f t="shared" si="356" ref="D159:J159">D148*D160</f>
        <v>330.2208</v>
      </c>
      <c r="E159" s="1349">
        <f t="shared" si="356"/>
        <v>322.762</v>
      </c>
      <c r="F159" s="1349">
        <f t="shared" si="356"/>
        <v>366.07800000000003</v>
      </c>
      <c r="G159" s="1349">
        <f t="shared" si="356"/>
        <v>380.50559999999996</v>
      </c>
      <c r="H159" s="1042">
        <f t="shared" si="356"/>
        <v>93.059699999999992</v>
      </c>
      <c r="I159" s="1042">
        <f t="shared" si="356"/>
        <v>99.278400000000005</v>
      </c>
      <c r="J159" s="1042">
        <f t="shared" si="356"/>
        <v>97.584000000000003</v>
      </c>
      <c r="K159" s="1042">
        <f>L159-SUM(H159,I159,J159)</f>
        <v>97.790399999999977</v>
      </c>
      <c r="L159" s="1349">
        <f t="shared" si="357" ref="L159">L148*L160</f>
        <v>387.7125</v>
      </c>
      <c r="M159" s="1042">
        <f t="shared" si="358" ref="M159">M148*M160</f>
        <v>103.54079999999999</v>
      </c>
      <c r="N159" s="1042">
        <f t="shared" si="359" ref="N159">N148*N160</f>
        <v>106.1781</v>
      </c>
      <c r="O159" s="1042">
        <f t="shared" si="360" ref="O159">O148*O160</f>
        <v>108.90689999999999</v>
      </c>
      <c r="P159" s="1042">
        <f>Q159-SUM(M159,N159,O159)</f>
        <v>114.48450000000003</v>
      </c>
      <c r="Q159" s="1349">
        <f t="shared" si="361" ref="Q159">Q148*Q160</f>
        <v>433.1103</v>
      </c>
      <c r="R159" s="1042">
        <f t="shared" si="362" ref="R159">R148*R160</f>
        <v>123.47999999999999</v>
      </c>
      <c r="S159" s="1042">
        <f t="shared" si="363" ref="S159">S148*S160</f>
        <v>135.8886</v>
      </c>
      <c r="T159" s="1042">
        <f t="shared" si="364" ref="T159">T148*T160</f>
        <v>132.97220000000002</v>
      </c>
      <c r="U159" s="1042">
        <f>V159-SUM(R159,S159,T159)</f>
        <v>133.08129999999994</v>
      </c>
      <c r="V159" s="1349">
        <f t="shared" si="365" ref="V159">V148*V160</f>
        <v>525.4221</v>
      </c>
      <c r="W159" s="1042">
        <f t="shared" si="366" ref="W159">W148*W160</f>
        <v>142.00999999999999</v>
      </c>
      <c r="X159" s="1042">
        <f t="shared" si="367" ref="X159">X148*X160</f>
        <v>149.1174</v>
      </c>
      <c r="Y159" s="1042">
        <f t="shared" si="368" ref="Y159">Y148*Y160</f>
        <v>155.65199999999999</v>
      </c>
      <c r="Z159" s="1042">
        <f>AA159-SUM(W159,X159,Y159)</f>
        <v>167.87860000000006</v>
      </c>
      <c r="AA159" s="1349">
        <f t="shared" si="369" ref="AA159">AA148*AA160</f>
        <v>614.65800000000002</v>
      </c>
      <c r="AB159" s="1042">
        <f t="shared" si="370" ref="AB159">AB148*AB160</f>
        <v>168.9974</v>
      </c>
      <c r="AC159" s="1042">
        <f t="shared" si="371" ref="AC159">AC148*AC160</f>
        <v>176.86</v>
      </c>
      <c r="AD159" s="1042">
        <f t="shared" si="372" ref="AD159">AD148*AD160</f>
        <v>191.67839999999998</v>
      </c>
      <c r="AE159" s="1042">
        <f>AF159-SUM(AB159,AC159,AD159)</f>
        <v>199.08780000000002</v>
      </c>
      <c r="AF159" s="1349">
        <f t="shared" si="373" ref="AF159">AF148*AF160</f>
        <v>736.62360000000001</v>
      </c>
      <c r="AG159" s="1042">
        <f t="shared" si="374" ref="AG159">AG148*AG160</f>
        <v>211.71699999999998</v>
      </c>
      <c r="AH159" s="1042">
        <f t="shared" si="375" ref="AH159">AH148*AH160</f>
        <v>225.87549999999999</v>
      </c>
      <c r="AI159" s="1042">
        <f t="shared" si="376" ref="AI159">AI148*AI160</f>
        <v>237.98350000000002</v>
      </c>
      <c r="AJ159" s="1042">
        <f>AK159-SUM(AG159,AH159,AI159)</f>
        <v>258.64760000000001</v>
      </c>
      <c r="AK159" s="1349">
        <f t="shared" si="377" ref="AK159">AK148*AK160</f>
        <v>934.22360000000003</v>
      </c>
      <c r="AL159" s="1042">
        <f t="shared" si="378" ref="AL159">AL148*AL160</f>
        <v>266.33600000000001</v>
      </c>
      <c r="AM159" s="1042">
        <f t="shared" si="379" ref="AM159">AM148*AM160</f>
        <v>302.572</v>
      </c>
      <c r="AN159" s="1042">
        <f t="shared" si="380" ref="AN159">AN148*AN160</f>
        <v>250.24879999999999</v>
      </c>
      <c r="AO159" s="1042">
        <f>AP159-SUM(AL159,AM159,AN159)</f>
        <v>277.89820000000009</v>
      </c>
      <c r="AP159" s="1349">
        <f t="shared" si="381" ref="AP159">AP148*AP160</f>
        <v>1097.0550000000001</v>
      </c>
      <c r="AQ159" s="1042">
        <f t="shared" si="382" ref="AQ159">AQ148*AQ160</f>
        <v>289.23119999999994</v>
      </c>
      <c r="AR159" s="1042">
        <f t="shared" si="383" ref="AR159">AR148*AR160</f>
        <v>327.60360000000003</v>
      </c>
      <c r="AS159" s="1042">
        <f t="shared" si="384" ref="AS159:AU159">AS148*AS160</f>
        <v>362.33820000000003</v>
      </c>
      <c r="AT159" s="1042">
        <f>AU159-SUM(AQ159,AR159,AS159)</f>
        <v>382.08619999999996</v>
      </c>
      <c r="AU159" s="1349">
        <f t="shared" si="384"/>
        <v>1361.2592</v>
      </c>
      <c r="AV159" s="1042">
        <f>AV148*AV160</f>
        <v>414.80399999999997</v>
      </c>
      <c r="AW159" s="1042">
        <f>AW148*AW160</f>
        <v>440.14040000000011</v>
      </c>
      <c r="AX159" s="1042">
        <f>AX148*AX160</f>
        <v>445.03680000000003</v>
      </c>
      <c r="AY159" s="1042">
        <f>AZ159-SUM(AV159,AW159,AX159)</f>
        <v>481.32559999999967</v>
      </c>
      <c r="AZ159" s="1349">
        <f>AZ148*AZ160</f>
        <v>1781.3067999999998</v>
      </c>
      <c r="BA159" s="1042">
        <f>BA148*BA160</f>
        <v>520.69809999999995</v>
      </c>
      <c r="BB159" s="1042">
        <f>BB148*BB160</f>
        <v>471.18720000000002</v>
      </c>
      <c r="BC159" s="1042">
        <f>BC148*BC160</f>
        <v>482.40039999999999</v>
      </c>
      <c r="BD159" s="1042">
        <f>BE159-SUM(BA159,BB159,BC159)</f>
        <v>485.65690000000041</v>
      </c>
      <c r="BE159" s="1349">
        <f>BE148*BE160</f>
        <v>1959.9426000000003</v>
      </c>
      <c r="BF159" s="1042">
        <f>BF148*BF160</f>
        <v>496.13560000000001</v>
      </c>
      <c r="BG159" s="1042">
        <f>BG148*BG160</f>
        <v>506.25499999999994</v>
      </c>
      <c r="BH159" s="1043">
        <f>BH148*BH160</f>
        <v>528.97980000000007</v>
      </c>
      <c r="BI159" s="1044"/>
      <c r="BJ159" s="1350"/>
      <c r="BK159" s="1044"/>
      <c r="BL159" s="1044"/>
      <c r="BM159" s="1044"/>
      <c r="BN159" s="1044"/>
      <c r="BO159" s="1350"/>
      <c r="BP159" s="1351"/>
      <c r="BQ159" s="1351"/>
      <c r="BR159" s="1350"/>
      <c r="BS159" s="648"/>
    </row>
    <row r="160" spans="1:71" s="676" customFormat="1" ht="15" hidden="1" outlineLevel="2">
      <c r="A160" s="24" t="str">
        <f>A289</f>
        <v>Commercial Lines - Underwriting Expense Ratio, %</v>
      </c>
      <c r="B160" s="396"/>
      <c r="C160" s="1352">
        <f t="shared" si="385" ref="C160:J160">C289</f>
        <v>0.21099999999999999</v>
      </c>
      <c r="D160" s="1352">
        <f t="shared" si="385"/>
        <v>0.224</v>
      </c>
      <c r="E160" s="1352">
        <f t="shared" si="385"/>
        <v>0.22</v>
      </c>
      <c r="F160" s="1352">
        <f t="shared" si="385"/>
        <v>0.222</v>
      </c>
      <c r="G160" s="1352">
        <f t="shared" si="385"/>
        <v>0.216</v>
      </c>
      <c r="H160" s="197">
        <f t="shared" si="385"/>
        <v>0.21299999999999999</v>
      </c>
      <c r="I160" s="197">
        <f t="shared" si="385"/>
        <v>0.222</v>
      </c>
      <c r="J160" s="197">
        <f t="shared" si="385"/>
        <v>0.214</v>
      </c>
      <c r="K160" s="197">
        <f>K159/K148</f>
        <v>0.19660313630880571</v>
      </c>
      <c r="L160" s="1352">
        <f>L289</f>
        <v>0.21099999999999999</v>
      </c>
      <c r="M160" s="197">
        <f>M289</f>
        <v>0.222</v>
      </c>
      <c r="N160" s="197">
        <f>N289</f>
        <v>0.217</v>
      </c>
      <c r="O160" s="197">
        <f>O289</f>
        <v>0.21299999999999999</v>
      </c>
      <c r="P160" s="197">
        <f>P159/P148</f>
        <v>0.21645774248440161</v>
      </c>
      <c r="Q160" s="1352">
        <f>Q289</f>
        <v>0.217</v>
      </c>
      <c r="R160" s="197">
        <f>R289</f>
        <v>0.225</v>
      </c>
      <c r="S160" s="197">
        <f>S289</f>
        <v>0.22900000000000001</v>
      </c>
      <c r="T160" s="197">
        <f>T289</f>
        <v>0.21099999999999999</v>
      </c>
      <c r="U160" s="197">
        <f>U159/U148</f>
        <v>0.20508753274772673</v>
      </c>
      <c r="V160" s="1352">
        <f>V289</f>
        <v>0.217</v>
      </c>
      <c r="W160" s="197">
        <f>W289</f>
        <v>0.22</v>
      </c>
      <c r="X160" s="197">
        <f>X289</f>
        <v>0.222</v>
      </c>
      <c r="Y160" s="197">
        <f>Y289</f>
        <v>0.218</v>
      </c>
      <c r="Z160" s="197">
        <f>Z159/Z148</f>
        <v>0.22011092172544913</v>
      </c>
      <c r="AA160" s="1352">
        <f>AA289</f>
        <v>0.22</v>
      </c>
      <c r="AB160" s="197">
        <f>AB289</f>
        <v>0.20899999999999999</v>
      </c>
      <c r="AC160" s="197">
        <f>AC289</f>
        <v>0.20</v>
      </c>
      <c r="AD160" s="197">
        <f>AD289</f>
        <v>0.20399999999999999</v>
      </c>
      <c r="AE160" s="197">
        <f>AE159/AE148</f>
        <v>0.203483033524121</v>
      </c>
      <c r="AF160" s="1352">
        <f>AF289</f>
        <v>0.20399999999999999</v>
      </c>
      <c r="AG160" s="197">
        <f>AG289</f>
        <v>0.20899999999999999</v>
      </c>
      <c r="AH160" s="197">
        <f>AH289</f>
        <v>0.21099999999999999</v>
      </c>
      <c r="AI160" s="197">
        <f>AI289</f>
        <v>0.215</v>
      </c>
      <c r="AJ160" s="197">
        <f>AJ159/AJ148</f>
        <v>0.20905884254768828</v>
      </c>
      <c r="AK160" s="1352">
        <f>AK289</f>
        <v>0.21099999999999999</v>
      </c>
      <c r="AL160" s="197">
        <f>AL289</f>
        <v>0.224</v>
      </c>
      <c r="AM160" s="197">
        <f>AM289</f>
        <v>0.26800000000000002</v>
      </c>
      <c r="AN160" s="197">
        <f>AN289</f>
        <v>0.20599999999999999</v>
      </c>
      <c r="AO160" s="197">
        <f>AO159/AO148</f>
        <v>0.20692345495160097</v>
      </c>
      <c r="AP160" s="1352">
        <f>AP289</f>
        <v>0.225</v>
      </c>
      <c r="AQ160" s="197">
        <f>AQ289</f>
        <v>0.20399999999999999</v>
      </c>
      <c r="AR160" s="197">
        <f>AR289</f>
        <v>0.20200000000000001</v>
      </c>
      <c r="AS160" s="197">
        <f>AS289</f>
        <v>0.193</v>
      </c>
      <c r="AT160" s="197">
        <f>AT159/AT148</f>
        <v>0.18838684547874962</v>
      </c>
      <c r="AU160" s="1352">
        <f>AU289</f>
        <v>0.19600000000000001</v>
      </c>
      <c r="AV160" s="197">
        <f>AV289</f>
        <v>0.195</v>
      </c>
      <c r="AW160" s="197">
        <f>AW289</f>
        <v>0.191</v>
      </c>
      <c r="AX160" s="197">
        <f>AX289</f>
        <v>0.192</v>
      </c>
      <c r="AY160" s="197">
        <f>AY159/AY148</f>
        <v>0.20580023943902848</v>
      </c>
      <c r="AZ160" s="1352">
        <f>AZ289</f>
        <v>0.19600000000000001</v>
      </c>
      <c r="BA160" s="197">
        <f>BA289</f>
        <v>0.221</v>
      </c>
      <c r="BB160" s="197">
        <f>BB289</f>
        <v>0.192</v>
      </c>
      <c r="BC160" s="197">
        <f>BC289</f>
        <v>0.19400000000000001</v>
      </c>
      <c r="BD160" s="197">
        <f>BD159/BD148</f>
        <v>0.18665471386294635</v>
      </c>
      <c r="BE160" s="1352">
        <f>BE289</f>
        <v>0.19800000000000001</v>
      </c>
      <c r="BF160" s="197">
        <f>BF289</f>
        <v>0.19400000000000001</v>
      </c>
      <c r="BG160" s="197">
        <f>BG289</f>
        <v>0.19</v>
      </c>
      <c r="BH160" s="815">
        <f>BH289</f>
        <v>0.19400000000000001</v>
      </c>
      <c r="BI160" s="909"/>
      <c r="BJ160" s="1340"/>
      <c r="BK160" s="909"/>
      <c r="BL160" s="909"/>
      <c r="BM160" s="909"/>
      <c r="BN160" s="909"/>
      <c r="BO160" s="1340"/>
      <c r="BP160" s="1339"/>
      <c r="BQ160" s="1339"/>
      <c r="BR160" s="1340"/>
      <c r="BS160" s="648"/>
    </row>
    <row r="161" spans="1:71" s="669" customFormat="1" ht="7.5" customHeight="1" hidden="1" outlineLevel="2">
      <c r="A161" s="107"/>
      <c r="B161" s="108"/>
      <c r="C161" s="1325"/>
      <c r="D161" s="1325"/>
      <c r="E161" s="1325"/>
      <c r="F161" s="1325"/>
      <c r="G161" s="1325"/>
      <c r="H161" s="726"/>
      <c r="I161" s="726"/>
      <c r="J161" s="726"/>
      <c r="K161" s="726"/>
      <c r="L161" s="1325"/>
      <c r="M161" s="726"/>
      <c r="N161" s="726"/>
      <c r="O161" s="726"/>
      <c r="P161" s="726"/>
      <c r="Q161" s="1325"/>
      <c r="R161" s="726"/>
      <c r="S161" s="726"/>
      <c r="T161" s="726"/>
      <c r="U161" s="726"/>
      <c r="V161" s="1325"/>
      <c r="W161" s="726"/>
      <c r="X161" s="726"/>
      <c r="Y161" s="726"/>
      <c r="Z161" s="726"/>
      <c r="AA161" s="1325"/>
      <c r="AB161" s="726"/>
      <c r="AC161" s="726"/>
      <c r="AD161" s="726"/>
      <c r="AE161" s="726"/>
      <c r="AF161" s="1325"/>
      <c r="AG161" s="726"/>
      <c r="AH161" s="726"/>
      <c r="AI161" s="726"/>
      <c r="AJ161" s="726"/>
      <c r="AK161" s="1325"/>
      <c r="AL161" s="726"/>
      <c r="AM161" s="726"/>
      <c r="AN161" s="726"/>
      <c r="AO161" s="726"/>
      <c r="AP161" s="1325"/>
      <c r="AQ161" s="726"/>
      <c r="AR161" s="726"/>
      <c r="AS161" s="726"/>
      <c r="AT161" s="726"/>
      <c r="AU161" s="1325"/>
      <c r="AV161" s="726"/>
      <c r="AW161" s="726"/>
      <c r="AX161" s="726"/>
      <c r="AY161" s="726"/>
      <c r="AZ161" s="1325"/>
      <c r="BA161" s="726"/>
      <c r="BB161" s="726"/>
      <c r="BC161" s="726"/>
      <c r="BD161" s="726"/>
      <c r="BE161" s="1325"/>
      <c r="BF161" s="726"/>
      <c r="BG161" s="726"/>
      <c r="BH161" s="808"/>
      <c r="BI161" s="98"/>
      <c r="BJ161" s="1326"/>
      <c r="BK161" s="98"/>
      <c r="BL161" s="98"/>
      <c r="BM161" s="98"/>
      <c r="BN161" s="98"/>
      <c r="BO161" s="1326"/>
      <c r="BP161" s="1325"/>
      <c r="BQ161" s="1325"/>
      <c r="BR161" s="1326"/>
      <c r="BS161" s="648"/>
    </row>
    <row r="162" spans="1:71" s="665" customFormat="1" ht="15" hidden="1" outlineLevel="2">
      <c r="A162" s="371" t="str">
        <f>A296</f>
        <v>Commercial Lines - Underwriting Income, mm</v>
      </c>
      <c r="B162" s="308"/>
      <c r="C162" s="1349">
        <f t="shared" si="386" ref="C162:AU162">C296</f>
        <v>229.80</v>
      </c>
      <c r="D162" s="1349">
        <f t="shared" si="386"/>
        <v>185</v>
      </c>
      <c r="E162" s="1349">
        <f t="shared" si="386"/>
        <v>133.50</v>
      </c>
      <c r="F162" s="1349">
        <f t="shared" si="386"/>
        <v>86.30</v>
      </c>
      <c r="G162" s="1349">
        <f t="shared" si="386"/>
        <v>114.09999999999999</v>
      </c>
      <c r="H162" s="1042">
        <f t="shared" si="386"/>
        <v>40.90</v>
      </c>
      <c r="I162" s="1042">
        <f t="shared" si="386"/>
        <v>78.400000000000006</v>
      </c>
      <c r="J162" s="1042">
        <f t="shared" si="386"/>
        <v>85.10</v>
      </c>
      <c r="K162" s="1042">
        <f t="shared" si="386"/>
        <v>111.40000000000001</v>
      </c>
      <c r="L162" s="1349">
        <f t="shared" si="386"/>
        <v>315.80</v>
      </c>
      <c r="M162" s="1042">
        <f t="shared" si="386"/>
        <v>78.50</v>
      </c>
      <c r="N162" s="1042">
        <f t="shared" si="386"/>
        <v>83.20</v>
      </c>
      <c r="O162" s="1042">
        <f t="shared" si="386"/>
        <v>77.80</v>
      </c>
      <c r="P162" s="1042">
        <f t="shared" si="386"/>
        <v>78.800000000000011</v>
      </c>
      <c r="Q162" s="1349">
        <f t="shared" si="386"/>
        <v>318.30</v>
      </c>
      <c r="R162" s="1042">
        <f t="shared" si="386"/>
        <v>61.10</v>
      </c>
      <c r="S162" s="1042">
        <f t="shared" si="386"/>
        <v>31.20</v>
      </c>
      <c r="T162" s="1042">
        <f t="shared" si="386"/>
        <v>4.4000000000000004</v>
      </c>
      <c r="U162" s="1042">
        <f t="shared" si="386"/>
        <v>58.499999999999986</v>
      </c>
      <c r="V162" s="1349">
        <f t="shared" si="386"/>
        <v>155.19999999999999</v>
      </c>
      <c r="W162" s="1042">
        <f t="shared" si="386"/>
        <v>67.400000000000006</v>
      </c>
      <c r="X162" s="1042">
        <f t="shared" si="386"/>
        <v>56.20</v>
      </c>
      <c r="Y162" s="1042">
        <f t="shared" si="386"/>
        <v>42.80</v>
      </c>
      <c r="Z162" s="1042">
        <f t="shared" si="386"/>
        <v>47.699999999999989</v>
      </c>
      <c r="AA162" s="1349">
        <f t="shared" si="386"/>
        <v>214.10</v>
      </c>
      <c r="AB162" s="1042">
        <f t="shared" si="386"/>
        <v>94.80</v>
      </c>
      <c r="AC162" s="1042">
        <f t="shared" si="386"/>
        <v>100.30</v>
      </c>
      <c r="AD162" s="1042">
        <f t="shared" si="386"/>
        <v>112.70</v>
      </c>
      <c r="AE162" s="1042">
        <f t="shared" si="386"/>
        <v>170.80</v>
      </c>
      <c r="AF162" s="1349">
        <f t="shared" si="386"/>
        <v>478.60</v>
      </c>
      <c r="AG162" s="1042">
        <f t="shared" si="386"/>
        <v>166.60</v>
      </c>
      <c r="AH162" s="1042">
        <f t="shared" si="386"/>
        <v>124.40000000000001</v>
      </c>
      <c r="AI162" s="1042">
        <f t="shared" si="386"/>
        <v>69.70</v>
      </c>
      <c r="AJ162" s="1042">
        <f t="shared" si="386"/>
        <v>98.100000000000023</v>
      </c>
      <c r="AK162" s="1349">
        <f t="shared" si="386"/>
        <v>458.80</v>
      </c>
      <c r="AL162" s="1042">
        <f t="shared" si="386"/>
        <v>112.50</v>
      </c>
      <c r="AM162" s="1042">
        <f t="shared" si="386"/>
        <v>179.80</v>
      </c>
      <c r="AN162" s="1042">
        <f t="shared" si="386"/>
        <v>155.90000000000001</v>
      </c>
      <c r="AO162" s="1042">
        <f t="shared" si="386"/>
        <v>186.59999999999991</v>
      </c>
      <c r="AP162" s="1349">
        <f t="shared" si="386"/>
        <v>634.79999999999995</v>
      </c>
      <c r="AQ162" s="1042">
        <f t="shared" si="386"/>
        <v>228.50</v>
      </c>
      <c r="AR162" s="1042">
        <f t="shared" si="386"/>
        <v>130.09999999999999</v>
      </c>
      <c r="AS162" s="1042">
        <f t="shared" si="386"/>
        <v>197.50</v>
      </c>
      <c r="AT162" s="1042">
        <f t="shared" si="386"/>
        <v>211.69999999999993</v>
      </c>
      <c r="AU162" s="1349">
        <f t="shared" si="386"/>
        <v>767.80</v>
      </c>
      <c r="AV162" s="1042">
        <f t="shared" si="387" ref="AV162:BA162">AV296</f>
        <v>202.40</v>
      </c>
      <c r="AW162" s="1042">
        <f t="shared" si="387"/>
        <v>243</v>
      </c>
      <c r="AX162" s="1042">
        <f t="shared" si="387"/>
        <v>238.10</v>
      </c>
      <c r="AY162" s="1042">
        <f t="shared" si="387"/>
        <v>126.79999999999995</v>
      </c>
      <c r="AZ162" s="1349">
        <f t="shared" si="387"/>
        <v>810.30</v>
      </c>
      <c r="BA162" s="1042">
        <f t="shared" si="387"/>
        <v>37.69760000000003</v>
      </c>
      <c r="BB162" s="1042">
        <f t="shared" si="388" ref="BB162:BG162">BB296</f>
        <v>87.20</v>
      </c>
      <c r="BC162" s="1042">
        <f t="shared" si="388"/>
        <v>23</v>
      </c>
      <c r="BD162" s="1042">
        <f t="shared" si="388"/>
        <v>-24.89760000000004</v>
      </c>
      <c r="BE162" s="1349">
        <f t="shared" si="388"/>
        <v>123</v>
      </c>
      <c r="BF162" s="1042">
        <f t="shared" si="388"/>
        <v>209.70680000000019</v>
      </c>
      <c r="BG162" s="1042">
        <f t="shared" si="388"/>
        <v>303.80</v>
      </c>
      <c r="BH162" s="1043">
        <f>BH296</f>
        <v>308.39999999999998</v>
      </c>
      <c r="BI162" s="1044"/>
      <c r="BJ162" s="1350"/>
      <c r="BK162" s="1044"/>
      <c r="BL162" s="1044"/>
      <c r="BM162" s="1044"/>
      <c r="BN162" s="1044"/>
      <c r="BO162" s="1350"/>
      <c r="BP162" s="1351"/>
      <c r="BQ162" s="1351"/>
      <c r="BR162" s="1350"/>
      <c r="BS162" s="648"/>
    </row>
    <row r="163" spans="1:71" s="676" customFormat="1" ht="15" hidden="1" outlineLevel="2">
      <c r="A163" s="395" t="s">
        <v>362</v>
      </c>
      <c r="B163" s="396"/>
      <c r="C163" s="1339">
        <f t="shared" si="389" ref="C163:AT163">C160+C157</f>
        <v>0.85799999999999998</v>
      </c>
      <c r="D163" s="1339">
        <f t="shared" si="389"/>
        <v>0.875</v>
      </c>
      <c r="E163" s="1339">
        <f t="shared" si="389"/>
        <v>0.90899999999999992</v>
      </c>
      <c r="F163" s="1339">
        <f t="shared" si="389"/>
        <v>0.94799999999999995</v>
      </c>
      <c r="G163" s="1339">
        <f t="shared" si="389"/>
        <v>0.935</v>
      </c>
      <c r="H163" s="381">
        <f t="shared" si="389"/>
        <v>0.90599999999999992</v>
      </c>
      <c r="I163" s="381">
        <f t="shared" si="389"/>
        <v>0.825</v>
      </c>
      <c r="J163" s="381">
        <f t="shared" si="389"/>
        <v>0.81399999999999995</v>
      </c>
      <c r="K163" s="381">
        <f t="shared" si="389"/>
        <v>0.77501930036188194</v>
      </c>
      <c r="L163" s="1339">
        <f t="shared" si="389"/>
        <v>0.82799999999999996</v>
      </c>
      <c r="M163" s="381">
        <f t="shared" si="389"/>
        <v>0.83199999999999996</v>
      </c>
      <c r="N163" s="381">
        <f t="shared" si="389"/>
        <v>0.83</v>
      </c>
      <c r="O163" s="381">
        <f t="shared" si="389"/>
        <v>0.84799999999999998</v>
      </c>
      <c r="P163" s="381">
        <f t="shared" si="389"/>
        <v>0.85234581206277193</v>
      </c>
      <c r="Q163" s="1339">
        <f t="shared" si="389"/>
        <v>0.84099999999999997</v>
      </c>
      <c r="R163" s="381">
        <f t="shared" si="389"/>
        <v>0.88900000000000001</v>
      </c>
      <c r="S163" s="381">
        <f t="shared" si="389"/>
        <v>0.94699999999999995</v>
      </c>
      <c r="T163" s="381">
        <f t="shared" si="389"/>
        <v>0.99299999999999999</v>
      </c>
      <c r="U163" s="381">
        <f t="shared" si="389"/>
        <v>0.91033317922638268</v>
      </c>
      <c r="V163" s="1339">
        <f t="shared" si="389"/>
        <v>0.93599999999999994</v>
      </c>
      <c r="W163" s="381">
        <f t="shared" si="389"/>
        <v>0.89600000000000002</v>
      </c>
      <c r="X163" s="381">
        <f t="shared" si="389"/>
        <v>0.91599999999999993</v>
      </c>
      <c r="Y163" s="381">
        <f t="shared" si="389"/>
        <v>0.94</v>
      </c>
      <c r="Z163" s="381">
        <f t="shared" si="389"/>
        <v>0.9361013504654514</v>
      </c>
      <c r="AA163" s="1339">
        <f t="shared" si="389"/>
        <v>0.92299999999999993</v>
      </c>
      <c r="AB163" s="381">
        <f t="shared" si="389"/>
        <v>0.88300000000000001</v>
      </c>
      <c r="AC163" s="381">
        <f t="shared" si="389"/>
        <v>0.88700000000000001</v>
      </c>
      <c r="AD163" s="381">
        <f t="shared" si="389"/>
        <v>0.88</v>
      </c>
      <c r="AE163" s="381">
        <f t="shared" si="389"/>
        <v>0.82321586263287028</v>
      </c>
      <c r="AF163" s="1339">
        <f t="shared" si="389"/>
        <v>0.86699999999999999</v>
      </c>
      <c r="AG163" s="381">
        <f t="shared" si="389"/>
        <v>0.83599999999999997</v>
      </c>
      <c r="AH163" s="381">
        <f t="shared" si="389"/>
        <v>0.88400000000000001</v>
      </c>
      <c r="AI163" s="381">
        <f t="shared" si="389"/>
        <v>0.93699999999999994</v>
      </c>
      <c r="AJ163" s="381">
        <f t="shared" si="389"/>
        <v>0.91882824118978335</v>
      </c>
      <c r="AK163" s="1339">
        <f t="shared" si="389"/>
        <v>0.89600000000000002</v>
      </c>
      <c r="AL163" s="381">
        <f t="shared" si="389"/>
        <v>0.905</v>
      </c>
      <c r="AM163" s="381">
        <f t="shared" si="389"/>
        <v>0.84099999999999997</v>
      </c>
      <c r="AN163" s="381">
        <f t="shared" si="389"/>
        <v>0.872</v>
      </c>
      <c r="AO163" s="381">
        <f t="shared" si="389"/>
        <v>0.86158332092330614</v>
      </c>
      <c r="AP163" s="1339">
        <f t="shared" si="389"/>
        <v>0.87</v>
      </c>
      <c r="AQ163" s="381">
        <f t="shared" si="389"/>
        <v>0.83899999999999997</v>
      </c>
      <c r="AR163" s="381">
        <f t="shared" si="389"/>
        <v>0.92</v>
      </c>
      <c r="AS163" s="381">
        <f t="shared" si="389"/>
        <v>0.895</v>
      </c>
      <c r="AT163" s="381">
        <f t="shared" si="389"/>
        <v>0.89360990040429922</v>
      </c>
      <c r="AU163" s="1339">
        <f t="shared" si="390" ref="AU163:AZ163">AU160+AU157</f>
        <v>0.88900000000000001</v>
      </c>
      <c r="AV163" s="381">
        <f t="shared" si="390"/>
        <v>0.905</v>
      </c>
      <c r="AW163" s="381">
        <f t="shared" si="390"/>
        <v>0.895</v>
      </c>
      <c r="AX163" s="381">
        <f t="shared" si="390"/>
        <v>0.89700000000000002</v>
      </c>
      <c r="AY163" s="381">
        <f t="shared" si="390"/>
        <v>0.94609671626475078</v>
      </c>
      <c r="AZ163" s="1339">
        <f t="shared" si="390"/>
        <v>0.91100000000000003</v>
      </c>
      <c r="BA163" s="381">
        <f t="shared" si="391" ref="BA163:BF163">BA160+BA157</f>
        <v>0.98399999999999999</v>
      </c>
      <c r="BB163" s="381">
        <f t="shared" si="391"/>
        <v>0.96399999999999997</v>
      </c>
      <c r="BC163" s="381">
        <f t="shared" si="391"/>
        <v>0.9910000000000001</v>
      </c>
      <c r="BD163" s="381">
        <f t="shared" si="391"/>
        <v>1.0113917521810982</v>
      </c>
      <c r="BE163" s="1339">
        <f t="shared" si="391"/>
        <v>0.98799999999999999</v>
      </c>
      <c r="BF163" s="381">
        <f t="shared" si="391"/>
        <v>0.91799999999999993</v>
      </c>
      <c r="BG163" s="381">
        <f>BG160+BG157</f>
        <v>0.8859999999999999</v>
      </c>
      <c r="BH163" s="813">
        <f>BH160+BH157</f>
        <v>0.88700000000000001</v>
      </c>
      <c r="BI163" s="909"/>
      <c r="BJ163" s="1340"/>
      <c r="BK163" s="909"/>
      <c r="BL163" s="909"/>
      <c r="BM163" s="909"/>
      <c r="BN163" s="909"/>
      <c r="BO163" s="1340"/>
      <c r="BP163" s="1339"/>
      <c r="BQ163" s="1339"/>
      <c r="BR163" s="1340"/>
      <c r="BS163" s="648"/>
    </row>
    <row r="164" spans="1:71" s="669" customFormat="1" ht="7.5" customHeight="1" hidden="1" outlineLevel="2">
      <c r="A164" s="107"/>
      <c r="B164" s="108"/>
      <c r="C164" s="1325"/>
      <c r="D164" s="1325"/>
      <c r="E164" s="1325"/>
      <c r="F164" s="1325"/>
      <c r="G164" s="1325"/>
      <c r="H164" s="726"/>
      <c r="I164" s="726"/>
      <c r="J164" s="726"/>
      <c r="K164" s="726"/>
      <c r="L164" s="1325"/>
      <c r="M164" s="726"/>
      <c r="N164" s="726"/>
      <c r="O164" s="726"/>
      <c r="P164" s="726"/>
      <c r="Q164" s="1325"/>
      <c r="R164" s="726"/>
      <c r="S164" s="726"/>
      <c r="T164" s="726"/>
      <c r="U164" s="726"/>
      <c r="V164" s="1325"/>
      <c r="W164" s="726"/>
      <c r="X164" s="726"/>
      <c r="Y164" s="726"/>
      <c r="Z164" s="726"/>
      <c r="AA164" s="1325"/>
      <c r="AB164" s="726"/>
      <c r="AC164" s="726"/>
      <c r="AD164" s="726"/>
      <c r="AE164" s="726"/>
      <c r="AF164" s="1325"/>
      <c r="AG164" s="726"/>
      <c r="AH164" s="726"/>
      <c r="AI164" s="726"/>
      <c r="AJ164" s="726"/>
      <c r="AK164" s="1325"/>
      <c r="AL164" s="726"/>
      <c r="AM164" s="726"/>
      <c r="AN164" s="726"/>
      <c r="AO164" s="726"/>
      <c r="AP164" s="1325"/>
      <c r="AQ164" s="726"/>
      <c r="AR164" s="726"/>
      <c r="AS164" s="726"/>
      <c r="AT164" s="726"/>
      <c r="AU164" s="1325"/>
      <c r="AV164" s="726"/>
      <c r="AW164" s="726"/>
      <c r="AX164" s="726"/>
      <c r="AY164" s="726"/>
      <c r="AZ164" s="1325"/>
      <c r="BA164" s="726"/>
      <c r="BB164" s="726"/>
      <c r="BC164" s="726"/>
      <c r="BD164" s="726"/>
      <c r="BE164" s="1325"/>
      <c r="BF164" s="726"/>
      <c r="BG164" s="726"/>
      <c r="BH164" s="808"/>
      <c r="BI164" s="98"/>
      <c r="BJ164" s="1326"/>
      <c r="BK164" s="98"/>
      <c r="BL164" s="98"/>
      <c r="BM164" s="98"/>
      <c r="BN164" s="98"/>
      <c r="BO164" s="1326"/>
      <c r="BP164" s="1325"/>
      <c r="BQ164" s="1325"/>
      <c r="BR164" s="1326"/>
      <c r="BS164" s="648"/>
    </row>
    <row r="165" spans="1:71" s="671" customFormat="1" ht="15" hidden="1" outlineLevel="2">
      <c r="A165" s="23" t="s">
        <v>363</v>
      </c>
      <c r="B165" s="414"/>
      <c r="C165" s="1330">
        <f t="shared" si="392" ref="C165:AM165">1-C163</f>
        <v>0.14200000000000002</v>
      </c>
      <c r="D165" s="1330">
        <f t="shared" si="392"/>
        <v>0.125</v>
      </c>
      <c r="E165" s="1330">
        <f t="shared" si="392"/>
        <v>0.091000000000000081</v>
      </c>
      <c r="F165" s="1330">
        <f t="shared" si="392"/>
        <v>0.052000000000000046</v>
      </c>
      <c r="G165" s="1330">
        <f t="shared" si="392"/>
        <v>0.065000000000000058</v>
      </c>
      <c r="H165" s="199">
        <f t="shared" si="392"/>
        <v>0.094000000000000083</v>
      </c>
      <c r="I165" s="199">
        <f t="shared" si="392"/>
        <v>0.17500000000000004</v>
      </c>
      <c r="J165" s="199">
        <f t="shared" si="392"/>
        <v>0.18600000000000005</v>
      </c>
      <c r="K165" s="199">
        <f t="shared" si="392"/>
        <v>0.22498069963811806</v>
      </c>
      <c r="L165" s="1330">
        <f t="shared" si="392"/>
        <v>0.17200000000000004</v>
      </c>
      <c r="M165" s="199">
        <f t="shared" si="392"/>
        <v>0.16800000000000004</v>
      </c>
      <c r="N165" s="199">
        <f t="shared" si="392"/>
        <v>0.17000000000000004</v>
      </c>
      <c r="O165" s="199">
        <f t="shared" si="392"/>
        <v>0.15200000000000002</v>
      </c>
      <c r="P165" s="199">
        <f t="shared" si="392"/>
        <v>0.14765418793722807</v>
      </c>
      <c r="Q165" s="1330">
        <f t="shared" si="392"/>
        <v>0.15900000000000003</v>
      </c>
      <c r="R165" s="199">
        <f t="shared" si="392"/>
        <v>0.11099999999999999</v>
      </c>
      <c r="S165" s="199">
        <f t="shared" si="392"/>
        <v>0.053000000000000047</v>
      </c>
      <c r="T165" s="199">
        <f t="shared" si="392"/>
        <v>0.0070000000000000062</v>
      </c>
      <c r="U165" s="199">
        <f t="shared" si="392"/>
        <v>0.089666820773617317</v>
      </c>
      <c r="V165" s="1330">
        <f t="shared" si="392"/>
        <v>0.064000000000000057</v>
      </c>
      <c r="W165" s="199">
        <f t="shared" si="392"/>
        <v>0.10399999999999998</v>
      </c>
      <c r="X165" s="199">
        <f t="shared" si="392"/>
        <v>0.084000000000000075</v>
      </c>
      <c r="Y165" s="199">
        <f t="shared" si="392"/>
        <v>0.060000000000000053</v>
      </c>
      <c r="Z165" s="199">
        <f t="shared" si="392"/>
        <v>0.063898649534548602</v>
      </c>
      <c r="AA165" s="1330">
        <f t="shared" si="392"/>
        <v>0.077000000000000068</v>
      </c>
      <c r="AB165" s="199">
        <f t="shared" si="392"/>
        <v>0.11699999999999999</v>
      </c>
      <c r="AC165" s="199">
        <f t="shared" si="392"/>
        <v>0.11299999999999999</v>
      </c>
      <c r="AD165" s="199">
        <f t="shared" si="392"/>
        <v>0.12</v>
      </c>
      <c r="AE165" s="199">
        <f t="shared" si="392"/>
        <v>0.17678413736712972</v>
      </c>
      <c r="AF165" s="1330">
        <f t="shared" si="392"/>
        <v>0.13300000000000001</v>
      </c>
      <c r="AG165" s="199">
        <f t="shared" si="392"/>
        <v>0.16400000000000003</v>
      </c>
      <c r="AH165" s="199">
        <f t="shared" si="392"/>
        <v>0.11599999999999999</v>
      </c>
      <c r="AI165" s="199">
        <f t="shared" si="392"/>
        <v>0.063000000000000056</v>
      </c>
      <c r="AJ165" s="199">
        <f t="shared" si="392"/>
        <v>0.081171758810216654</v>
      </c>
      <c r="AK165" s="1330">
        <f t="shared" si="392"/>
        <v>0.10399999999999998</v>
      </c>
      <c r="AL165" s="199">
        <f t="shared" si="392"/>
        <v>0.094999999999999973</v>
      </c>
      <c r="AM165" s="199">
        <f t="shared" si="392"/>
        <v>0.15900000000000003</v>
      </c>
      <c r="AN165" s="199">
        <f t="shared" si="393" ref="AN165:AU165">1-AN163</f>
        <v>0.128</v>
      </c>
      <c r="AO165" s="199">
        <f t="shared" si="393"/>
        <v>0.13841667907669386</v>
      </c>
      <c r="AP165" s="1330">
        <f t="shared" si="393"/>
        <v>0.13</v>
      </c>
      <c r="AQ165" s="199">
        <f t="shared" si="393"/>
        <v>0.16100000000000003</v>
      </c>
      <c r="AR165" s="199">
        <f t="shared" si="393"/>
        <v>0.080000000000000071</v>
      </c>
      <c r="AS165" s="199">
        <f t="shared" si="393"/>
        <v>0.10499999999999998</v>
      </c>
      <c r="AT165" s="199">
        <f t="shared" si="393"/>
        <v>0.10639009959570078</v>
      </c>
      <c r="AU165" s="1330">
        <f t="shared" si="393"/>
        <v>0.11099999999999999</v>
      </c>
      <c r="AV165" s="199">
        <f t="shared" si="394" ref="AV165:BA165">1-AV163</f>
        <v>0.094999999999999973</v>
      </c>
      <c r="AW165" s="199">
        <f t="shared" si="394"/>
        <v>0.10499999999999998</v>
      </c>
      <c r="AX165" s="199">
        <f t="shared" si="394"/>
        <v>0.10299999999999998</v>
      </c>
      <c r="AY165" s="199">
        <f t="shared" si="394"/>
        <v>0.053903283735249219</v>
      </c>
      <c r="AZ165" s="1330">
        <f t="shared" si="394"/>
        <v>0.088999999999999968</v>
      </c>
      <c r="BA165" s="199">
        <f t="shared" si="394"/>
        <v>0.016000000000000014</v>
      </c>
      <c r="BB165" s="199">
        <f t="shared" si="395" ref="BB165:BG165">1-BB163</f>
        <v>0.036000000000000032</v>
      </c>
      <c r="BC165" s="199">
        <f t="shared" si="395"/>
        <v>0.008999999999999897</v>
      </c>
      <c r="BD165" s="199">
        <f t="shared" si="395"/>
        <v>-0.011391752181098225</v>
      </c>
      <c r="BE165" s="1330">
        <f t="shared" si="395"/>
        <v>0.012000000000000011</v>
      </c>
      <c r="BF165" s="199">
        <f t="shared" si="395"/>
        <v>0.082000000000000073</v>
      </c>
      <c r="BG165" s="199">
        <f t="shared" si="395"/>
        <v>0.1140000000000001</v>
      </c>
      <c r="BH165" s="810">
        <f>1-BH163</f>
        <v>0.11299999999999999</v>
      </c>
      <c r="BI165" s="931"/>
      <c r="BJ165" s="1353"/>
      <c r="BK165" s="931"/>
      <c r="BL165" s="931"/>
      <c r="BM165" s="931"/>
      <c r="BN165" s="931"/>
      <c r="BO165" s="1353"/>
      <c r="BP165" s="1331"/>
      <c r="BQ165" s="1331"/>
      <c r="BR165" s="1353"/>
      <c r="BS165" s="648"/>
    </row>
    <row r="166" spans="1:71" s="665" customFormat="1" ht="15" hidden="1" outlineLevel="1" collapsed="1">
      <c r="A166" s="999"/>
      <c r="B166" s="308"/>
      <c r="C166" s="1351"/>
      <c r="D166" s="1351"/>
      <c r="E166" s="1351"/>
      <c r="F166" s="1351"/>
      <c r="G166" s="1351"/>
      <c r="H166" s="1047"/>
      <c r="I166" s="1047"/>
      <c r="J166" s="1047"/>
      <c r="K166" s="1047"/>
      <c r="L166" s="1351"/>
      <c r="M166" s="1047"/>
      <c r="N166" s="1047"/>
      <c r="O166" s="1047"/>
      <c r="P166" s="1047"/>
      <c r="Q166" s="1351"/>
      <c r="R166" s="1047"/>
      <c r="S166" s="1047"/>
      <c r="T166" s="1047"/>
      <c r="U166" s="1047"/>
      <c r="V166" s="1351"/>
      <c r="W166" s="1047"/>
      <c r="X166" s="1047"/>
      <c r="Y166" s="1047"/>
      <c r="Z166" s="1047"/>
      <c r="AA166" s="1351"/>
      <c r="AB166" s="1047"/>
      <c r="AC166" s="1047"/>
      <c r="AD166" s="1047"/>
      <c r="AE166" s="1047"/>
      <c r="AF166" s="1351"/>
      <c r="AG166" s="1047"/>
      <c r="AH166" s="1047"/>
      <c r="AI166" s="1047"/>
      <c r="AJ166" s="1047"/>
      <c r="AK166" s="1351"/>
      <c r="AL166" s="1047"/>
      <c r="AM166" s="1047"/>
      <c r="AN166" s="1047"/>
      <c r="AO166" s="1047"/>
      <c r="AP166" s="1351"/>
      <c r="AQ166" s="1047"/>
      <c r="AR166" s="1047"/>
      <c r="AS166" s="1047"/>
      <c r="AT166" s="1047"/>
      <c r="AU166" s="1351"/>
      <c r="AV166" s="1047"/>
      <c r="AW166" s="1047"/>
      <c r="AX166" s="1047"/>
      <c r="AY166" s="1047"/>
      <c r="AZ166" s="1351"/>
      <c r="BA166" s="1047"/>
      <c r="BB166" s="1047"/>
      <c r="BC166" s="1047"/>
      <c r="BD166" s="1047"/>
      <c r="BE166" s="1351"/>
      <c r="BF166" s="1047"/>
      <c r="BG166" s="1047"/>
      <c r="BH166" s="1048"/>
      <c r="BI166" s="1044"/>
      <c r="BJ166" s="1350"/>
      <c r="BK166" s="1044"/>
      <c r="BL166" s="1044"/>
      <c r="BM166" s="1044"/>
      <c r="BN166" s="1044"/>
      <c r="BO166" s="1350"/>
      <c r="BP166" s="1351"/>
      <c r="BQ166" s="1351"/>
      <c r="BR166" s="1350"/>
      <c r="BS166" s="648"/>
    </row>
    <row r="167" spans="1:71" s="668" customFormat="1" ht="15" hidden="1" outlineLevel="1">
      <c r="A167" s="991" t="s">
        <v>364</v>
      </c>
      <c r="B167" s="991"/>
      <c r="C167" s="1035"/>
      <c r="D167" s="1035"/>
      <c r="E167" s="1035"/>
      <c r="F167" s="1035"/>
      <c r="G167" s="1035"/>
      <c r="H167" s="1035"/>
      <c r="I167" s="1035"/>
      <c r="J167" s="1035"/>
      <c r="K167" s="1035"/>
      <c r="L167" s="1035"/>
      <c r="M167" s="1035"/>
      <c r="N167" s="1035"/>
      <c r="O167" s="1035"/>
      <c r="P167" s="1035"/>
      <c r="Q167" s="1035"/>
      <c r="R167" s="1035"/>
      <c r="S167" s="1035"/>
      <c r="T167" s="1035"/>
      <c r="U167" s="1035"/>
      <c r="V167" s="1035"/>
      <c r="W167" s="1035"/>
      <c r="X167" s="1035"/>
      <c r="Y167" s="1035"/>
      <c r="Z167" s="1035"/>
      <c r="AA167" s="1035"/>
      <c r="AB167" s="1035"/>
      <c r="AC167" s="1035"/>
      <c r="AD167" s="1035"/>
      <c r="AE167" s="1035"/>
      <c r="AF167" s="1035"/>
      <c r="AG167" s="1035"/>
      <c r="AH167" s="1035"/>
      <c r="AI167" s="1035"/>
      <c r="AJ167" s="1035"/>
      <c r="AK167" s="1035"/>
      <c r="AL167" s="1035"/>
      <c r="AM167" s="1035"/>
      <c r="AN167" s="1035"/>
      <c r="AO167" s="1035"/>
      <c r="AP167" s="1035"/>
      <c r="AQ167" s="1035"/>
      <c r="AR167" s="1035"/>
      <c r="AS167" s="1035"/>
      <c r="AT167" s="1035"/>
      <c r="AU167" s="1035"/>
      <c r="AV167" s="1035"/>
      <c r="AW167" s="1035"/>
      <c r="AX167" s="1035"/>
      <c r="AY167" s="1035"/>
      <c r="AZ167" s="1035"/>
      <c r="BA167" s="1035"/>
      <c r="BB167" s="1035"/>
      <c r="BC167" s="1035"/>
      <c r="BD167" s="1035"/>
      <c r="BE167" s="1035"/>
      <c r="BF167" s="1035"/>
      <c r="BG167" s="1035"/>
      <c r="BH167" s="1036"/>
      <c r="BI167" s="1037"/>
      <c r="BJ167" s="1037"/>
      <c r="BK167" s="1037"/>
      <c r="BL167" s="1037"/>
      <c r="BM167" s="1037"/>
      <c r="BN167" s="1037"/>
      <c r="BO167" s="1037"/>
      <c r="BP167" s="1035"/>
      <c r="BQ167" s="1035"/>
      <c r="BR167" s="1037"/>
      <c r="BS167" s="648"/>
    </row>
    <row r="168" spans="1:71" s="668" customFormat="1" ht="15" hidden="1" outlineLevel="2">
      <c r="A168" s="25" t="s">
        <v>479</v>
      </c>
      <c r="B168" s="394"/>
      <c r="C168" s="1322"/>
      <c r="D168" s="1322"/>
      <c r="E168" s="1322"/>
      <c r="F168" s="1322"/>
      <c r="G168" s="1322"/>
      <c r="H168" s="1031"/>
      <c r="I168" s="1031"/>
      <c r="J168" s="1031"/>
      <c r="K168" s="1031"/>
      <c r="L168" s="1322"/>
      <c r="M168" s="1031"/>
      <c r="N168" s="1021">
        <f>M170</f>
        <v>0</v>
      </c>
      <c r="O168" s="1021">
        <f>N170</f>
        <v>1054.70</v>
      </c>
      <c r="P168" s="1021">
        <f>O170</f>
        <v>1070.20</v>
      </c>
      <c r="Q168" s="1354">
        <v>0</v>
      </c>
      <c r="R168" s="1021">
        <f>Q170</f>
        <v>1076.50</v>
      </c>
      <c r="S168" s="1021">
        <f>R170</f>
        <v>1078.50</v>
      </c>
      <c r="T168" s="1021">
        <f>S170</f>
        <v>1177</v>
      </c>
      <c r="U168" s="1021">
        <f>T170</f>
        <v>1184.70</v>
      </c>
      <c r="V168" s="1320">
        <f>Q170</f>
        <v>1076.50</v>
      </c>
      <c r="W168" s="1021">
        <f>V170</f>
        <v>1201.9000000000001</v>
      </c>
      <c r="X168" s="1021">
        <f>W170</f>
        <v>1265.30</v>
      </c>
      <c r="Y168" s="1021">
        <f>X170</f>
        <v>1311.10</v>
      </c>
      <c r="Z168" s="1021">
        <f>Y170</f>
        <v>1375.60</v>
      </c>
      <c r="AA168" s="1320">
        <f>V170</f>
        <v>1201.9000000000001</v>
      </c>
      <c r="AB168" s="1021">
        <f>AA170</f>
        <v>1461.70</v>
      </c>
      <c r="AC168" s="1021">
        <f>AB170</f>
        <v>1651</v>
      </c>
      <c r="AD168" s="1021">
        <f>AC170</f>
        <v>1766.60</v>
      </c>
      <c r="AE168" s="1021">
        <f>AD170</f>
        <v>1867</v>
      </c>
      <c r="AF168" s="1320">
        <f>AA170</f>
        <v>1461.70</v>
      </c>
      <c r="AG168" s="1021">
        <f>AF170</f>
        <v>1936.50</v>
      </c>
      <c r="AH168" s="1021">
        <f>AG170</f>
        <v>2002.30</v>
      </c>
      <c r="AI168" s="1021">
        <f>AH170</f>
        <v>2071.60</v>
      </c>
      <c r="AJ168" s="1021">
        <f>AI170</f>
        <v>2144.3000000000002</v>
      </c>
      <c r="AK168" s="1320">
        <f>AF170</f>
        <v>1936.50</v>
      </c>
      <c r="AL168" s="1021">
        <f>AK170</f>
        <v>2202.10</v>
      </c>
      <c r="AM168" s="1021">
        <f>AL170</f>
        <v>2264.10</v>
      </c>
      <c r="AN168" s="1021">
        <f>AM170</f>
        <v>2336.10</v>
      </c>
      <c r="AO168" s="1021">
        <f>AN170</f>
        <v>2421</v>
      </c>
      <c r="AP168" s="1320">
        <f>AK170</f>
        <v>2202.10</v>
      </c>
      <c r="AQ168" s="1021">
        <f>AP170</f>
        <v>2484.40</v>
      </c>
      <c r="AR168" s="1021">
        <f>AQ170</f>
        <v>2566.3000000000002</v>
      </c>
      <c r="AS168" s="1021">
        <f>AR170</f>
        <v>2655.50</v>
      </c>
      <c r="AT168" s="1021">
        <f>AS170</f>
        <v>2735</v>
      </c>
      <c r="AU168" s="1320">
        <f>AP170</f>
        <v>2484.40</v>
      </c>
      <c r="AV168" s="1021">
        <f>AU170</f>
        <v>2776.20</v>
      </c>
      <c r="AW168" s="1021">
        <f>AV170</f>
        <v>2802.20</v>
      </c>
      <c r="AX168" s="1021">
        <f>AW170</f>
        <v>2823</v>
      </c>
      <c r="AY168" s="1021">
        <f>AX170</f>
        <v>2835.50</v>
      </c>
      <c r="AZ168" s="1320">
        <f>AU170</f>
        <v>2776.20</v>
      </c>
      <c r="BA168" s="1021">
        <f>AZ170</f>
        <v>2851.30</v>
      </c>
      <c r="BB168" s="1021">
        <f>BA170</f>
        <v>2912.60</v>
      </c>
      <c r="BC168" s="1021">
        <f>BB170</f>
        <v>2974.30</v>
      </c>
      <c r="BD168" s="1021">
        <f>BC170</f>
        <v>3025.20</v>
      </c>
      <c r="BE168" s="1320">
        <f>AZ170</f>
        <v>2851.30</v>
      </c>
      <c r="BF168" s="1021">
        <f>BE170</f>
        <v>3096.50</v>
      </c>
      <c r="BG168" s="1021">
        <f>BF170</f>
        <v>3208.90</v>
      </c>
      <c r="BH168" s="1022">
        <f>BG170</f>
        <v>3339.10</v>
      </c>
      <c r="BI168" s="1023">
        <f>BH170</f>
        <v>3459.60</v>
      </c>
      <c r="BJ168" s="1321">
        <f>BE170</f>
        <v>3096.50</v>
      </c>
      <c r="BK168" s="1023">
        <f>BI170</f>
        <v>3528.7919999999999</v>
      </c>
      <c r="BL168" s="1023">
        <f>BK170</f>
        <v>3599.3678399999999</v>
      </c>
      <c r="BM168" s="1023">
        <f>BL170</f>
        <v>3671.3551968000002</v>
      </c>
      <c r="BN168" s="1023">
        <f>BM170</f>
        <v>3744.7823007360003</v>
      </c>
      <c r="BO168" s="1321">
        <f>BJ170</f>
        <v>3528.7919999999999</v>
      </c>
      <c r="BP168" s="1322">
        <f>BO170</f>
        <v>3819.6779467507204</v>
      </c>
      <c r="BQ168" s="1322">
        <f>BP170</f>
        <v>3896.0715056857348</v>
      </c>
      <c r="BR168" s="1321">
        <f>BQ170</f>
        <v>3973.9929357994497</v>
      </c>
      <c r="BS168" s="648"/>
    </row>
    <row r="169" spans="1:71" s="665" customFormat="1" ht="15" hidden="1" outlineLevel="2">
      <c r="A169" s="1000" t="s">
        <v>480</v>
      </c>
      <c r="B169" s="260"/>
      <c r="C169" s="1324"/>
      <c r="D169" s="1324"/>
      <c r="E169" s="1324"/>
      <c r="F169" s="1324"/>
      <c r="G169" s="1324"/>
      <c r="H169" s="1029"/>
      <c r="I169" s="1029"/>
      <c r="J169" s="1029"/>
      <c r="K169" s="1029"/>
      <c r="L169" s="1324"/>
      <c r="M169" s="1029"/>
      <c r="N169" s="1027">
        <f t="shared" si="396" ref="N169:AM169">N170-N168</f>
        <v>1054.70</v>
      </c>
      <c r="O169" s="1027">
        <f t="shared" si="396"/>
        <v>15.50</v>
      </c>
      <c r="P169" s="1027">
        <f t="shared" si="396"/>
        <v>6.2999999999999545</v>
      </c>
      <c r="Q169" s="1323">
        <f t="shared" si="396"/>
        <v>1076.50</v>
      </c>
      <c r="R169" s="1027">
        <f t="shared" si="396"/>
        <v>2</v>
      </c>
      <c r="S169" s="1027">
        <f t="shared" si="396"/>
        <v>98.50</v>
      </c>
      <c r="T169" s="1027">
        <f t="shared" si="396"/>
        <v>7.7000000000000455</v>
      </c>
      <c r="U169" s="1027">
        <f t="shared" si="396"/>
        <v>17.200000000000045</v>
      </c>
      <c r="V169" s="1323">
        <f t="shared" si="396"/>
        <v>125.40000000000009</v>
      </c>
      <c r="W169" s="1027">
        <f t="shared" si="396"/>
        <v>63.399999999999864</v>
      </c>
      <c r="X169" s="1027">
        <f t="shared" si="396"/>
        <v>45.799999999999955</v>
      </c>
      <c r="Y169" s="1027">
        <f t="shared" si="396"/>
        <v>64.50</v>
      </c>
      <c r="Z169" s="1027">
        <f t="shared" si="396"/>
        <v>86.100000000000136</v>
      </c>
      <c r="AA169" s="1323">
        <f t="shared" si="396"/>
        <v>259.79999999999995</v>
      </c>
      <c r="AB169" s="1027">
        <f t="shared" si="396"/>
        <v>189.29999999999995</v>
      </c>
      <c r="AC169" s="1027">
        <f t="shared" si="396"/>
        <v>115.59999999999991</v>
      </c>
      <c r="AD169" s="1027">
        <f t="shared" si="396"/>
        <v>100.40000000000009</v>
      </c>
      <c r="AE169" s="1027">
        <f t="shared" si="396"/>
        <v>69.50</v>
      </c>
      <c r="AF169" s="1323">
        <f t="shared" si="396"/>
        <v>474.79999999999995</v>
      </c>
      <c r="AG169" s="1027">
        <f t="shared" si="396"/>
        <v>65.799999999999955</v>
      </c>
      <c r="AH169" s="1027">
        <f t="shared" si="396"/>
        <v>69.299999999999955</v>
      </c>
      <c r="AI169" s="1027">
        <f t="shared" si="396"/>
        <v>72.700000000000273</v>
      </c>
      <c r="AJ169" s="1027">
        <f t="shared" si="396"/>
        <v>57.799999999999727</v>
      </c>
      <c r="AK169" s="1323">
        <f t="shared" si="396"/>
        <v>265.59999999999991</v>
      </c>
      <c r="AL169" s="1027">
        <f t="shared" si="396"/>
        <v>62</v>
      </c>
      <c r="AM169" s="1027">
        <f t="shared" si="396"/>
        <v>72</v>
      </c>
      <c r="AN169" s="1027">
        <f t="shared" si="397" ref="AN169:AU169">AN170-AN168</f>
        <v>84.900000000000091</v>
      </c>
      <c r="AO169" s="1027">
        <f t="shared" si="397"/>
        <v>63.400000000000091</v>
      </c>
      <c r="AP169" s="1323">
        <f t="shared" si="397"/>
        <v>282.30000000000018</v>
      </c>
      <c r="AQ169" s="1027">
        <f t="shared" si="397"/>
        <v>81.900000000000091</v>
      </c>
      <c r="AR169" s="1027">
        <f t="shared" si="397"/>
        <v>89.199999999999818</v>
      </c>
      <c r="AS169" s="1027">
        <f t="shared" si="397"/>
        <v>79.50</v>
      </c>
      <c r="AT169" s="1027">
        <f t="shared" si="397"/>
        <v>41.199999999999818</v>
      </c>
      <c r="AU169" s="1323">
        <f t="shared" si="397"/>
        <v>291.79999999999973</v>
      </c>
      <c r="AV169" s="1027">
        <f t="shared" si="398" ref="AV169:AZ169">AV170-AV168</f>
        <v>26</v>
      </c>
      <c r="AW169" s="1027">
        <f t="shared" si="398"/>
        <v>20.800000000000182</v>
      </c>
      <c r="AX169" s="1027">
        <f t="shared" si="398"/>
        <v>12.50</v>
      </c>
      <c r="AY169" s="1027">
        <f t="shared" si="398"/>
        <v>15.800000000000182</v>
      </c>
      <c r="AZ169" s="1323">
        <f t="shared" si="398"/>
        <v>75.100000000000364</v>
      </c>
      <c r="BA169" s="1027">
        <f t="shared" si="399" ref="BA169:BI169">BA170-BA168</f>
        <v>61.299999999999727</v>
      </c>
      <c r="BB169" s="1027">
        <f t="shared" si="399"/>
        <v>61.700000000000273</v>
      </c>
      <c r="BC169" s="1027">
        <f t="shared" si="399"/>
        <v>50.899999999999636</v>
      </c>
      <c r="BD169" s="1027">
        <f t="shared" si="399"/>
        <v>71.300000000000182</v>
      </c>
      <c r="BE169" s="1323">
        <f t="shared" si="399"/>
        <v>245.19999999999982</v>
      </c>
      <c r="BF169" s="1027">
        <f>BF170-BF168</f>
        <v>112.40000000000009</v>
      </c>
      <c r="BG169" s="1027">
        <f>BG170-BG168</f>
        <v>130.19999999999982</v>
      </c>
      <c r="BH169" s="1028">
        <f>BH170-BH168</f>
        <v>120.50</v>
      </c>
      <c r="BI169" s="1029">
        <f t="shared" si="399"/>
        <v>69.192000000000007</v>
      </c>
      <c r="BJ169" s="1324">
        <f>SUM(BF169,BG169,BH169,BI169)</f>
        <v>432.29199999999992</v>
      </c>
      <c r="BK169" s="1029">
        <f>BK170-BK168</f>
        <v>70.575839999999971</v>
      </c>
      <c r="BL169" s="1029">
        <f>BL170-BL168</f>
        <v>71.987356800000271</v>
      </c>
      <c r="BM169" s="1029">
        <f>BM170-BM168</f>
        <v>73.427103936000094</v>
      </c>
      <c r="BN169" s="1029">
        <f>BN170-BN168</f>
        <v>74.895646014720114</v>
      </c>
      <c r="BO169" s="1324">
        <f>SUM(BK169,BL169,BM169,BN169)</f>
        <v>290.88594675072045</v>
      </c>
      <c r="BP169" s="1324">
        <f>BP170-BP168</f>
        <v>76.393558935014426</v>
      </c>
      <c r="BQ169" s="1324">
        <f>BQ170-BQ168</f>
        <v>77.921430113714905</v>
      </c>
      <c r="BR169" s="1324">
        <f>BR170-BR168</f>
        <v>79.479858715988939</v>
      </c>
      <c r="BS169" s="648"/>
    </row>
    <row r="170" spans="1:71" s="668" customFormat="1" ht="15" hidden="1" outlineLevel="2">
      <c r="A170" s="25" t="s">
        <v>481</v>
      </c>
      <c r="B170" s="394"/>
      <c r="C170" s="1322"/>
      <c r="D170" s="1322"/>
      <c r="E170" s="1322"/>
      <c r="F170" s="1322"/>
      <c r="G170" s="1322"/>
      <c r="H170" s="1031"/>
      <c r="I170" s="1031"/>
      <c r="J170" s="1031"/>
      <c r="K170" s="1031"/>
      <c r="L170" s="1322"/>
      <c r="M170" s="1031"/>
      <c r="N170" s="1021">
        <f t="shared" si="400" ref="N170:AU170">N209</f>
        <v>1054.70</v>
      </c>
      <c r="O170" s="1021">
        <f t="shared" si="400"/>
        <v>1070.20</v>
      </c>
      <c r="P170" s="1021">
        <f t="shared" si="400"/>
        <v>1076.50</v>
      </c>
      <c r="Q170" s="1320">
        <f t="shared" si="400"/>
        <v>1076.50</v>
      </c>
      <c r="R170" s="1021">
        <f t="shared" si="400"/>
        <v>1078.50</v>
      </c>
      <c r="S170" s="1021">
        <f t="shared" si="400"/>
        <v>1177</v>
      </c>
      <c r="T170" s="1021">
        <f t="shared" si="400"/>
        <v>1184.70</v>
      </c>
      <c r="U170" s="1021">
        <f t="shared" si="400"/>
        <v>1201.9000000000001</v>
      </c>
      <c r="V170" s="1320">
        <f t="shared" si="400"/>
        <v>1201.9000000000001</v>
      </c>
      <c r="W170" s="1021">
        <f t="shared" si="400"/>
        <v>1265.30</v>
      </c>
      <c r="X170" s="1021">
        <f t="shared" si="400"/>
        <v>1311.10</v>
      </c>
      <c r="Y170" s="1021">
        <f t="shared" si="400"/>
        <v>1375.60</v>
      </c>
      <c r="Z170" s="1021">
        <f t="shared" si="400"/>
        <v>1461.70</v>
      </c>
      <c r="AA170" s="1320">
        <f t="shared" si="400"/>
        <v>1461.70</v>
      </c>
      <c r="AB170" s="1021">
        <f t="shared" si="400"/>
        <v>1651</v>
      </c>
      <c r="AC170" s="1021">
        <f t="shared" si="400"/>
        <v>1766.60</v>
      </c>
      <c r="AD170" s="1021">
        <f t="shared" si="400"/>
        <v>1867</v>
      </c>
      <c r="AE170" s="1021">
        <f t="shared" si="400"/>
        <v>1936.50</v>
      </c>
      <c r="AF170" s="1320">
        <f t="shared" si="400"/>
        <v>1936.50</v>
      </c>
      <c r="AG170" s="1021">
        <f t="shared" si="400"/>
        <v>2002.30</v>
      </c>
      <c r="AH170" s="1021">
        <f t="shared" si="400"/>
        <v>2071.60</v>
      </c>
      <c r="AI170" s="1021">
        <f t="shared" si="400"/>
        <v>2144.3000000000002</v>
      </c>
      <c r="AJ170" s="1021">
        <f t="shared" si="400"/>
        <v>2202.10</v>
      </c>
      <c r="AK170" s="1320">
        <f t="shared" si="400"/>
        <v>2202.10</v>
      </c>
      <c r="AL170" s="1021">
        <f t="shared" si="400"/>
        <v>2264.10</v>
      </c>
      <c r="AM170" s="1021">
        <f t="shared" si="400"/>
        <v>2336.10</v>
      </c>
      <c r="AN170" s="1021">
        <f t="shared" si="400"/>
        <v>2421</v>
      </c>
      <c r="AO170" s="1021">
        <f t="shared" si="400"/>
        <v>2484.40</v>
      </c>
      <c r="AP170" s="1320">
        <f t="shared" si="400"/>
        <v>2484.40</v>
      </c>
      <c r="AQ170" s="1021">
        <f t="shared" si="400"/>
        <v>2566.3000000000002</v>
      </c>
      <c r="AR170" s="1021">
        <f t="shared" si="400"/>
        <v>2655.50</v>
      </c>
      <c r="AS170" s="1021">
        <f t="shared" si="400"/>
        <v>2735</v>
      </c>
      <c r="AT170" s="1021">
        <f t="shared" si="400"/>
        <v>2776.20</v>
      </c>
      <c r="AU170" s="1320">
        <f t="shared" si="400"/>
        <v>2776.20</v>
      </c>
      <c r="AV170" s="1021">
        <f t="shared" si="401" ref="AV170:BA170">AV209</f>
        <v>2802.20</v>
      </c>
      <c r="AW170" s="1021">
        <f t="shared" si="401"/>
        <v>2823</v>
      </c>
      <c r="AX170" s="1021">
        <f t="shared" si="401"/>
        <v>2835.50</v>
      </c>
      <c r="AY170" s="1021">
        <f t="shared" si="401"/>
        <v>2851.30</v>
      </c>
      <c r="AZ170" s="1320">
        <f t="shared" si="401"/>
        <v>2851.30</v>
      </c>
      <c r="BA170" s="1021">
        <f t="shared" si="401"/>
        <v>2912.60</v>
      </c>
      <c r="BB170" s="1021">
        <f t="shared" si="402" ref="BB170:BG170">BB209</f>
        <v>2974.30</v>
      </c>
      <c r="BC170" s="1021">
        <f t="shared" si="402"/>
        <v>3025.20</v>
      </c>
      <c r="BD170" s="1021">
        <f t="shared" si="402"/>
        <v>3096.50</v>
      </c>
      <c r="BE170" s="1320">
        <f t="shared" si="402"/>
        <v>3096.50</v>
      </c>
      <c r="BF170" s="1021">
        <f t="shared" si="402"/>
        <v>3208.90</v>
      </c>
      <c r="BG170" s="1021">
        <f t="shared" si="402"/>
        <v>3339.10</v>
      </c>
      <c r="BH170" s="1022">
        <f>BH209</f>
        <v>3459.60</v>
      </c>
      <c r="BI170" s="1023">
        <f>BH170*(1+BI171)</f>
        <v>3528.7919999999999</v>
      </c>
      <c r="BJ170" s="1321">
        <f>BJ168+BJ169</f>
        <v>3528.7919999999999</v>
      </c>
      <c r="BK170" s="1023">
        <f>BI170*(1+BK171)</f>
        <v>3599.3678399999999</v>
      </c>
      <c r="BL170" s="1023">
        <f>BK170*(1+BL171)</f>
        <v>3671.3551968000002</v>
      </c>
      <c r="BM170" s="1023">
        <f>BL170*(1+BM171)</f>
        <v>3744.7823007360003</v>
      </c>
      <c r="BN170" s="1023">
        <f>BM170*(1+BN171)</f>
        <v>3819.6779467507204</v>
      </c>
      <c r="BO170" s="1321">
        <f>BO168+BO169</f>
        <v>3819.6779467507204</v>
      </c>
      <c r="BP170" s="1322">
        <f>BO170*(1+BP172)</f>
        <v>3896.0715056857348</v>
      </c>
      <c r="BQ170" s="1322">
        <f>BP170*(1+BQ172)</f>
        <v>3973.9929357994497</v>
      </c>
      <c r="BR170" s="1321">
        <f>BQ170*(1+BR172)</f>
        <v>4053.4727945154386</v>
      </c>
      <c r="BS170" s="648"/>
    </row>
    <row r="171" spans="1:71" s="669" customFormat="1" ht="15" hidden="1" outlineLevel="2">
      <c r="A171" s="107" t="s">
        <v>474</v>
      </c>
      <c r="B171" s="108"/>
      <c r="C171" s="1325"/>
      <c r="D171" s="1325"/>
      <c r="E171" s="1325"/>
      <c r="F171" s="1325"/>
      <c r="G171" s="1325"/>
      <c r="H171" s="726"/>
      <c r="I171" s="726"/>
      <c r="J171" s="726"/>
      <c r="K171" s="726"/>
      <c r="L171" s="1325"/>
      <c r="M171" s="726"/>
      <c r="N171" s="726"/>
      <c r="O171" s="726">
        <f>O170/N170-1</f>
        <v>0.014696122120034127</v>
      </c>
      <c r="P171" s="726">
        <f>P170/O170-1</f>
        <v>0.0058867501401607125</v>
      </c>
      <c r="Q171" s="1325"/>
      <c r="R171" s="726">
        <f>R170/P170-1</f>
        <v>0.0018578727357176916</v>
      </c>
      <c r="S171" s="726">
        <f>S170/R170-1</f>
        <v>0.091330551692164974</v>
      </c>
      <c r="T171" s="726">
        <f>T170/S170-1</f>
        <v>0.0065420560747664336</v>
      </c>
      <c r="U171" s="726">
        <f>U170/T170-1</f>
        <v>0.014518443487802957</v>
      </c>
      <c r="V171" s="1325"/>
      <c r="W171" s="726">
        <f>W170/U170-1</f>
        <v>0.052749812796405671</v>
      </c>
      <c r="X171" s="726">
        <f>X170/W170-1</f>
        <v>0.036196949340077333</v>
      </c>
      <c r="Y171" s="726">
        <f>Y170/X170-1</f>
        <v>0.049195332163831873</v>
      </c>
      <c r="Z171" s="726">
        <f>Z170/Y170-1</f>
        <v>0.062590869438790442</v>
      </c>
      <c r="AA171" s="1325"/>
      <c r="AB171" s="726">
        <f>AB170/Z170-1</f>
        <v>0.1295067387288773</v>
      </c>
      <c r="AC171" s="726">
        <f>AC170/AB170-1</f>
        <v>0.070018170805572266</v>
      </c>
      <c r="AD171" s="726">
        <f>AD170/AC170-1</f>
        <v>0.056832333295596005</v>
      </c>
      <c r="AE171" s="726">
        <f>AE170/AD170-1</f>
        <v>0.037225495447241519</v>
      </c>
      <c r="AF171" s="1325"/>
      <c r="AG171" s="726">
        <f>AG170/AE170-1</f>
        <v>0.033978827782080945</v>
      </c>
      <c r="AH171" s="726">
        <f>AH170/AG170-1</f>
        <v>0.034610198271987302</v>
      </c>
      <c r="AI171" s="726">
        <f>AI170/AH170-1</f>
        <v>0.035093647422282492</v>
      </c>
      <c r="AJ171" s="726">
        <f>AJ170/AI170-1</f>
        <v>0.026955183509769887</v>
      </c>
      <c r="AK171" s="1325"/>
      <c r="AL171" s="726">
        <f>AL170/AJ170-1</f>
        <v>0.028154943008946054</v>
      </c>
      <c r="AM171" s="726">
        <f>AM170/AL170-1</f>
        <v>0.031800715516099087</v>
      </c>
      <c r="AN171" s="726">
        <f>AN170/AM170-1</f>
        <v>0.036342622319250006</v>
      </c>
      <c r="AO171" s="726">
        <f>AO170/AN170-1</f>
        <v>0.026187525815778656</v>
      </c>
      <c r="AP171" s="1325"/>
      <c r="AQ171" s="726">
        <f>AQ170/AO170-1</f>
        <v>0.032965706005474216</v>
      </c>
      <c r="AR171" s="726">
        <f>AR170/AQ170-1</f>
        <v>0.034758212212134154</v>
      </c>
      <c r="AS171" s="726">
        <f>AS170/AR170-1</f>
        <v>0.029937864808887271</v>
      </c>
      <c r="AT171" s="726">
        <f>AT170/AS170-1</f>
        <v>0.015063985374771383</v>
      </c>
      <c r="AU171" s="1325"/>
      <c r="AV171" s="726">
        <f>AV170/AT170-1</f>
        <v>0.0093653195014768986</v>
      </c>
      <c r="AW171" s="726">
        <f>AW170/AV170-1</f>
        <v>0.007422739276282897</v>
      </c>
      <c r="AX171" s="726">
        <f>AX170/AW170-1</f>
        <v>0.0044279135671272396</v>
      </c>
      <c r="AY171" s="726">
        <f>AY170/AX170-1</f>
        <v>0.0055722094868631</v>
      </c>
      <c r="AZ171" s="1325"/>
      <c r="BA171" s="726">
        <f>BA170/AY170-1</f>
        <v>0.021498965384210589</v>
      </c>
      <c r="BB171" s="726">
        <f>BB170/BA170-1</f>
        <v>0.021183822014694931</v>
      </c>
      <c r="BC171" s="726">
        <f>BC170/BB170-1</f>
        <v>0.017113270349325749</v>
      </c>
      <c r="BD171" s="726">
        <f>BD170/BC170-1</f>
        <v>0.023568689673410192</v>
      </c>
      <c r="BE171" s="1325"/>
      <c r="BF171" s="726">
        <f>BF170/BD170-1</f>
        <v>0.036299047311480814</v>
      </c>
      <c r="BG171" s="726">
        <f>BG170/BF170-1</f>
        <v>0.040574651749820667</v>
      </c>
      <c r="BH171" s="808">
        <f>BH170/BG170-1</f>
        <v>0.036087568506483869</v>
      </c>
      <c r="BI171" s="1215">
        <v>0.02</v>
      </c>
      <c r="BJ171" s="1326"/>
      <c r="BK171" s="1215">
        <v>0.02</v>
      </c>
      <c r="BL171" s="1215">
        <v>0.02</v>
      </c>
      <c r="BM171" s="1215">
        <v>0.02</v>
      </c>
      <c r="BN171" s="1215">
        <v>0.02</v>
      </c>
      <c r="BO171" s="1326"/>
      <c r="BP171" s="1325"/>
      <c r="BQ171" s="1325"/>
      <c r="BR171" s="1326"/>
      <c r="BS171" s="648"/>
    </row>
    <row r="172" spans="1:71" s="669" customFormat="1" ht="15" hidden="1" outlineLevel="2">
      <c r="A172" s="107" t="s">
        <v>475</v>
      </c>
      <c r="B172" s="108"/>
      <c r="C172" s="1325"/>
      <c r="D172" s="1325"/>
      <c r="E172" s="1325"/>
      <c r="F172" s="1325"/>
      <c r="G172" s="1325"/>
      <c r="H172" s="726"/>
      <c r="I172" s="726"/>
      <c r="J172" s="726"/>
      <c r="K172" s="726"/>
      <c r="L172" s="1325"/>
      <c r="M172" s="726"/>
      <c r="N172" s="726"/>
      <c r="O172" s="726"/>
      <c r="P172" s="726"/>
      <c r="Q172" s="1325"/>
      <c r="R172" s="726"/>
      <c r="S172" s="726">
        <f t="shared" si="403" ref="S172:AU172">S170/N170-1</f>
        <v>0.11595714421162406</v>
      </c>
      <c r="T172" s="726">
        <f t="shared" si="403"/>
        <v>0.10698934778546065</v>
      </c>
      <c r="U172" s="726">
        <f t="shared" si="403"/>
        <v>0.11648862052949371</v>
      </c>
      <c r="V172" s="1325">
        <f t="shared" si="403"/>
        <v>0.11648862052949371</v>
      </c>
      <c r="W172" s="726">
        <f t="shared" si="403"/>
        <v>0.17320352341214651</v>
      </c>
      <c r="X172" s="726">
        <f t="shared" si="403"/>
        <v>0.11393372982158012</v>
      </c>
      <c r="Y172" s="726">
        <f t="shared" si="403"/>
        <v>0.16113784080357885</v>
      </c>
      <c r="Z172" s="726">
        <f t="shared" si="403"/>
        <v>0.21615775022880435</v>
      </c>
      <c r="AA172" s="1325">
        <f t="shared" si="403"/>
        <v>0.21615775022880435</v>
      </c>
      <c r="AB172" s="726">
        <f t="shared" si="403"/>
        <v>0.30482889433335969</v>
      </c>
      <c r="AC172" s="726">
        <f t="shared" si="403"/>
        <v>0.34741819845930899</v>
      </c>
      <c r="AD172" s="726">
        <f t="shared" si="403"/>
        <v>0.35722593777260836</v>
      </c>
      <c r="AE172" s="726">
        <f t="shared" si="403"/>
        <v>0.32482725593487038</v>
      </c>
      <c r="AF172" s="1325">
        <f t="shared" si="403"/>
        <v>0.32482725593487038</v>
      </c>
      <c r="AG172" s="726">
        <f t="shared" si="403"/>
        <v>0.21278013325257428</v>
      </c>
      <c r="AH172" s="726">
        <f t="shared" si="403"/>
        <v>0.17264802445375294</v>
      </c>
      <c r="AI172" s="726">
        <f t="shared" si="403"/>
        <v>0.14852704874129619</v>
      </c>
      <c r="AJ172" s="726">
        <f t="shared" si="403"/>
        <v>0.13715466046991986</v>
      </c>
      <c r="AK172" s="1325">
        <f t="shared" si="403"/>
        <v>0.13715466046991986</v>
      </c>
      <c r="AL172" s="726">
        <f t="shared" si="403"/>
        <v>0.13074963791639616</v>
      </c>
      <c r="AM172" s="726">
        <f t="shared" si="403"/>
        <v>0.12767908862714816</v>
      </c>
      <c r="AN172" s="726">
        <f t="shared" si="403"/>
        <v>0.12903977988154636</v>
      </c>
      <c r="AO172" s="726">
        <f t="shared" si="403"/>
        <v>0.12819581308750738</v>
      </c>
      <c r="AP172" s="1325">
        <f t="shared" si="403"/>
        <v>0.12819581308750738</v>
      </c>
      <c r="AQ172" s="726">
        <f t="shared" si="403"/>
        <v>0.13347466984673839</v>
      </c>
      <c r="AR172" s="726">
        <f t="shared" si="403"/>
        <v>0.13672359916099497</v>
      </c>
      <c r="AS172" s="726">
        <f t="shared" si="403"/>
        <v>0.12969847170590665</v>
      </c>
      <c r="AT172" s="726">
        <f t="shared" si="403"/>
        <v>0.11745290613427772</v>
      </c>
      <c r="AU172" s="1325">
        <f t="shared" si="403"/>
        <v>0.11745290613427772</v>
      </c>
      <c r="AV172" s="726">
        <f t="shared" si="404" ref="AV172:AZ172">AV170/AQ170-1</f>
        <v>0.091922222655184349</v>
      </c>
      <c r="AW172" s="726">
        <f t="shared" si="404"/>
        <v>0.063076633402372462</v>
      </c>
      <c r="AX172" s="726">
        <f t="shared" si="404"/>
        <v>0.036745886654478976</v>
      </c>
      <c r="AY172" s="726">
        <f t="shared" si="404"/>
        <v>0.027051365175419839</v>
      </c>
      <c r="AZ172" s="1325">
        <f t="shared" si="404"/>
        <v>0.027051365175419839</v>
      </c>
      <c r="BA172" s="726">
        <f t="shared" si="405" ref="BA172:BO172">BA170/AV170-1</f>
        <v>0.039397616158732385</v>
      </c>
      <c r="BB172" s="726">
        <f t="shared" si="405"/>
        <v>0.053595465816507426</v>
      </c>
      <c r="BC172" s="726">
        <f t="shared" si="405"/>
        <v>0.066901780991006854</v>
      </c>
      <c r="BD172" s="726">
        <f t="shared" si="405"/>
        <v>0.085995861536842799</v>
      </c>
      <c r="BE172" s="1325">
        <f t="shared" si="405"/>
        <v>0.085995861536842799</v>
      </c>
      <c r="BF172" s="726">
        <f>BF170/BA170-1</f>
        <v>0.10173041268969318</v>
      </c>
      <c r="BG172" s="726">
        <f>BG170/BB170-1</f>
        <v>0.12265070772954978</v>
      </c>
      <c r="BH172" s="808">
        <f>BH170/BC170-1</f>
        <v>0.14359381197937338</v>
      </c>
      <c r="BI172" s="98">
        <f t="shared" si="405"/>
        <v>0.13960665267237204</v>
      </c>
      <c r="BJ172" s="1326">
        <f t="shared" si="405"/>
        <v>0.13960665267237204</v>
      </c>
      <c r="BK172" s="98">
        <f t="shared" si="405"/>
        <v>0.1216827697965035</v>
      </c>
      <c r="BL172" s="98">
        <f t="shared" si="405"/>
        <v>0.099504416399628814</v>
      </c>
      <c r="BM172" s="98">
        <f t="shared" si="405"/>
        <v>0.082432160000000199</v>
      </c>
      <c r="BN172" s="98">
        <f t="shared" si="405"/>
        <v>0.082432160000000199</v>
      </c>
      <c r="BO172" s="1326">
        <f t="shared" si="405"/>
        <v>0.082432160000000199</v>
      </c>
      <c r="BP172" s="1341">
        <v>0.02</v>
      </c>
      <c r="BQ172" s="1341">
        <v>0.02</v>
      </c>
      <c r="BR172" s="1342">
        <v>0.02</v>
      </c>
      <c r="BS172" s="648"/>
    </row>
    <row r="173" spans="1:71" s="668" customFormat="1" ht="15" hidden="1" outlineLevel="2">
      <c r="A173" s="25" t="s">
        <v>482</v>
      </c>
      <c r="B173" s="394"/>
      <c r="C173" s="1322"/>
      <c r="D173" s="1322"/>
      <c r="E173" s="1322"/>
      <c r="F173" s="1322"/>
      <c r="G173" s="1322"/>
      <c r="H173" s="1031"/>
      <c r="I173" s="1031"/>
      <c r="J173" s="1031"/>
      <c r="K173" s="1031"/>
      <c r="L173" s="1322"/>
      <c r="M173" s="1031"/>
      <c r="N173" s="1031"/>
      <c r="O173" s="1021">
        <f>AVERAGE(O170,O168)</f>
        <v>1062.45</v>
      </c>
      <c r="P173" s="1021">
        <f>AVERAGE(P170,P168)</f>
        <v>1073.3499999999999</v>
      </c>
      <c r="Q173" s="1320">
        <f>SUM(M173*M$3,N173*N$3,O173*O$3,P173*P$3)/Q$3</f>
        <v>538.33863013698635</v>
      </c>
      <c r="R173" s="1021">
        <f>AVERAGE(R170,R168)</f>
        <v>1077.50</v>
      </c>
      <c r="S173" s="1021">
        <f>AVERAGE(S170,S168)</f>
        <v>1127.75</v>
      </c>
      <c r="T173" s="1021">
        <f>AVERAGE(T170,T168)</f>
        <v>1180.8499999999999</v>
      </c>
      <c r="U173" s="1021">
        <f>AVERAGE(U170,U168)</f>
        <v>1193.3000000000002</v>
      </c>
      <c r="V173" s="1320">
        <f>SUM(R173*R$3,S173*S$3,T173*T$3,U173*U$3)/V$3</f>
        <v>1145.0807377049182</v>
      </c>
      <c r="W173" s="1021">
        <f>AVERAGE(W170,W168)</f>
        <v>1233.5999999999999</v>
      </c>
      <c r="X173" s="1021">
        <f>AVERAGE(X170,X168)</f>
        <v>1288.1999999999998</v>
      </c>
      <c r="Y173" s="1021">
        <f>AVERAGE(Y170,Y168)</f>
        <v>1343.35</v>
      </c>
      <c r="Z173" s="1021">
        <f>AVERAGE(Z170,Z168)</f>
        <v>1418.65</v>
      </c>
      <c r="AA173" s="1320">
        <f>SUM(W173*W$3,X173*X$3,Y173*Y$3,Z173*Z$3)/AA$3</f>
        <v>1321.5183561643835</v>
      </c>
      <c r="AB173" s="1021">
        <f>AVERAGE(AB170,AB168)</f>
        <v>1556.35</v>
      </c>
      <c r="AC173" s="1021">
        <f>AVERAGE(AC170,AC168)</f>
        <v>1708.80</v>
      </c>
      <c r="AD173" s="1021">
        <f>AVERAGE(AD170,AD168)</f>
        <v>1816.80</v>
      </c>
      <c r="AE173" s="1021">
        <f>AVERAGE(AE170,AE168)</f>
        <v>1901.75</v>
      </c>
      <c r="AF173" s="1320">
        <f>SUM(AB173*AB$3,AC173*AC$3,AD173*AD$3,AE173*AE$3)/AF$3</f>
        <v>1747.0654794520549</v>
      </c>
      <c r="AG173" s="1021">
        <f>AVERAGE(AG170,AG168)</f>
        <v>1969.40</v>
      </c>
      <c r="AH173" s="1021">
        <f>AVERAGE(AH170,AH168)</f>
        <v>2036.9499999999998</v>
      </c>
      <c r="AI173" s="1021">
        <f>AVERAGE(AI170,AI168)</f>
        <v>2107.9499999999998</v>
      </c>
      <c r="AJ173" s="1021">
        <f>AVERAGE(AJ170,AJ168)</f>
        <v>2173.1999999999998</v>
      </c>
      <c r="AK173" s="1320">
        <f>SUM(AG173*AG$3,AH173*AH$3,AI173*AI$3,AJ173*AJ$3)/AK$3</f>
        <v>2072.5321917808219</v>
      </c>
      <c r="AL173" s="1021">
        <f>AVERAGE(AL170,AL168)</f>
        <v>2233.10</v>
      </c>
      <c r="AM173" s="1021">
        <f>AVERAGE(AM170,AM168)</f>
        <v>2300.10</v>
      </c>
      <c r="AN173" s="1021">
        <f>AVERAGE(AN170,AN168)</f>
        <v>2378.5500000000002</v>
      </c>
      <c r="AO173" s="1021">
        <f>AVERAGE(AO170,AO168)</f>
        <v>2452.6999999999998</v>
      </c>
      <c r="AP173" s="1320">
        <f>SUM(AL173*AL$3,AM173*AM$3,AN173*AN$3,AO173*AO$3)/AP$3</f>
        <v>2341.5196721311477</v>
      </c>
      <c r="AQ173" s="1021">
        <f>AVERAGE(AQ170,AQ168)</f>
        <v>2525.3500000000004</v>
      </c>
      <c r="AR173" s="1021">
        <f>AVERAGE(AR170,AR168)</f>
        <v>2610.90</v>
      </c>
      <c r="AS173" s="1021">
        <f>AVERAGE(AS170,AS168)</f>
        <v>2695.25</v>
      </c>
      <c r="AT173" s="1021">
        <f>AVERAGE(AT170,AT168)</f>
        <v>2755.60</v>
      </c>
      <c r="AU173" s="1320">
        <f>SUM(AQ173*AQ$3,AR173*AR$3,AS173*AS$3,AT173*AT$3)/AU$3</f>
        <v>2647.5386301369863</v>
      </c>
      <c r="AV173" s="1021">
        <f>AVERAGE(AV170,AV168)</f>
        <v>2789.20</v>
      </c>
      <c r="AW173" s="1021">
        <f>AVERAGE(AW170,AW168)</f>
        <v>2812.60</v>
      </c>
      <c r="AX173" s="1021">
        <f>AVERAGE(AX170,AX168)</f>
        <v>2829.25</v>
      </c>
      <c r="AY173" s="1021">
        <f>AVERAGE(AY170,AY168)</f>
        <v>2843.40</v>
      </c>
      <c r="AZ173" s="1320">
        <f>SUM(AV173*AV$3,AW173*AW$3,AX173*AX$3,AY173*AY$3)/AZ$3</f>
        <v>2818.7901369863016</v>
      </c>
      <c r="BA173" s="1021">
        <f>AVERAGE(BA170,BA168)</f>
        <v>2881.95</v>
      </c>
      <c r="BB173" s="1021">
        <f>AVERAGE(BB170,BB168)</f>
        <v>2943.45</v>
      </c>
      <c r="BC173" s="1021">
        <f>AVERAGE(BC170,BC168)</f>
        <v>2999.75</v>
      </c>
      <c r="BD173" s="1021">
        <f>AVERAGE(BD170,BD168)</f>
        <v>3060.85</v>
      </c>
      <c r="BE173" s="1320">
        <f>SUM(BA173*BA$3,BB173*BB$3,BC173*BC$3,BD173*BD$3)/BE$3</f>
        <v>2972.0675342465752</v>
      </c>
      <c r="BF173" s="1021">
        <f>AVERAGE(BF170,BF168)</f>
        <v>3152.70</v>
      </c>
      <c r="BG173" s="1021">
        <f>AVERAGE(BG170,BG168)</f>
        <v>3274</v>
      </c>
      <c r="BH173" s="1022">
        <f>AVERAGE(BH170,BH168)</f>
        <v>3399.35</v>
      </c>
      <c r="BI173" s="1023">
        <f>AVERAGE(BI170,BI168)</f>
        <v>3494.1959999999999</v>
      </c>
      <c r="BJ173" s="1321">
        <f>SUM(BF173*BF$3,BG173*BG$3,BH173*BH$3,BI173*BI$3)/BJ$3</f>
        <v>3330.6992677595631</v>
      </c>
      <c r="BK173" s="1023">
        <f>AVERAGE(BK170,BK168)</f>
        <v>3564.0799200000001</v>
      </c>
      <c r="BL173" s="1023">
        <f>AVERAGE(BL170,BL168)</f>
        <v>3635.3615184</v>
      </c>
      <c r="BM173" s="1023">
        <f>AVERAGE(BM170,BM168)</f>
        <v>3708.0687487680002</v>
      </c>
      <c r="BN173" s="1023">
        <f>AVERAGE(BN170,BN168)</f>
        <v>3782.2301237433603</v>
      </c>
      <c r="BO173" s="1321">
        <f>SUM(BK173*BK$3,BL173*BL$3,BM173*BM$3,BN173*BN$3)/BO$3</f>
        <v>3673.1303760149185</v>
      </c>
      <c r="BP173" s="1322">
        <f>AVERAGE(BP170,BP168)</f>
        <v>3857.8747262182278</v>
      </c>
      <c r="BQ173" s="1322">
        <f>AVERAGE(BQ170,BQ168)</f>
        <v>3935.0322207425925</v>
      </c>
      <c r="BR173" s="1321">
        <f>AVERAGE(BR170,BR168)</f>
        <v>4013.7328651574444</v>
      </c>
      <c r="BS173" s="648"/>
    </row>
    <row r="174" spans="1:71" s="669" customFormat="1" ht="7.5" customHeight="1" hidden="1" outlineLevel="2">
      <c r="A174" s="107"/>
      <c r="B174" s="108"/>
      <c r="C174" s="1325"/>
      <c r="D174" s="1325"/>
      <c r="E174" s="1325"/>
      <c r="F174" s="1325"/>
      <c r="G174" s="1325"/>
      <c r="H174" s="726"/>
      <c r="I174" s="726"/>
      <c r="J174" s="726"/>
      <c r="K174" s="726"/>
      <c r="L174" s="1325"/>
      <c r="M174" s="726"/>
      <c r="N174" s="726"/>
      <c r="O174" s="726"/>
      <c r="P174" s="726"/>
      <c r="Q174" s="1325"/>
      <c r="R174" s="726"/>
      <c r="S174" s="726"/>
      <c r="T174" s="726"/>
      <c r="U174" s="726"/>
      <c r="V174" s="1325"/>
      <c r="W174" s="726"/>
      <c r="X174" s="726"/>
      <c r="Y174" s="726"/>
      <c r="Z174" s="726"/>
      <c r="AA174" s="1325"/>
      <c r="AB174" s="726"/>
      <c r="AC174" s="726"/>
      <c r="AD174" s="726"/>
      <c r="AE174" s="726"/>
      <c r="AF174" s="1325"/>
      <c r="AG174" s="726"/>
      <c r="AH174" s="726"/>
      <c r="AI174" s="726"/>
      <c r="AJ174" s="726"/>
      <c r="AK174" s="1325"/>
      <c r="AL174" s="726"/>
      <c r="AM174" s="726"/>
      <c r="AN174" s="726"/>
      <c r="AO174" s="726"/>
      <c r="AP174" s="1325"/>
      <c r="AQ174" s="726"/>
      <c r="AR174" s="726"/>
      <c r="AS174" s="726"/>
      <c r="AT174" s="726"/>
      <c r="AU174" s="1325"/>
      <c r="AV174" s="726"/>
      <c r="AW174" s="726"/>
      <c r="AX174" s="726"/>
      <c r="AY174" s="726"/>
      <c r="AZ174" s="1325"/>
      <c r="BA174" s="726"/>
      <c r="BB174" s="726"/>
      <c r="BC174" s="726"/>
      <c r="BD174" s="726"/>
      <c r="BE174" s="1325"/>
      <c r="BF174" s="726"/>
      <c r="BG174" s="726"/>
      <c r="BH174" s="808"/>
      <c r="BI174" s="98"/>
      <c r="BJ174" s="1326"/>
      <c r="BK174" s="98"/>
      <c r="BL174" s="98"/>
      <c r="BM174" s="98"/>
      <c r="BN174" s="98"/>
      <c r="BO174" s="1326"/>
      <c r="BP174" s="1325"/>
      <c r="BQ174" s="1325"/>
      <c r="BR174" s="1326"/>
      <c r="BS174" s="648"/>
    </row>
    <row r="175" spans="1:71" s="674" customFormat="1" ht="15" hidden="1" outlineLevel="2">
      <c r="A175" s="476" t="s">
        <v>626</v>
      </c>
      <c r="B175" s="477"/>
      <c r="C175" s="1345"/>
      <c r="D175" s="1345"/>
      <c r="E175" s="1345"/>
      <c r="F175" s="1345"/>
      <c r="G175" s="1345"/>
      <c r="H175" s="480"/>
      <c r="I175" s="480"/>
      <c r="J175" s="480"/>
      <c r="K175" s="480"/>
      <c r="L175" s="1345"/>
      <c r="M175" s="480"/>
      <c r="N175" s="480"/>
      <c r="O175" s="481">
        <f>(O178*1000)/O173*(Q3/O3)</f>
        <v>834.96512367845435</v>
      </c>
      <c r="P175" s="481">
        <f>(P178*1000)/P173*(Q3/P3)</f>
        <v>714.48897296355801</v>
      </c>
      <c r="Q175" s="1346">
        <f>(Q178*1000)/Q173</f>
        <v>1280.9781081928368</v>
      </c>
      <c r="R175" s="481">
        <f>(R178*1000)/R173*(V3/R3)</f>
        <v>638.66398103057031</v>
      </c>
      <c r="S175" s="481">
        <f>(S178*1000)/S173*(V3/S3)</f>
        <v>1078.4714288150333</v>
      </c>
      <c r="T175" s="481">
        <f>(T178*1000)/T173*(V3/T3)</f>
        <v>818.66231215171103</v>
      </c>
      <c r="U175" s="481">
        <f>(U178*1000)/U173*(V3/U3)</f>
        <v>730.77581715301744</v>
      </c>
      <c r="V175" s="1346">
        <f>(V178*1000)/V173</f>
        <v>817.14762041619929</v>
      </c>
      <c r="W175" s="481">
        <f>(W178*1000)/W173*(AA3/W3)</f>
        <v>712.74679348609311</v>
      </c>
      <c r="X175" s="481">
        <f>(X178*1000)/X173*(AA3/X3)</f>
        <v>905.75741600427227</v>
      </c>
      <c r="Y175" s="481">
        <f>(Y178*1000)/Y173*(AA3/Y3)</f>
        <v>888.07426598979521</v>
      </c>
      <c r="Z175" s="481">
        <f>(Z178*1000)/Z173*(AA3/Z3)</f>
        <v>790.3181070797558</v>
      </c>
      <c r="AA175" s="1346">
        <f>(AA178*1000)/AA173</f>
        <v>825.56552840215761</v>
      </c>
      <c r="AB175" s="481">
        <f>(AB178*1000)/AB173*(AF3/AB3)</f>
        <v>774.18675462174679</v>
      </c>
      <c r="AC175" s="481">
        <f>(AC178*1000)/AC173*(AF3/AC3)</f>
        <v>932.32960859365357</v>
      </c>
      <c r="AD175" s="481">
        <f>(AD178*1000)/AD173*(AF3/AD3)</f>
        <v>868.68574464419055</v>
      </c>
      <c r="AE175" s="481">
        <f>(AE178*1000)/AE173*(AF3/AE3)</f>
        <v>758.95199501603258</v>
      </c>
      <c r="AF175" s="1346">
        <f>(AF178*1000)/AF173</f>
        <v>833.34025949423756</v>
      </c>
      <c r="AG175" s="481">
        <f>(AG178*1000)/AG173*(AK3/AG3)</f>
        <v>725.28011915642651</v>
      </c>
      <c r="AH175" s="481">
        <f>(AH178*1000)/AH173*(AK3/AH3)</f>
        <v>902.83927516063795</v>
      </c>
      <c r="AI175" s="481">
        <f>(AI178*1000)/AI173*(AK3/AI3)</f>
        <v>865.95827184251755</v>
      </c>
      <c r="AJ175" s="481">
        <f>(AJ178*1000)/AJ173*(AK3/AJ3)</f>
        <v>754.15486279499657</v>
      </c>
      <c r="AK175" s="1346">
        <f>(AK178*1000)/AK173</f>
        <v>812.48436414061678</v>
      </c>
      <c r="AL175" s="481">
        <f>(AL178*1000)/AL173*(AP3/AL3)</f>
        <v>726.37308506727697</v>
      </c>
      <c r="AM175" s="481">
        <f>(AM178*1000)/AM173*(AP3/AM3)</f>
        <v>897.73640993153208</v>
      </c>
      <c r="AN175" s="481">
        <f>(AN178*1000)/AN173*(AP3/AN3)</f>
        <v>870.56600979953987</v>
      </c>
      <c r="AO175" s="481">
        <f>(AO178*1000)/AO173*(AP3/AO3)</f>
        <v>768.1756218967206</v>
      </c>
      <c r="AP175" s="1346">
        <f>(AP178*1000)/AP173</f>
        <v>816.051226364831</v>
      </c>
      <c r="AQ175" s="481">
        <f>(AQ178*1000)/AQ173*(AU3/AQ3)</f>
        <v>760.57224191146213</v>
      </c>
      <c r="AR175" s="481">
        <f>(AR178*1000)/AR173*(AU3/AR3)</f>
        <v>907.76874127442886</v>
      </c>
      <c r="AS175" s="481">
        <f>(AS178*1000)/AS173*(AU3/AS3)</f>
        <v>889.08425853857227</v>
      </c>
      <c r="AT175" s="481">
        <f>(AT178*1000)/AT173*(AU3/AT3)</f>
        <v>788.55429575820278</v>
      </c>
      <c r="AU175" s="1346">
        <f>(AU178*1000)/AU173</f>
        <v>837.07938187301602</v>
      </c>
      <c r="AV175" s="481">
        <f>(AV178*1000)/AV173*(AZ3/AV3)</f>
        <v>779.50069314976815</v>
      </c>
      <c r="AW175" s="481">
        <f>(AW178*1000)/AW173*(AZ3/AW3)</f>
        <v>912.1199500208246</v>
      </c>
      <c r="AX175" s="481">
        <f>(AX178*1000)/AX173*(AZ3/AX3)</f>
        <v>875.72178830616497</v>
      </c>
      <c r="AY175" s="481">
        <f>(AY178*1000)/AY173*(AZ3/AY3)</f>
        <v>839.2719524390576</v>
      </c>
      <c r="AZ175" s="1346">
        <f>(AZ178*1000)/AZ173</f>
        <v>852.03221356797008</v>
      </c>
      <c r="BA175" s="481">
        <f>(BA178*1000)/BA173*(BE3/BA3)</f>
        <v>885.7081721288248</v>
      </c>
      <c r="BB175" s="481">
        <f>(BB178*1000)/BB173*(BE3/BB3)</f>
        <v>1022.4209872581681</v>
      </c>
      <c r="BC175" s="481">
        <f>(BC178*1000)/BC173*(BE3/BC3)</f>
        <v>959.13065219203054</v>
      </c>
      <c r="BD175" s="481">
        <f>(BD178*1000)/BD173*(BE3/BD3)</f>
        <v>940.63278813572003</v>
      </c>
      <c r="BE175" s="1346">
        <f>(BE178*1000)/BE173</f>
        <v>952.40096915145045</v>
      </c>
      <c r="BF175" s="481">
        <f>(BF178*1000)/BF173*(BJ3/BF3)</f>
        <v>935.61667184276382</v>
      </c>
      <c r="BG175" s="481">
        <f>(BG178*1000)/BG173*(BJ3/BG3)</f>
        <v>1020.7274094262488</v>
      </c>
      <c r="BH175" s="814">
        <f>(BH178*1000)/BH173*(BJ3/BH3)</f>
        <v>921.72864249623171</v>
      </c>
      <c r="BI175" s="482">
        <f>BD175*(1+BI176)</f>
        <v>959.44544389843441</v>
      </c>
      <c r="BJ175" s="1347">
        <f>(BJ178*1000)/BJ173</f>
        <v>959.13868416678338</v>
      </c>
      <c r="BK175" s="482">
        <f>BF175*(1+BK176)</f>
        <v>954.32900527961908</v>
      </c>
      <c r="BL175" s="482">
        <f>BG175*(1+BL176)</f>
        <v>1041.1419576147737</v>
      </c>
      <c r="BM175" s="482">
        <f>BH175*(1+BM176)</f>
        <v>940.16321534615633</v>
      </c>
      <c r="BN175" s="482">
        <f>BI175*(1+BN176)</f>
        <v>978.63435277640315</v>
      </c>
      <c r="BO175" s="1347">
        <f>(BO178*1000)/BO173</f>
        <v>978.45395579329477</v>
      </c>
      <c r="BP175" s="1345">
        <f>BO175*(1+BP176)</f>
        <v>998.02303490916063</v>
      </c>
      <c r="BQ175" s="1345">
        <f>BP175*(1+BQ176)</f>
        <v>1017.9834956073439</v>
      </c>
      <c r="BR175" s="1347">
        <f>BQ175*(1+BR176)</f>
        <v>1038.3431655194909</v>
      </c>
      <c r="BS175" s="648"/>
    </row>
    <row r="176" spans="1:71" s="669" customFormat="1" ht="15" hidden="1" outlineLevel="2">
      <c r="A176" s="107" t="s">
        <v>631</v>
      </c>
      <c r="B176" s="108"/>
      <c r="C176" s="1325"/>
      <c r="D176" s="1325"/>
      <c r="E176" s="1325"/>
      <c r="F176" s="1325"/>
      <c r="G176" s="1325"/>
      <c r="H176" s="726"/>
      <c r="I176" s="726"/>
      <c r="J176" s="726"/>
      <c r="K176" s="726"/>
      <c r="L176" s="1325"/>
      <c r="M176" s="726"/>
      <c r="N176" s="726"/>
      <c r="O176" s="726"/>
      <c r="P176" s="726"/>
      <c r="Q176" s="1325"/>
      <c r="R176" s="726"/>
      <c r="S176" s="726"/>
      <c r="T176" s="726">
        <f t="shared" si="406" ref="T176:AU176">T175/O175-1</f>
        <v>-0.019525140708777089</v>
      </c>
      <c r="U176" s="726">
        <f t="shared" si="406"/>
        <v>0.0227950952439544</v>
      </c>
      <c r="V176" s="1325">
        <f t="shared" si="406"/>
        <v>-0.36209087790812822</v>
      </c>
      <c r="W176" s="726">
        <f t="shared" si="406"/>
        <v>0.11599654067852749</v>
      </c>
      <c r="X176" s="726">
        <f t="shared" si="406"/>
        <v>-0.16014704534224877</v>
      </c>
      <c r="Y176" s="726">
        <f t="shared" si="406"/>
        <v>0.084787039549490073</v>
      </c>
      <c r="Z176" s="726">
        <f t="shared" si="406"/>
        <v>0.081478188699108056</v>
      </c>
      <c r="AA176" s="1325">
        <f t="shared" si="406"/>
        <v>0.01030157559740652</v>
      </c>
      <c r="AB176" s="726">
        <f t="shared" si="406"/>
        <v>0.086201666141697553</v>
      </c>
      <c r="AC176" s="726">
        <f t="shared" si="406"/>
        <v>0.029336985952159056</v>
      </c>
      <c r="AD176" s="726">
        <f t="shared" si="406"/>
        <v>-0.02183209455348345</v>
      </c>
      <c r="AE176" s="726">
        <f t="shared" si="406"/>
        <v>-0.039687958282547453</v>
      </c>
      <c r="AF176" s="1325">
        <f t="shared" si="406"/>
        <v>0.0094174609096475681</v>
      </c>
      <c r="AG176" s="726">
        <f t="shared" si="406"/>
        <v>-0.063171625158086275</v>
      </c>
      <c r="AH176" s="726">
        <f t="shared" si="406"/>
        <v>-0.031630802198269192</v>
      </c>
      <c r="AI176" s="726">
        <f t="shared" si="406"/>
        <v>-0.003139769264649539</v>
      </c>
      <c r="AJ176" s="726">
        <f t="shared" si="406"/>
        <v>-0.0063207320786272669</v>
      </c>
      <c r="AK176" s="1325">
        <f t="shared" si="406"/>
        <v>-0.025026866416220428</v>
      </c>
      <c r="AL176" s="726">
        <f t="shared" si="406"/>
        <v>0.0015069569425421037</v>
      </c>
      <c r="AM176" s="726">
        <f t="shared" si="406"/>
        <v>-0.0056520195448940269</v>
      </c>
      <c r="AN176" s="726">
        <f t="shared" si="406"/>
        <v>0.0053209699668534949</v>
      </c>
      <c r="AO176" s="726">
        <f t="shared" si="406"/>
        <v>0.01859135277569024</v>
      </c>
      <c r="AP176" s="1325">
        <f t="shared" si="406"/>
        <v>0.0043900687590301413</v>
      </c>
      <c r="AQ176" s="726">
        <f t="shared" si="406"/>
        <v>0.047082081573847967</v>
      </c>
      <c r="AR176" s="726">
        <f t="shared" si="406"/>
        <v>0.011175141424487833</v>
      </c>
      <c r="AS176" s="726">
        <f t="shared" si="406"/>
        <v>0.021271504435713684</v>
      </c>
      <c r="AT176" s="726">
        <f t="shared" si="406"/>
        <v>0.026528665165349352</v>
      </c>
      <c r="AU176" s="1325">
        <f t="shared" si="406"/>
        <v>0.025768180757299586</v>
      </c>
      <c r="AV176" s="726">
        <f t="shared" si="407" ref="AV176:BA176">AV175/AQ175-1</f>
        <v>0.024887118139803821</v>
      </c>
      <c r="AW176" s="726">
        <f t="shared" si="407"/>
        <v>0.0047933009240734847</v>
      </c>
      <c r="AX176" s="726">
        <f t="shared" si="407"/>
        <v>-0.015029475670137016</v>
      </c>
      <c r="AY176" s="726">
        <f t="shared" si="407"/>
        <v>0.064317266361588077</v>
      </c>
      <c r="AZ176" s="1325">
        <f t="shared" si="407"/>
        <v>0.017863098791773169</v>
      </c>
      <c r="BA176" s="726">
        <f t="shared" si="407"/>
        <v>0.13625065367151712</v>
      </c>
      <c r="BB176" s="726">
        <f t="shared" si="408" ref="BB176:BG176">BB175/AW175-1</f>
        <v>0.12092821479765381</v>
      </c>
      <c r="BC176" s="726">
        <f t="shared" si="408"/>
        <v>0.095245847482219537</v>
      </c>
      <c r="BD176" s="726">
        <f t="shared" si="408"/>
        <v>0.12077233774117158</v>
      </c>
      <c r="BE176" s="1325">
        <f t="shared" si="408"/>
        <v>0.11779924982316836</v>
      </c>
      <c r="BF176" s="726">
        <f t="shared" si="408"/>
        <v>0.056348695071857025</v>
      </c>
      <c r="BG176" s="726">
        <f t="shared" si="408"/>
        <v>-0.0016564388378421668</v>
      </c>
      <c r="BH176" s="808">
        <f>BH175/BC175-1</f>
        <v>-0.0389957401635731</v>
      </c>
      <c r="BI176" s="1215">
        <v>0.02</v>
      </c>
      <c r="BJ176" s="1326">
        <f>BJ175/BE175-1</f>
        <v>0.0070744520780317011</v>
      </c>
      <c r="BK176" s="1215">
        <v>0.02</v>
      </c>
      <c r="BL176" s="1215">
        <v>0.02</v>
      </c>
      <c r="BM176" s="1215">
        <v>0.02</v>
      </c>
      <c r="BN176" s="1215">
        <v>0.02</v>
      </c>
      <c r="BO176" s="1326">
        <f>BO175/BJ175-1</f>
        <v>0.020138142632929901</v>
      </c>
      <c r="BP176" s="1341">
        <v>0.02</v>
      </c>
      <c r="BQ176" s="1341">
        <v>0.02</v>
      </c>
      <c r="BR176" s="1342">
        <v>0.02</v>
      </c>
      <c r="BS176" s="648"/>
    </row>
    <row r="177" spans="1:71" s="669" customFormat="1" ht="7.5" customHeight="1" hidden="1" outlineLevel="2">
      <c r="A177" s="107"/>
      <c r="B177" s="108"/>
      <c r="C177" s="1325"/>
      <c r="D177" s="1325"/>
      <c r="E177" s="1325"/>
      <c r="F177" s="1325"/>
      <c r="G177" s="1325"/>
      <c r="H177" s="726"/>
      <c r="I177" s="726"/>
      <c r="J177" s="726"/>
      <c r="K177" s="726"/>
      <c r="L177" s="1325"/>
      <c r="M177" s="726"/>
      <c r="N177" s="726"/>
      <c r="O177" s="726"/>
      <c r="P177" s="726"/>
      <c r="Q177" s="1325"/>
      <c r="R177" s="726"/>
      <c r="S177" s="726"/>
      <c r="T177" s="726"/>
      <c r="U177" s="726"/>
      <c r="V177" s="1325"/>
      <c r="W177" s="726"/>
      <c r="X177" s="726"/>
      <c r="Y177" s="726"/>
      <c r="Z177" s="726"/>
      <c r="AA177" s="1325"/>
      <c r="AB177" s="726"/>
      <c r="AC177" s="726"/>
      <c r="AD177" s="726"/>
      <c r="AE177" s="726"/>
      <c r="AF177" s="1325"/>
      <c r="AG177" s="726"/>
      <c r="AH177" s="726"/>
      <c r="AI177" s="726"/>
      <c r="AJ177" s="726"/>
      <c r="AK177" s="1325"/>
      <c r="AL177" s="726"/>
      <c r="AM177" s="726"/>
      <c r="AN177" s="726"/>
      <c r="AO177" s="726"/>
      <c r="AP177" s="1325"/>
      <c r="AQ177" s="726"/>
      <c r="AR177" s="726"/>
      <c r="AS177" s="726"/>
      <c r="AT177" s="726"/>
      <c r="AU177" s="1325"/>
      <c r="AV177" s="726"/>
      <c r="AW177" s="726"/>
      <c r="AX177" s="726"/>
      <c r="AY177" s="726"/>
      <c r="AZ177" s="1325"/>
      <c r="BA177" s="726"/>
      <c r="BB177" s="726"/>
      <c r="BC177" s="726"/>
      <c r="BD177" s="726"/>
      <c r="BE177" s="1325"/>
      <c r="BF177" s="726"/>
      <c r="BG177" s="726"/>
      <c r="BH177" s="808"/>
      <c r="BI177" s="98"/>
      <c r="BJ177" s="1326"/>
      <c r="BK177" s="98"/>
      <c r="BL177" s="98"/>
      <c r="BM177" s="98"/>
      <c r="BN177" s="98"/>
      <c r="BO177" s="1326"/>
      <c r="BP177" s="1325"/>
      <c r="BQ177" s="1325"/>
      <c r="BR177" s="1326"/>
      <c r="BS177" s="648"/>
    </row>
    <row r="178" spans="1:71" s="668" customFormat="1" ht="15" hidden="1" outlineLevel="2">
      <c r="A178" s="25" t="s">
        <v>484</v>
      </c>
      <c r="B178" s="394"/>
      <c r="C178" s="1322">
        <f t="shared" si="409" ref="C178:AU178">C218</f>
        <v>0</v>
      </c>
      <c r="D178" s="1322">
        <f t="shared" si="409"/>
        <v>0</v>
      </c>
      <c r="E178" s="1322">
        <f t="shared" si="409"/>
        <v>0</v>
      </c>
      <c r="F178" s="1322">
        <f t="shared" si="409"/>
        <v>0</v>
      </c>
      <c r="G178" s="1322">
        <f t="shared" si="409"/>
        <v>0</v>
      </c>
      <c r="H178" s="1031">
        <f t="shared" si="409"/>
        <v>0</v>
      </c>
      <c r="I178" s="1031">
        <f t="shared" si="409"/>
        <v>0</v>
      </c>
      <c r="J178" s="1031">
        <f t="shared" si="409"/>
        <v>0</v>
      </c>
      <c r="K178" s="1031">
        <f t="shared" si="409"/>
        <v>0</v>
      </c>
      <c r="L178" s="1322">
        <f t="shared" si="409"/>
        <v>0</v>
      </c>
      <c r="M178" s="1031">
        <f t="shared" si="409"/>
        <v>0</v>
      </c>
      <c r="N178" s="1021">
        <f t="shared" si="409"/>
        <v>272.70</v>
      </c>
      <c r="O178" s="1021">
        <f t="shared" si="409"/>
        <v>223.60</v>
      </c>
      <c r="P178" s="1021">
        <f t="shared" si="409"/>
        <v>193.30000000000007</v>
      </c>
      <c r="Q178" s="1320">
        <f t="shared" si="409"/>
        <v>689.60</v>
      </c>
      <c r="R178" s="1021">
        <f t="shared" si="409"/>
        <v>171.10</v>
      </c>
      <c r="S178" s="1021">
        <f t="shared" si="409"/>
        <v>302.39999999999998</v>
      </c>
      <c r="T178" s="1021">
        <f t="shared" si="409"/>
        <v>243</v>
      </c>
      <c r="U178" s="1021">
        <f t="shared" si="409"/>
        <v>219.20000000000005</v>
      </c>
      <c r="V178" s="1320">
        <f t="shared" si="409"/>
        <v>935.70</v>
      </c>
      <c r="W178" s="1021">
        <f t="shared" si="409"/>
        <v>216.80</v>
      </c>
      <c r="X178" s="1021">
        <f t="shared" si="409"/>
        <v>290.89999999999998</v>
      </c>
      <c r="Y178" s="1021">
        <f t="shared" si="409"/>
        <v>300.70</v>
      </c>
      <c r="Z178" s="1021">
        <f t="shared" si="409"/>
        <v>282.60000000000002</v>
      </c>
      <c r="AA178" s="1320">
        <f t="shared" si="409"/>
        <v>1091</v>
      </c>
      <c r="AB178" s="1021">
        <f t="shared" si="409"/>
        <v>297.10000000000002</v>
      </c>
      <c r="AC178" s="1021">
        <f t="shared" si="409"/>
        <v>397.20</v>
      </c>
      <c r="AD178" s="1021">
        <f t="shared" si="409"/>
        <v>397.80</v>
      </c>
      <c r="AE178" s="1021">
        <f t="shared" si="409"/>
        <v>363.80000000000018</v>
      </c>
      <c r="AF178" s="1320">
        <f t="shared" si="409"/>
        <v>1455.90</v>
      </c>
      <c r="AG178" s="1021">
        <f t="shared" si="409"/>
        <v>352.20</v>
      </c>
      <c r="AH178" s="1021">
        <f t="shared" si="409"/>
        <v>458.50</v>
      </c>
      <c r="AI178" s="1021">
        <f t="shared" si="409"/>
        <v>460.10</v>
      </c>
      <c r="AJ178" s="1021">
        <f t="shared" si="409"/>
        <v>413.09999999999991</v>
      </c>
      <c r="AK178" s="1320">
        <f t="shared" si="409"/>
        <v>1683.90</v>
      </c>
      <c r="AL178" s="1021">
        <f t="shared" si="409"/>
        <v>403.30</v>
      </c>
      <c r="AM178" s="1021">
        <f t="shared" si="409"/>
        <v>513.40000000000009</v>
      </c>
      <c r="AN178" s="1021">
        <f t="shared" si="409"/>
        <v>520.50</v>
      </c>
      <c r="AO178" s="1021">
        <f t="shared" si="409"/>
        <v>473.59999999999991</v>
      </c>
      <c r="AP178" s="1320">
        <f t="shared" si="409"/>
        <v>1910.80</v>
      </c>
      <c r="AQ178" s="1021">
        <f t="shared" si="409"/>
        <v>473.60</v>
      </c>
      <c r="AR178" s="1021">
        <f t="shared" si="409"/>
        <v>590.90</v>
      </c>
      <c r="AS178" s="1021">
        <f t="shared" si="409"/>
        <v>604</v>
      </c>
      <c r="AT178" s="1021">
        <f t="shared" si="409"/>
        <v>547.69999999999982</v>
      </c>
      <c r="AU178" s="1320">
        <f t="shared" si="409"/>
        <v>2216.1999999999998</v>
      </c>
      <c r="AV178" s="1021">
        <f t="shared" si="410" ref="AV178:BA178">AV218</f>
        <v>536.10</v>
      </c>
      <c r="AW178" s="1021">
        <f t="shared" si="410"/>
        <v>639.60</v>
      </c>
      <c r="AX178" s="1021">
        <f t="shared" si="410"/>
        <v>624.50</v>
      </c>
      <c r="AY178" s="1021">
        <f t="shared" si="410"/>
        <v>601.49999999999977</v>
      </c>
      <c r="AZ178" s="1320">
        <f t="shared" si="410"/>
        <v>2401.6999999999998</v>
      </c>
      <c r="BA178" s="1021">
        <f t="shared" si="410"/>
        <v>629.40</v>
      </c>
      <c r="BB178" s="1021">
        <f t="shared" si="411" ref="BB178:BG178">BB218</f>
        <v>750.30</v>
      </c>
      <c r="BC178" s="1021">
        <f t="shared" si="411"/>
        <v>725.20</v>
      </c>
      <c r="BD178" s="1021">
        <f t="shared" si="411"/>
        <v>725.70000000000027</v>
      </c>
      <c r="BE178" s="1320">
        <f t="shared" si="411"/>
        <v>2830.60</v>
      </c>
      <c r="BF178" s="1021">
        <f t="shared" si="411"/>
        <v>733.40</v>
      </c>
      <c r="BG178" s="1021">
        <f t="shared" si="411"/>
        <v>830.90</v>
      </c>
      <c r="BH178" s="1022">
        <f>BH218</f>
        <v>787.60</v>
      </c>
      <c r="BI178" s="1023">
        <f>BI175*BI173/1000*(BI$3/BJ$3)</f>
        <v>842.70251303417569</v>
      </c>
      <c r="BJ178" s="1321">
        <f>SUM(BF178,BG178,BH178,BI178)</f>
        <v>3194.6025130341759</v>
      </c>
      <c r="BK178" s="1023">
        <f>BK175*BK173/1000*(BK$3/BO$3)</f>
        <v>838.6779069346843</v>
      </c>
      <c r="BL178" s="1023">
        <f>BL175*BL173/1000*(BL$3/BO$3)</f>
        <v>943.6394359432868</v>
      </c>
      <c r="BM178" s="1023">
        <f>BM175*BM173/1000*(BM$3/BO$3)</f>
        <v>878.71086316740173</v>
      </c>
      <c r="BN178" s="1023">
        <f>BN175*BN173/1000*(BN$3/BO$3)</f>
        <v>932.9607405109366</v>
      </c>
      <c r="BO178" s="1321">
        <f>SUM(BK178,BL178,BM178,BN178)</f>
        <v>3593.9889465563092</v>
      </c>
      <c r="BP178" s="1322">
        <f>BP175*BP173/1000*(BP$3/BP$3)</f>
        <v>3850.2478425596628</v>
      </c>
      <c r="BQ178" s="1322">
        <f>BQ175*BQ173/1000*(BQ$3/BQ$3)</f>
        <v>4005.7978553990733</v>
      </c>
      <c r="BR178" s="1321">
        <f>BR175*BR173/1000*(BR$3/BR$3)</f>
        <v>4167.6320887571965</v>
      </c>
      <c r="BS178" s="648"/>
    </row>
    <row r="179" spans="1:71" s="669" customFormat="1" ht="15" hidden="1" outlineLevel="2">
      <c r="A179" s="107" t="s">
        <v>536</v>
      </c>
      <c r="B179" s="108"/>
      <c r="C179" s="1325"/>
      <c r="D179" s="1325"/>
      <c r="E179" s="1325"/>
      <c r="F179" s="1325"/>
      <c r="G179" s="1325"/>
      <c r="H179" s="726"/>
      <c r="I179" s="726"/>
      <c r="J179" s="726"/>
      <c r="K179" s="726"/>
      <c r="L179" s="1325"/>
      <c r="M179" s="726"/>
      <c r="N179" s="726"/>
      <c r="O179" s="726"/>
      <c r="P179" s="726"/>
      <c r="Q179" s="1325"/>
      <c r="R179" s="726"/>
      <c r="S179" s="725">
        <f t="shared" si="412" ref="S179:AU179">S178/N178-1</f>
        <v>0.10891089108910879</v>
      </c>
      <c r="T179" s="725">
        <f t="shared" si="412"/>
        <v>0.086762075134168226</v>
      </c>
      <c r="U179" s="725">
        <f t="shared" si="412"/>
        <v>0.13398861872736667</v>
      </c>
      <c r="V179" s="1327">
        <f t="shared" si="412"/>
        <v>0.35687354988399078</v>
      </c>
      <c r="W179" s="725">
        <f t="shared" si="412"/>
        <v>0.26709526592635902</v>
      </c>
      <c r="X179" s="725">
        <f t="shared" si="412"/>
        <v>-0.038029100529100579</v>
      </c>
      <c r="Y179" s="725">
        <f t="shared" si="412"/>
        <v>0.23744855967078182</v>
      </c>
      <c r="Z179" s="725">
        <f t="shared" si="412"/>
        <v>0.28923357664233551</v>
      </c>
      <c r="AA179" s="1327">
        <f t="shared" si="412"/>
        <v>0.16597199957251241</v>
      </c>
      <c r="AB179" s="725">
        <f t="shared" si="412"/>
        <v>0.37038745387453886</v>
      </c>
      <c r="AC179" s="725">
        <f t="shared" si="412"/>
        <v>0.36541766930216579</v>
      </c>
      <c r="AD179" s="725">
        <f t="shared" si="412"/>
        <v>0.32291320252743616</v>
      </c>
      <c r="AE179" s="725">
        <f t="shared" si="412"/>
        <v>0.28733191790516677</v>
      </c>
      <c r="AF179" s="1327">
        <f t="shared" si="412"/>
        <v>0.33446379468377652</v>
      </c>
      <c r="AG179" s="725">
        <f t="shared" si="412"/>
        <v>0.18545944126556702</v>
      </c>
      <c r="AH179" s="725">
        <f t="shared" si="412"/>
        <v>0.15433031218529702</v>
      </c>
      <c r="AI179" s="725">
        <f t="shared" si="412"/>
        <v>0.15661136249371554</v>
      </c>
      <c r="AJ179" s="725">
        <f t="shared" si="412"/>
        <v>0.13551401869158797</v>
      </c>
      <c r="AK179" s="1327">
        <f t="shared" si="412"/>
        <v>0.15660416237378949</v>
      </c>
      <c r="AL179" s="725">
        <f t="shared" si="412"/>
        <v>0.14508801817149353</v>
      </c>
      <c r="AM179" s="725">
        <f t="shared" si="412"/>
        <v>0.11973827699018558</v>
      </c>
      <c r="AN179" s="725">
        <f t="shared" si="412"/>
        <v>0.13127580960660712</v>
      </c>
      <c r="AO179" s="725">
        <f t="shared" si="412"/>
        <v>0.14645364318566934</v>
      </c>
      <c r="AP179" s="1327">
        <f t="shared" si="412"/>
        <v>0.13474671892630186</v>
      </c>
      <c r="AQ179" s="725">
        <f t="shared" si="412"/>
        <v>0.17431192660550465</v>
      </c>
      <c r="AR179" s="725">
        <f t="shared" si="412"/>
        <v>0.15095442150370064</v>
      </c>
      <c r="AS179" s="725">
        <f t="shared" si="412"/>
        <v>0.16042267050912584</v>
      </c>
      <c r="AT179" s="725">
        <f t="shared" si="412"/>
        <v>0.15646114864864846</v>
      </c>
      <c r="AU179" s="1327">
        <f t="shared" si="412"/>
        <v>0.15982834414904734</v>
      </c>
      <c r="AV179" s="725">
        <f t="shared" si="413" ref="AV179:AZ179">AV178/AQ178-1</f>
        <v>0.13196790540540548</v>
      </c>
      <c r="AW179" s="725">
        <f t="shared" si="413"/>
        <v>0.08241665256388564</v>
      </c>
      <c r="AX179" s="725">
        <f t="shared" si="413"/>
        <v>0.033940397350993301</v>
      </c>
      <c r="AY179" s="725">
        <f t="shared" si="413"/>
        <v>0.098228957458462718</v>
      </c>
      <c r="AZ179" s="1327">
        <f t="shared" si="413"/>
        <v>0.083701831964624107</v>
      </c>
      <c r="BA179" s="725">
        <f t="shared" si="414" ref="BA179:BO179">BA178/AV178-1</f>
        <v>0.17403469501958591</v>
      </c>
      <c r="BB179" s="725">
        <f t="shared" si="414"/>
        <v>0.17307692307692291</v>
      </c>
      <c r="BC179" s="725">
        <f t="shared" si="414"/>
        <v>0.16124899919935953</v>
      </c>
      <c r="BD179" s="725">
        <f t="shared" si="414"/>
        <v>0.20648379052369159</v>
      </c>
      <c r="BE179" s="1327">
        <f t="shared" si="414"/>
        <v>0.17858183786484583</v>
      </c>
      <c r="BF179" s="725">
        <f>BF178/BA178-1</f>
        <v>0.16523673339688583</v>
      </c>
      <c r="BG179" s="725">
        <f>BG178/BB178-1</f>
        <v>0.10742369718779154</v>
      </c>
      <c r="BH179" s="809">
        <f>BH178/BC178-1</f>
        <v>0.086045228902371651</v>
      </c>
      <c r="BI179" s="98">
        <f t="shared" si="414"/>
        <v>0.16122710904530169</v>
      </c>
      <c r="BJ179" s="1326">
        <f t="shared" si="414"/>
        <v>0.12859553205475027</v>
      </c>
      <c r="BK179" s="98">
        <f t="shared" si="414"/>
        <v>0.14354773238980689</v>
      </c>
      <c r="BL179" s="98">
        <f t="shared" si="414"/>
        <v>0.13568351900744591</v>
      </c>
      <c r="BM179" s="98">
        <f t="shared" si="414"/>
        <v>0.11568164444819917</v>
      </c>
      <c r="BN179" s="98">
        <f t="shared" si="414"/>
        <v>0.10710568211287685</v>
      </c>
      <c r="BO179" s="1326">
        <f t="shared" si="414"/>
        <v>0.12501913208063042</v>
      </c>
      <c r="BP179" s="1325">
        <f>BP178/BO178-1</f>
        <v>0.071302082397581179</v>
      </c>
      <c r="BQ179" s="1325">
        <f>BQ178/BP178-1</f>
        <v>0.040399999999999991</v>
      </c>
      <c r="BR179" s="1326">
        <f>BR178/BQ178-1</f>
        <v>0.040400000000000214</v>
      </c>
      <c r="BS179" s="648"/>
    </row>
    <row r="180" spans="1:71" s="669" customFormat="1" ht="7.5" customHeight="1" hidden="1" outlineLevel="2">
      <c r="A180" s="107"/>
      <c r="B180" s="108"/>
      <c r="C180" s="1325"/>
      <c r="D180" s="1325"/>
      <c r="E180" s="1325"/>
      <c r="F180" s="1325"/>
      <c r="G180" s="1325"/>
      <c r="H180" s="726"/>
      <c r="I180" s="726"/>
      <c r="J180" s="726"/>
      <c r="K180" s="726"/>
      <c r="L180" s="1325"/>
      <c r="M180" s="726"/>
      <c r="N180" s="726"/>
      <c r="O180" s="726"/>
      <c r="P180" s="726"/>
      <c r="Q180" s="1325"/>
      <c r="R180" s="726"/>
      <c r="S180" s="726"/>
      <c r="T180" s="726"/>
      <c r="U180" s="726"/>
      <c r="V180" s="1325"/>
      <c r="W180" s="726"/>
      <c r="X180" s="726"/>
      <c r="Y180" s="726"/>
      <c r="Z180" s="726"/>
      <c r="AA180" s="1325"/>
      <c r="AB180" s="726"/>
      <c r="AC180" s="726"/>
      <c r="AD180" s="726"/>
      <c r="AE180" s="726"/>
      <c r="AF180" s="1325"/>
      <c r="AG180" s="726"/>
      <c r="AH180" s="726"/>
      <c r="AI180" s="726"/>
      <c r="AJ180" s="726"/>
      <c r="AK180" s="1325"/>
      <c r="AL180" s="726"/>
      <c r="AM180" s="726"/>
      <c r="AN180" s="726"/>
      <c r="AO180" s="726"/>
      <c r="AP180" s="1325"/>
      <c r="AQ180" s="726"/>
      <c r="AR180" s="726"/>
      <c r="AS180" s="726"/>
      <c r="AT180" s="726"/>
      <c r="AU180" s="1325"/>
      <c r="AV180" s="726"/>
      <c r="AW180" s="726"/>
      <c r="AX180" s="726"/>
      <c r="AY180" s="726"/>
      <c r="AZ180" s="1325"/>
      <c r="BA180" s="726"/>
      <c r="BB180" s="726"/>
      <c r="BC180" s="726"/>
      <c r="BD180" s="726"/>
      <c r="BE180" s="1325"/>
      <c r="BF180" s="726"/>
      <c r="BG180" s="726"/>
      <c r="BH180" s="808"/>
      <c r="BI180" s="98"/>
      <c r="BJ180" s="1326"/>
      <c r="BK180" s="98"/>
      <c r="BL180" s="98"/>
      <c r="BM180" s="98"/>
      <c r="BN180" s="98"/>
      <c r="BO180" s="1326"/>
      <c r="BP180" s="1325"/>
      <c r="BQ180" s="1325"/>
      <c r="BR180" s="1326"/>
      <c r="BS180" s="648"/>
    </row>
    <row r="181" spans="1:71" s="676" customFormat="1" ht="15" hidden="1" outlineLevel="2">
      <c r="A181" s="24" t="s">
        <v>485</v>
      </c>
      <c r="B181" s="397"/>
      <c r="C181" s="1339"/>
      <c r="D181" s="1339"/>
      <c r="E181" s="1339"/>
      <c r="F181" s="1339"/>
      <c r="G181" s="1339"/>
      <c r="H181" s="381"/>
      <c r="I181" s="381"/>
      <c r="J181" s="381"/>
      <c r="K181" s="381"/>
      <c r="L181" s="1339"/>
      <c r="M181" s="381"/>
      <c r="N181" s="197">
        <f t="shared" si="415" ref="N181:AU181">N183/N178</f>
        <v>0.72863953061972864</v>
      </c>
      <c r="O181" s="197">
        <f t="shared" si="415"/>
        <v>0.91771019677996424</v>
      </c>
      <c r="P181" s="197">
        <f t="shared" si="415"/>
        <v>1.0615623383341954</v>
      </c>
      <c r="Q181" s="1352">
        <f t="shared" si="415"/>
        <v>0.88326566125290018</v>
      </c>
      <c r="R181" s="197">
        <f t="shared" si="415"/>
        <v>1.168907071887785</v>
      </c>
      <c r="S181" s="197">
        <f t="shared" si="415"/>
        <v>0.69543650793650802</v>
      </c>
      <c r="T181" s="197">
        <f t="shared" si="415"/>
        <v>0.937037037037037</v>
      </c>
      <c r="U181" s="197">
        <f t="shared" si="415"/>
        <v>1.033302919708029</v>
      </c>
      <c r="V181" s="1352">
        <f t="shared" si="415"/>
        <v>0.92390723522496521</v>
      </c>
      <c r="W181" s="197">
        <f t="shared" si="415"/>
        <v>1.0424354243542435</v>
      </c>
      <c r="X181" s="197">
        <f t="shared" si="415"/>
        <v>0.82193193537298048</v>
      </c>
      <c r="Y181" s="197">
        <f t="shared" si="415"/>
        <v>0.84868639840372462</v>
      </c>
      <c r="Z181" s="197">
        <f t="shared" si="415"/>
        <v>0.95010615711252644</v>
      </c>
      <c r="AA181" s="1352">
        <f t="shared" si="415"/>
        <v>0.9063244729605866</v>
      </c>
      <c r="AB181" s="197">
        <f t="shared" si="415"/>
        <v>0.9602827330865028</v>
      </c>
      <c r="AC181" s="197">
        <f t="shared" si="415"/>
        <v>0.78650553877139973</v>
      </c>
      <c r="AD181" s="197">
        <f t="shared" si="415"/>
        <v>0.84338863750628457</v>
      </c>
      <c r="AE181" s="197">
        <f t="shared" si="415"/>
        <v>0.97443650357339151</v>
      </c>
      <c r="AF181" s="1352">
        <f t="shared" si="415"/>
        <v>0.88447008723126586</v>
      </c>
      <c r="AG181" s="197">
        <f t="shared" si="415"/>
        <v>1.027825099375355</v>
      </c>
      <c r="AH181" s="197">
        <f t="shared" si="415"/>
        <v>0.83140676117775347</v>
      </c>
      <c r="AI181" s="197">
        <f t="shared" si="415"/>
        <v>0.8648119973918712</v>
      </c>
      <c r="AJ181" s="197">
        <f t="shared" si="415"/>
        <v>1.0014524328249821</v>
      </c>
      <c r="AK181" s="1352">
        <f t="shared" si="415"/>
        <v>0.92333273947384042</v>
      </c>
      <c r="AL181" s="197">
        <f t="shared" si="415"/>
        <v>1.0428961071162905</v>
      </c>
      <c r="AM181" s="197">
        <f t="shared" si="415"/>
        <v>0.84281262173743643</v>
      </c>
      <c r="AN181" s="197">
        <f t="shared" si="415"/>
        <v>0.8593659942363111</v>
      </c>
      <c r="AO181" s="197">
        <f t="shared" si="415"/>
        <v>0.98205236486486536</v>
      </c>
      <c r="AP181" s="1352">
        <f t="shared" si="415"/>
        <v>0.92406321959388737</v>
      </c>
      <c r="AQ181" s="197">
        <f t="shared" si="415"/>
        <v>0.9976773648648648</v>
      </c>
      <c r="AR181" s="197">
        <f t="shared" si="415"/>
        <v>0.85005923168048736</v>
      </c>
      <c r="AS181" s="197">
        <f t="shared" si="415"/>
        <v>0.87168874172185429</v>
      </c>
      <c r="AT181" s="197">
        <f t="shared" si="415"/>
        <v>0.98813218915464707</v>
      </c>
      <c r="AU181" s="1352">
        <f t="shared" si="415"/>
        <v>0.92162259723851647</v>
      </c>
      <c r="AV181" s="197">
        <f t="shared" si="416" ref="AV181:BA181">AV183/AV178</f>
        <v>1.0410371199403097</v>
      </c>
      <c r="AW181" s="197">
        <f t="shared" si="416"/>
        <v>0.89196372732958074</v>
      </c>
      <c r="AX181" s="197">
        <f t="shared" si="416"/>
        <v>0.89831865492393914</v>
      </c>
      <c r="AY181" s="197">
        <f t="shared" si="416"/>
        <v>0.96492103075644275</v>
      </c>
      <c r="AZ181" s="1352">
        <f t="shared" si="416"/>
        <v>0.94516384227838623</v>
      </c>
      <c r="BA181" s="197">
        <f t="shared" si="416"/>
        <v>0.95122338735303469</v>
      </c>
      <c r="BB181" s="197">
        <f t="shared" si="417" ref="BB181:BG181">BB183/BB178</f>
        <v>0.82940157270425163</v>
      </c>
      <c r="BC181" s="197">
        <f t="shared" si="417"/>
        <v>0.87120794263651391</v>
      </c>
      <c r="BD181" s="197">
        <f t="shared" si="417"/>
        <v>0.96265674521151978</v>
      </c>
      <c r="BE181" s="1352">
        <f t="shared" si="417"/>
        <v>0.9013636684801809</v>
      </c>
      <c r="BF181" s="197">
        <f t="shared" si="417"/>
        <v>0.971911644395964</v>
      </c>
      <c r="BG181" s="197">
        <f t="shared" si="417"/>
        <v>0.88566614514382014</v>
      </c>
      <c r="BH181" s="815">
        <f>BH183/BH178</f>
        <v>0.96724225495175209</v>
      </c>
      <c r="BI181" s="1221">
        <v>0.90</v>
      </c>
      <c r="BJ181" s="1340">
        <f>BJ183/BJ178</f>
        <v>0.9293588950792252</v>
      </c>
      <c r="BK181" s="1221">
        <v>0.90</v>
      </c>
      <c r="BL181" s="1221">
        <v>0.90</v>
      </c>
      <c r="BM181" s="1221">
        <v>0.90</v>
      </c>
      <c r="BN181" s="1221">
        <v>0.90</v>
      </c>
      <c r="BO181" s="1340">
        <f>BO183/BO178</f>
        <v>0.90</v>
      </c>
      <c r="BP181" s="1343">
        <v>0.92</v>
      </c>
      <c r="BQ181" s="1343">
        <v>0.92</v>
      </c>
      <c r="BR181" s="1344">
        <v>0.92</v>
      </c>
      <c r="BS181" s="648"/>
    </row>
    <row r="182" spans="1:71" s="669" customFormat="1" ht="7.5" customHeight="1" hidden="1" outlineLevel="2">
      <c r="A182" s="107"/>
      <c r="B182" s="108"/>
      <c r="C182" s="1325"/>
      <c r="D182" s="1325"/>
      <c r="E182" s="1325"/>
      <c r="F182" s="1325"/>
      <c r="G182" s="1325"/>
      <c r="H182" s="726"/>
      <c r="I182" s="726"/>
      <c r="J182" s="726"/>
      <c r="K182" s="726"/>
      <c r="L182" s="1325"/>
      <c r="M182" s="726"/>
      <c r="N182" s="726"/>
      <c r="O182" s="726"/>
      <c r="P182" s="726"/>
      <c r="Q182" s="1325"/>
      <c r="R182" s="726"/>
      <c r="S182" s="726"/>
      <c r="T182" s="726"/>
      <c r="U182" s="726"/>
      <c r="V182" s="1325"/>
      <c r="W182" s="726"/>
      <c r="X182" s="726"/>
      <c r="Y182" s="726"/>
      <c r="Z182" s="726"/>
      <c r="AA182" s="1325"/>
      <c r="AB182" s="726"/>
      <c r="AC182" s="726"/>
      <c r="AD182" s="726"/>
      <c r="AE182" s="726"/>
      <c r="AF182" s="1325"/>
      <c r="AG182" s="726"/>
      <c r="AH182" s="726"/>
      <c r="AI182" s="726"/>
      <c r="AJ182" s="726"/>
      <c r="AK182" s="1325"/>
      <c r="AL182" s="726"/>
      <c r="AM182" s="726"/>
      <c r="AN182" s="726"/>
      <c r="AO182" s="726"/>
      <c r="AP182" s="1325"/>
      <c r="AQ182" s="726"/>
      <c r="AR182" s="726"/>
      <c r="AS182" s="726"/>
      <c r="AT182" s="726"/>
      <c r="AU182" s="1325"/>
      <c r="AV182" s="726"/>
      <c r="AW182" s="726"/>
      <c r="AX182" s="726"/>
      <c r="AY182" s="726"/>
      <c r="AZ182" s="1325"/>
      <c r="BA182" s="726"/>
      <c r="BB182" s="726"/>
      <c r="BC182" s="726"/>
      <c r="BD182" s="726"/>
      <c r="BE182" s="1325"/>
      <c r="BF182" s="726"/>
      <c r="BG182" s="726"/>
      <c r="BH182" s="808"/>
      <c r="BI182" s="98"/>
      <c r="BJ182" s="1326"/>
      <c r="BK182" s="98"/>
      <c r="BL182" s="98"/>
      <c r="BM182" s="98"/>
      <c r="BN182" s="98"/>
      <c r="BO182" s="1326"/>
      <c r="BP182" s="1325"/>
      <c r="BQ182" s="1325"/>
      <c r="BR182" s="1326"/>
      <c r="BS182" s="648"/>
    </row>
    <row r="183" spans="1:71" s="668" customFormat="1" ht="15" hidden="1" outlineLevel="2">
      <c r="A183" s="25" t="s">
        <v>486</v>
      </c>
      <c r="B183" s="394"/>
      <c r="C183" s="1363"/>
      <c r="D183" s="1363"/>
      <c r="E183" s="1363"/>
      <c r="F183" s="1363"/>
      <c r="G183" s="1363"/>
      <c r="H183" s="1062"/>
      <c r="I183" s="1062"/>
      <c r="J183" s="1062"/>
      <c r="K183" s="1062"/>
      <c r="L183" s="1363"/>
      <c r="M183" s="1062"/>
      <c r="N183" s="1039">
        <f t="shared" si="418" ref="N183:AU183">N234</f>
        <v>198.70</v>
      </c>
      <c r="O183" s="1039">
        <f t="shared" si="418"/>
        <v>205.20</v>
      </c>
      <c r="P183" s="1039">
        <f t="shared" si="418"/>
        <v>205.20000000000005</v>
      </c>
      <c r="Q183" s="1348">
        <f t="shared" si="418"/>
        <v>609.10</v>
      </c>
      <c r="R183" s="1039">
        <f t="shared" si="418"/>
        <v>200</v>
      </c>
      <c r="S183" s="1039">
        <f t="shared" si="418"/>
        <v>210.30</v>
      </c>
      <c r="T183" s="1039">
        <f t="shared" si="418"/>
        <v>227.70</v>
      </c>
      <c r="U183" s="1039">
        <f t="shared" si="418"/>
        <v>226.50</v>
      </c>
      <c r="V183" s="1348">
        <f t="shared" si="418"/>
        <v>864.50</v>
      </c>
      <c r="W183" s="1039">
        <f t="shared" si="418"/>
        <v>226</v>
      </c>
      <c r="X183" s="1039">
        <f t="shared" si="418"/>
        <v>239.10</v>
      </c>
      <c r="Y183" s="1039">
        <f t="shared" si="418"/>
        <v>255.20</v>
      </c>
      <c r="Z183" s="1039">
        <f t="shared" si="418"/>
        <v>268.50</v>
      </c>
      <c r="AA183" s="1348">
        <f t="shared" si="418"/>
        <v>988.80</v>
      </c>
      <c r="AB183" s="1039">
        <f t="shared" si="418"/>
        <v>285.30</v>
      </c>
      <c r="AC183" s="1039">
        <f t="shared" si="418"/>
        <v>312.39999999999998</v>
      </c>
      <c r="AD183" s="1039">
        <f t="shared" si="418"/>
        <v>335.50</v>
      </c>
      <c r="AE183" s="1039">
        <f t="shared" si="418"/>
        <v>354.50</v>
      </c>
      <c r="AF183" s="1348">
        <f t="shared" si="418"/>
        <v>1287.70</v>
      </c>
      <c r="AG183" s="1039">
        <f t="shared" si="418"/>
        <v>362</v>
      </c>
      <c r="AH183" s="1039">
        <f t="shared" si="418"/>
        <v>381.20</v>
      </c>
      <c r="AI183" s="1039">
        <f t="shared" si="418"/>
        <v>397.90</v>
      </c>
      <c r="AJ183" s="1039">
        <f t="shared" si="418"/>
        <v>413.70000000000005</v>
      </c>
      <c r="AK183" s="1348">
        <f t="shared" si="418"/>
        <v>1554.80</v>
      </c>
      <c r="AL183" s="1039">
        <f t="shared" si="418"/>
        <v>420.60</v>
      </c>
      <c r="AM183" s="1039">
        <f t="shared" si="418"/>
        <v>432.69999999999993</v>
      </c>
      <c r="AN183" s="1039">
        <f t="shared" si="418"/>
        <v>447.29999999999995</v>
      </c>
      <c r="AO183" s="1039">
        <f t="shared" si="418"/>
        <v>465.10000000000014</v>
      </c>
      <c r="AP183" s="1348">
        <f t="shared" si="418"/>
        <v>1765.70</v>
      </c>
      <c r="AQ183" s="1039">
        <f t="shared" si="418"/>
        <v>472.50</v>
      </c>
      <c r="AR183" s="1039">
        <f t="shared" si="418"/>
        <v>502.29999999999995</v>
      </c>
      <c r="AS183" s="1039">
        <f t="shared" si="418"/>
        <v>526.50</v>
      </c>
      <c r="AT183" s="1039">
        <f t="shared" si="418"/>
        <v>541.20000000000005</v>
      </c>
      <c r="AU183" s="1348">
        <f t="shared" si="418"/>
        <v>2042.50</v>
      </c>
      <c r="AV183" s="1039">
        <f t="shared" si="419" ref="AV183:BA183">AV234</f>
        <v>558.10</v>
      </c>
      <c r="AW183" s="1039">
        <f t="shared" si="419"/>
        <v>570.49999999999989</v>
      </c>
      <c r="AX183" s="1039">
        <f t="shared" si="419"/>
        <v>561</v>
      </c>
      <c r="AY183" s="1039">
        <f t="shared" si="419"/>
        <v>580.40000000000009</v>
      </c>
      <c r="AZ183" s="1348">
        <f t="shared" si="419"/>
        <v>2270</v>
      </c>
      <c r="BA183" s="1039">
        <f t="shared" si="419"/>
        <v>598.70000000000005</v>
      </c>
      <c r="BB183" s="1039">
        <f t="shared" si="420" ref="BB183:BG183">BB234</f>
        <v>622.29999999999995</v>
      </c>
      <c r="BC183" s="1039">
        <f t="shared" si="420"/>
        <v>631.79999999999995</v>
      </c>
      <c r="BD183" s="1039">
        <f t="shared" si="420"/>
        <v>698.60000000000014</v>
      </c>
      <c r="BE183" s="1348">
        <f t="shared" si="420"/>
        <v>2551.40</v>
      </c>
      <c r="BF183" s="1039">
        <f t="shared" si="420"/>
        <v>712.80</v>
      </c>
      <c r="BG183" s="1039">
        <f t="shared" si="420"/>
        <v>735.90000000000009</v>
      </c>
      <c r="BH183" s="1040">
        <f>BH234</f>
        <v>761.80</v>
      </c>
      <c r="BI183" s="1023">
        <f>BI178*BI181</f>
        <v>758.43226173075811</v>
      </c>
      <c r="BJ183" s="1321">
        <f>SUM(BF183,BG183,BH183,BI183)</f>
        <v>2968.932261730758</v>
      </c>
      <c r="BK183" s="1023">
        <f>BK178*BK181</f>
        <v>754.81011624121584</v>
      </c>
      <c r="BL183" s="1023">
        <f>BL178*BL181</f>
        <v>849.2754923489581</v>
      </c>
      <c r="BM183" s="1023">
        <f>BM178*BM181</f>
        <v>790.83977685066156</v>
      </c>
      <c r="BN183" s="1023">
        <f>BN178*BN181</f>
        <v>839.66466645984292</v>
      </c>
      <c r="BO183" s="1321">
        <f>SUM(BK183,BL183,BM183,BN183)</f>
        <v>3234.5900519006782</v>
      </c>
      <c r="BP183" s="1322">
        <f>BP178*BP181</f>
        <v>3542.2280151548898</v>
      </c>
      <c r="BQ183" s="1322">
        <f>BQ178*BQ181</f>
        <v>3685.3340269671476</v>
      </c>
      <c r="BR183" s="1321">
        <f>BR178*BR181</f>
        <v>3834.221521656621</v>
      </c>
      <c r="BS183" s="648"/>
    </row>
    <row r="184" spans="1:71" s="669" customFormat="1" ht="15" hidden="1" outlineLevel="2">
      <c r="A184" s="107" t="s">
        <v>537</v>
      </c>
      <c r="B184" s="108"/>
      <c r="C184" s="1325"/>
      <c r="D184" s="1325"/>
      <c r="E184" s="1325"/>
      <c r="F184" s="1325"/>
      <c r="G184" s="1325"/>
      <c r="H184" s="726"/>
      <c r="I184" s="726"/>
      <c r="J184" s="726"/>
      <c r="K184" s="726"/>
      <c r="L184" s="1325"/>
      <c r="M184" s="726"/>
      <c r="N184" s="726"/>
      <c r="O184" s="726"/>
      <c r="P184" s="726"/>
      <c r="Q184" s="1325"/>
      <c r="R184" s="726"/>
      <c r="S184" s="725">
        <f t="shared" si="421" ref="S184:AU184">S183/N183-1</f>
        <v>0.058379466532461066</v>
      </c>
      <c r="T184" s="725">
        <f t="shared" si="421"/>
        <v>0.10964912280701755</v>
      </c>
      <c r="U184" s="725">
        <f t="shared" si="421"/>
        <v>0.10380116959064312</v>
      </c>
      <c r="V184" s="1327">
        <f t="shared" si="421"/>
        <v>0.41930717451978317</v>
      </c>
      <c r="W184" s="725">
        <f t="shared" si="421"/>
        <v>0.12999999999999989</v>
      </c>
      <c r="X184" s="725">
        <f t="shared" si="421"/>
        <v>0.13694721825962897</v>
      </c>
      <c r="Y184" s="725">
        <f t="shared" si="421"/>
        <v>0.12077294685990347</v>
      </c>
      <c r="Z184" s="725">
        <f t="shared" si="421"/>
        <v>0.185430463576159</v>
      </c>
      <c r="AA184" s="1327">
        <f t="shared" si="421"/>
        <v>0.14378253325621748</v>
      </c>
      <c r="AB184" s="725">
        <f t="shared" si="421"/>
        <v>0.2623893805309736</v>
      </c>
      <c r="AC184" s="725">
        <f t="shared" si="421"/>
        <v>0.30656629025512339</v>
      </c>
      <c r="AD184" s="725">
        <f t="shared" si="421"/>
        <v>0.31465517241379315</v>
      </c>
      <c r="AE184" s="725">
        <f t="shared" si="421"/>
        <v>0.32029795158286789</v>
      </c>
      <c r="AF184" s="1327">
        <f t="shared" si="421"/>
        <v>0.30228559870550176</v>
      </c>
      <c r="AG184" s="725">
        <f t="shared" si="421"/>
        <v>0.26883981773571675</v>
      </c>
      <c r="AH184" s="725">
        <f t="shared" si="421"/>
        <v>0.22023047375160054</v>
      </c>
      <c r="AI184" s="725">
        <f t="shared" si="421"/>
        <v>0.18599105812220551</v>
      </c>
      <c r="AJ184" s="725">
        <f t="shared" si="421"/>
        <v>0.16699576868829347</v>
      </c>
      <c r="AK184" s="1327">
        <f t="shared" si="421"/>
        <v>0.20742408946183111</v>
      </c>
      <c r="AL184" s="725">
        <f t="shared" si="421"/>
        <v>0.1618784530386741</v>
      </c>
      <c r="AM184" s="725">
        <f t="shared" si="421"/>
        <v>0.1350996852046169</v>
      </c>
      <c r="AN184" s="725">
        <f t="shared" si="421"/>
        <v>0.12415179693390299</v>
      </c>
      <c r="AO184" s="725">
        <f t="shared" si="421"/>
        <v>0.12424462170655093</v>
      </c>
      <c r="AP184" s="1327">
        <f t="shared" si="421"/>
        <v>0.13564445587856966</v>
      </c>
      <c r="AQ184" s="725">
        <f t="shared" si="421"/>
        <v>0.12339514978601995</v>
      </c>
      <c r="AR184" s="725">
        <f t="shared" si="421"/>
        <v>0.16085047376935524</v>
      </c>
      <c r="AS184" s="725">
        <f t="shared" si="421"/>
        <v>0.17706237424547289</v>
      </c>
      <c r="AT184" s="725">
        <f t="shared" si="421"/>
        <v>0.16362072672543504</v>
      </c>
      <c r="AU184" s="1327">
        <f t="shared" si="421"/>
        <v>0.15676502237073109</v>
      </c>
      <c r="AV184" s="725">
        <f t="shared" si="422" ref="AV184:AZ184">AV183/AQ183-1</f>
        <v>0.1811640211640213</v>
      </c>
      <c r="AW184" s="725">
        <f t="shared" si="422"/>
        <v>0.13577543300816242</v>
      </c>
      <c r="AX184" s="725">
        <f t="shared" si="422"/>
        <v>0.065527065527065442</v>
      </c>
      <c r="AY184" s="725">
        <f t="shared" si="422"/>
        <v>0.072431633407243234</v>
      </c>
      <c r="AZ184" s="1327">
        <f t="shared" si="422"/>
        <v>0.11138310893512848</v>
      </c>
      <c r="BA184" s="725">
        <f t="shared" si="423" ref="BA184:BO184">BA183/AV183-1</f>
        <v>0.072746819566386067</v>
      </c>
      <c r="BB184" s="725">
        <f t="shared" si="423"/>
        <v>0.090797546012270081</v>
      </c>
      <c r="BC184" s="725">
        <f t="shared" si="423"/>
        <v>0.12620320855614975</v>
      </c>
      <c r="BD184" s="725">
        <f t="shared" si="423"/>
        <v>0.20365265334252247</v>
      </c>
      <c r="BE184" s="1327">
        <f t="shared" si="423"/>
        <v>0.12396475770925108</v>
      </c>
      <c r="BF184" s="725">
        <f>BF183/BA183-1</f>
        <v>0.19057958910973749</v>
      </c>
      <c r="BG184" s="725">
        <f>BG183/BB183-1</f>
        <v>0.18254860999517941</v>
      </c>
      <c r="BH184" s="809">
        <f>BH183/BC183-1</f>
        <v>0.20576131687242794</v>
      </c>
      <c r="BI184" s="98">
        <f t="shared" si="423"/>
        <v>0.085645951518405372</v>
      </c>
      <c r="BJ184" s="1326">
        <f t="shared" si="423"/>
        <v>0.1636482957320522</v>
      </c>
      <c r="BK184" s="98">
        <f t="shared" si="423"/>
        <v>0.058936751180157065</v>
      </c>
      <c r="BL184" s="98">
        <f t="shared" si="423"/>
        <v>0.15406372108840594</v>
      </c>
      <c r="BM184" s="98">
        <f t="shared" si="423"/>
        <v>0.038119948609427246</v>
      </c>
      <c r="BN184" s="98">
        <f t="shared" si="423"/>
        <v>0.10710568211287685</v>
      </c>
      <c r="BO184" s="1326">
        <f t="shared" si="423"/>
        <v>0.089479235883628272</v>
      </c>
      <c r="BP184" s="1325">
        <f>BP183/BO183-1</f>
        <v>0.095108795339749586</v>
      </c>
      <c r="BQ184" s="1325">
        <f>BQ183/BP183-1</f>
        <v>0.040399999999999991</v>
      </c>
      <c r="BR184" s="1326">
        <f>BR183/BQ183-1</f>
        <v>0.040400000000000214</v>
      </c>
      <c r="BS184" s="648"/>
    </row>
    <row r="185" spans="1:71" s="669" customFormat="1" ht="7.5" customHeight="1" hidden="1" outlineLevel="2">
      <c r="A185" s="107"/>
      <c r="B185" s="108"/>
      <c r="C185" s="1325"/>
      <c r="D185" s="1325"/>
      <c r="E185" s="1325"/>
      <c r="F185" s="1325"/>
      <c r="G185" s="1325"/>
      <c r="H185" s="726"/>
      <c r="I185" s="726"/>
      <c r="J185" s="726"/>
      <c r="K185" s="726"/>
      <c r="L185" s="1325"/>
      <c r="M185" s="726"/>
      <c r="N185" s="726"/>
      <c r="O185" s="726"/>
      <c r="P185" s="726"/>
      <c r="Q185" s="1325"/>
      <c r="R185" s="726"/>
      <c r="S185" s="726"/>
      <c r="T185" s="726"/>
      <c r="U185" s="726"/>
      <c r="V185" s="1325"/>
      <c r="W185" s="726"/>
      <c r="X185" s="726"/>
      <c r="Y185" s="726"/>
      <c r="Z185" s="726"/>
      <c r="AA185" s="1325"/>
      <c r="AB185" s="726"/>
      <c r="AC185" s="726"/>
      <c r="AD185" s="726"/>
      <c r="AE185" s="726"/>
      <c r="AF185" s="1325"/>
      <c r="AG185" s="726"/>
      <c r="AH185" s="726"/>
      <c r="AI185" s="726"/>
      <c r="AJ185" s="726"/>
      <c r="AK185" s="1325"/>
      <c r="AL185" s="726"/>
      <c r="AM185" s="726"/>
      <c r="AN185" s="726"/>
      <c r="AO185" s="726"/>
      <c r="AP185" s="1325"/>
      <c r="AQ185" s="726"/>
      <c r="AR185" s="726"/>
      <c r="AS185" s="726"/>
      <c r="AT185" s="726"/>
      <c r="AU185" s="1325"/>
      <c r="AV185" s="726"/>
      <c r="AW185" s="726"/>
      <c r="AX185" s="726"/>
      <c r="AY185" s="726"/>
      <c r="AZ185" s="1325"/>
      <c r="BA185" s="726"/>
      <c r="BB185" s="726"/>
      <c r="BC185" s="726"/>
      <c r="BD185" s="726"/>
      <c r="BE185" s="1325"/>
      <c r="BF185" s="726"/>
      <c r="BG185" s="726"/>
      <c r="BH185" s="808"/>
      <c r="BI185" s="98"/>
      <c r="BJ185" s="1326"/>
      <c r="BK185" s="98"/>
      <c r="BL185" s="98"/>
      <c r="BM185" s="98"/>
      <c r="BN185" s="98"/>
      <c r="BO185" s="1326"/>
      <c r="BP185" s="1325"/>
      <c r="BQ185" s="1325"/>
      <c r="BR185" s="1326"/>
      <c r="BS185" s="648"/>
    </row>
    <row r="186" spans="1:71" s="665" customFormat="1" ht="15" hidden="1" outlineLevel="2">
      <c r="A186" s="307" t="s">
        <v>583</v>
      </c>
      <c r="B186" s="308"/>
      <c r="C186" s="1351"/>
      <c r="D186" s="1351"/>
      <c r="E186" s="1351"/>
      <c r="F186" s="1351"/>
      <c r="G186" s="1351"/>
      <c r="H186" s="1047"/>
      <c r="I186" s="1047"/>
      <c r="J186" s="1047"/>
      <c r="K186" s="1047"/>
      <c r="L186" s="1351"/>
      <c r="M186" s="1047"/>
      <c r="N186" s="1042">
        <f>N188-N187</f>
        <v>80.418600000000012</v>
      </c>
      <c r="O186" s="1042">
        <f t="shared" si="424" ref="O186:AU186">O188-O187</f>
        <v>95.773199999999989</v>
      </c>
      <c r="P186" s="1042">
        <f t="shared" si="424"/>
        <v>70.922499999999971</v>
      </c>
      <c r="Q186" s="1349">
        <f t="shared" si="424"/>
        <v>247.11429999999999</v>
      </c>
      <c r="R186" s="1042">
        <f t="shared" si="424"/>
        <v>110.50000000000001</v>
      </c>
      <c r="S186" s="1042">
        <f t="shared" si="424"/>
        <v>81.843900000000019</v>
      </c>
      <c r="T186" s="1042">
        <f t="shared" si="424"/>
        <v>111.47259999999999</v>
      </c>
      <c r="U186" s="1042">
        <f t="shared" si="424"/>
        <v>71.847499999999968</v>
      </c>
      <c r="V186" s="1349">
        <f t="shared" si="424"/>
        <v>375.66400000000004</v>
      </c>
      <c r="W186" s="1042">
        <f t="shared" si="424"/>
        <v>84.418000000000006</v>
      </c>
      <c r="X186" s="1042">
        <f t="shared" si="424"/>
        <v>78.467600000000004</v>
      </c>
      <c r="Y186" s="1042">
        <f t="shared" si="424"/>
        <v>145.53999999999996</v>
      </c>
      <c r="Z186" s="1042">
        <f t="shared" si="424"/>
        <v>92.344799999999992</v>
      </c>
      <c r="AA186" s="1349">
        <f t="shared" si="424"/>
        <v>400.77039999999994</v>
      </c>
      <c r="AB186" s="1042">
        <f t="shared" si="424"/>
        <v>133.40030000000002</v>
      </c>
      <c r="AC186" s="1042">
        <f t="shared" si="424"/>
        <v>168.0076</v>
      </c>
      <c r="AD186" s="1042">
        <f t="shared" si="424"/>
        <v>202.37899999999996</v>
      </c>
      <c r="AE186" s="1042">
        <f t="shared" si="424"/>
        <v>164.8587</v>
      </c>
      <c r="AF186" s="1349">
        <f t="shared" si="424"/>
        <v>668.64560000000006</v>
      </c>
      <c r="AG186" s="1042">
        <f t="shared" si="424"/>
        <v>220.92200000000003</v>
      </c>
      <c r="AH186" s="1042">
        <f t="shared" si="424"/>
        <v>214.29240000000001</v>
      </c>
      <c r="AI186" s="1042">
        <f t="shared" si="424"/>
        <v>250.70059999999998</v>
      </c>
      <c r="AJ186" s="1042">
        <f t="shared" si="424"/>
        <v>206.60259999999985</v>
      </c>
      <c r="AK186" s="1349">
        <f t="shared" si="424"/>
        <v>892.5175999999999</v>
      </c>
      <c r="AL186" s="1042">
        <f t="shared" si="424"/>
        <v>202.88919999999999</v>
      </c>
      <c r="AM186" s="1042">
        <f t="shared" si="424"/>
        <v>258.47799999999989</v>
      </c>
      <c r="AN186" s="1042">
        <f t="shared" si="424"/>
        <v>248.10760000000002</v>
      </c>
      <c r="AO186" s="1042">
        <f t="shared" si="424"/>
        <v>231.6113000000002</v>
      </c>
      <c r="AP186" s="1349">
        <f t="shared" si="424"/>
        <v>941.08610000000022</v>
      </c>
      <c r="AQ186" s="1042">
        <f t="shared" si="424"/>
        <v>256.5525</v>
      </c>
      <c r="AR186" s="1042">
        <f t="shared" si="424"/>
        <v>311.51249999999993</v>
      </c>
      <c r="AS186" s="1042">
        <f t="shared" si="424"/>
        <v>310.58349999999996</v>
      </c>
      <c r="AT186" s="1042">
        <f t="shared" si="424"/>
        <v>252.67150000000004</v>
      </c>
      <c r="AU186" s="1349">
        <f t="shared" si="424"/>
        <v>1131.3200000000002</v>
      </c>
      <c r="AV186" s="1042">
        <f t="shared" si="425" ref="AV186:BA186">AV188-AV187</f>
        <v>294.71859999999998</v>
      </c>
      <c r="AW186" s="1042">
        <f t="shared" si="425"/>
        <v>346.69849999999985</v>
      </c>
      <c r="AX186" s="1042">
        <f t="shared" si="425"/>
        <v>350.29200000000003</v>
      </c>
      <c r="AY186" s="1042">
        <f t="shared" si="425"/>
        <v>318.80090000000007</v>
      </c>
      <c r="AZ186" s="1349">
        <f t="shared" si="425"/>
        <v>1310.5099999999998</v>
      </c>
      <c r="BA186" s="1042">
        <f t="shared" si="425"/>
        <v>306.1198</v>
      </c>
      <c r="BB186" s="1042">
        <f t="shared" si="426" ref="BB186:BG186">BB188-BB187</f>
        <v>242.14879999999994</v>
      </c>
      <c r="BC186" s="1042">
        <f t="shared" si="426"/>
        <v>260.69839999999994</v>
      </c>
      <c r="BD186" s="1042">
        <f t="shared" si="426"/>
        <v>307.60739999999987</v>
      </c>
      <c r="BE186" s="1349">
        <f t="shared" si="426"/>
        <v>1116.5744</v>
      </c>
      <c r="BF186" s="1042">
        <f t="shared" si="426"/>
        <v>324.49439999999993</v>
      </c>
      <c r="BG186" s="1042">
        <f t="shared" si="426"/>
        <v>454.52660000000014</v>
      </c>
      <c r="BH186" s="1043">
        <f>BH188-BH187</f>
        <v>313.23479999999995</v>
      </c>
      <c r="BI186" s="1044">
        <f>BI190*BI183</f>
        <v>455.05935703845483</v>
      </c>
      <c r="BJ186" s="1350">
        <f>SUM(BF186,BG186,BH186,BI186)</f>
        <v>1547.3151570384548</v>
      </c>
      <c r="BK186" s="1044">
        <f>BK190*BK183</f>
        <v>452.88606974472947</v>
      </c>
      <c r="BL186" s="1044">
        <f>BL190*BL183</f>
        <v>509.56529540937481</v>
      </c>
      <c r="BM186" s="1044">
        <f>BM190*BM183</f>
        <v>474.50386611039693</v>
      </c>
      <c r="BN186" s="1044">
        <f>BN190*BN183</f>
        <v>503.79879987590573</v>
      </c>
      <c r="BO186" s="1350">
        <f>SUM(BK186,BL186,BM186,BN186)</f>
        <v>1940.7540311404068</v>
      </c>
      <c r="BP186" s="1351">
        <f>BP190*BP183</f>
        <v>2125.3368090929339</v>
      </c>
      <c r="BQ186" s="1351">
        <f>BQ190*BQ183</f>
        <v>2211.2004161802884</v>
      </c>
      <c r="BR186" s="1350">
        <f>BR190*BR183</f>
        <v>2300.5329129939723</v>
      </c>
      <c r="BS186" s="648"/>
    </row>
    <row r="187" spans="1:71" s="665" customFormat="1" ht="15" hidden="1" outlineLevel="2">
      <c r="A187" s="307" t="str">
        <f>A272</f>
        <v>Property Business - Catastrophe Loss Incurred, mm</v>
      </c>
      <c r="B187" s="308"/>
      <c r="C187" s="1351"/>
      <c r="D187" s="1351"/>
      <c r="E187" s="1351"/>
      <c r="F187" s="1351"/>
      <c r="G187" s="1351"/>
      <c r="H187" s="1047"/>
      <c r="I187" s="1047"/>
      <c r="J187" s="1047"/>
      <c r="K187" s="1047"/>
      <c r="L187" s="1351"/>
      <c r="M187" s="1047"/>
      <c r="N187" s="1042">
        <f t="shared" si="427" ref="N187:AU187">N272</f>
        <v>54.30</v>
      </c>
      <c r="O187" s="1042">
        <f t="shared" si="427"/>
        <v>25.50</v>
      </c>
      <c r="P187" s="1042">
        <f t="shared" si="427"/>
        <v>22.100000000000009</v>
      </c>
      <c r="Q187" s="1349">
        <f t="shared" si="427"/>
        <v>101.90000000000001</v>
      </c>
      <c r="R187" s="1042">
        <f t="shared" si="427"/>
        <v>45.30</v>
      </c>
      <c r="S187" s="1042">
        <f t="shared" si="427"/>
        <v>68.099999999999994</v>
      </c>
      <c r="T187" s="1042">
        <f t="shared" si="427"/>
        <v>33.799999999999997</v>
      </c>
      <c r="U187" s="1042">
        <f t="shared" si="427"/>
        <v>23.50</v>
      </c>
      <c r="V187" s="1349">
        <f t="shared" si="427"/>
        <v>170.70</v>
      </c>
      <c r="W187" s="1042">
        <f t="shared" si="427"/>
        <v>49.60</v>
      </c>
      <c r="X187" s="1042">
        <f t="shared" si="427"/>
        <v>73.599999999999994</v>
      </c>
      <c r="Y187" s="1042">
        <f t="shared" si="427"/>
        <v>96.90</v>
      </c>
      <c r="Z187" s="1042">
        <f t="shared" si="427"/>
        <v>79.200000000000017</v>
      </c>
      <c r="AA187" s="1349">
        <f t="shared" si="427"/>
        <v>299.30</v>
      </c>
      <c r="AB187" s="1042">
        <f t="shared" si="427"/>
        <v>23.80</v>
      </c>
      <c r="AC187" s="1042">
        <f t="shared" si="427"/>
        <v>81.599999999999994</v>
      </c>
      <c r="AD187" s="1042">
        <f t="shared" si="427"/>
        <v>31.80</v>
      </c>
      <c r="AE187" s="1042">
        <f t="shared" si="427"/>
        <v>131.60000000000002</v>
      </c>
      <c r="AF187" s="1349">
        <f t="shared" si="427"/>
        <v>268.80</v>
      </c>
      <c r="AG187" s="1042">
        <f t="shared" si="427"/>
        <v>25.60</v>
      </c>
      <c r="AH187" s="1042">
        <f t="shared" si="427"/>
        <v>81.900000000000006</v>
      </c>
      <c r="AI187" s="1042">
        <f t="shared" si="427"/>
        <v>33.40</v>
      </c>
      <c r="AJ187" s="1042">
        <f t="shared" si="427"/>
        <v>73.599999999999994</v>
      </c>
      <c r="AK187" s="1349">
        <f t="shared" si="427"/>
        <v>214.50</v>
      </c>
      <c r="AL187" s="1042">
        <f t="shared" si="427"/>
        <v>41.90</v>
      </c>
      <c r="AM187" s="1042">
        <f t="shared" si="427"/>
        <v>234.80</v>
      </c>
      <c r="AN187" s="1042">
        <f t="shared" si="427"/>
        <v>115.09999999999999</v>
      </c>
      <c r="AO187" s="1042">
        <f t="shared" si="427"/>
        <v>32.000000000000057</v>
      </c>
      <c r="AP187" s="1349">
        <f t="shared" si="427"/>
        <v>423.80</v>
      </c>
      <c r="AQ187" s="1042">
        <f t="shared" si="427"/>
        <v>144.59999999999999</v>
      </c>
      <c r="AR187" s="1042">
        <f t="shared" si="427"/>
        <v>128</v>
      </c>
      <c r="AS187" s="1042">
        <f t="shared" si="427"/>
        <v>289.10000000000002</v>
      </c>
      <c r="AT187" s="1042">
        <f t="shared" si="427"/>
        <v>71.699999999999932</v>
      </c>
      <c r="AU187" s="1349">
        <f t="shared" si="427"/>
        <v>633.40</v>
      </c>
      <c r="AV187" s="1042">
        <f t="shared" si="428" ref="AV187:BA187">AV272</f>
        <v>99.30</v>
      </c>
      <c r="AW187" s="1042">
        <f t="shared" si="428"/>
        <v>233.50</v>
      </c>
      <c r="AX187" s="1042">
        <f t="shared" si="428"/>
        <v>195</v>
      </c>
      <c r="AY187" s="1042">
        <f t="shared" si="428"/>
        <v>52.600000000000023</v>
      </c>
      <c r="AZ187" s="1349">
        <f t="shared" si="428"/>
        <v>580.40</v>
      </c>
      <c r="BA187" s="1042">
        <f t="shared" si="428"/>
        <v>145.30000000000001</v>
      </c>
      <c r="BB187" s="1042">
        <f t="shared" si="429" ref="BB187:BG187">BB272</f>
        <v>415</v>
      </c>
      <c r="BC187" s="1042">
        <f t="shared" si="429"/>
        <v>110.80</v>
      </c>
      <c r="BD187" s="1042">
        <f t="shared" si="429"/>
        <v>-11.899999999999864</v>
      </c>
      <c r="BE187" s="1349">
        <f t="shared" si="429"/>
        <v>659.20</v>
      </c>
      <c r="BF187" s="1042">
        <f t="shared" si="429"/>
        <v>137.40000000000001</v>
      </c>
      <c r="BG187" s="1042">
        <f t="shared" si="429"/>
        <v>556.60</v>
      </c>
      <c r="BH187" s="1043">
        <f>BH272</f>
        <v>57</v>
      </c>
      <c r="BI187" s="1044">
        <f>BI191*BI183</f>
        <v>75.84322617307582</v>
      </c>
      <c r="BJ187" s="1350">
        <f>SUM(BF187,BG187,BH187,BI187)</f>
        <v>826.84322617307578</v>
      </c>
      <c r="BK187" s="1044">
        <f>BK191*BK183</f>
        <v>75.481011624121592</v>
      </c>
      <c r="BL187" s="1044">
        <f>BL191*BL183</f>
        <v>382.17397155703117</v>
      </c>
      <c r="BM187" s="1044">
        <f>BM191*BM183</f>
        <v>158.16795537013232</v>
      </c>
      <c r="BN187" s="1044">
        <f>BN191*BN183</f>
        <v>83.966466645984298</v>
      </c>
      <c r="BO187" s="1350">
        <f>SUM(BK187,BL187,BM187,BN187)</f>
        <v>699.78940519726939</v>
      </c>
      <c r="BP187" s="1351">
        <f>BP191*BP183</f>
        <v>354.22280151548898</v>
      </c>
      <c r="BQ187" s="1351">
        <f>BQ191*BQ183</f>
        <v>368.5334026967148</v>
      </c>
      <c r="BR187" s="1350">
        <f>BR191*BR183</f>
        <v>383.42215216566211</v>
      </c>
      <c r="BS187" s="648"/>
    </row>
    <row r="188" spans="1:71" s="665" customFormat="1" ht="15" hidden="1" outlineLevel="2">
      <c r="A188" s="567" t="str">
        <f>A282</f>
        <v>Property Business - Loss &amp; LAE (Calculated), mm</v>
      </c>
      <c r="B188" s="491"/>
      <c r="C188" s="1359"/>
      <c r="D188" s="1359"/>
      <c r="E188" s="1359"/>
      <c r="F188" s="1359"/>
      <c r="G188" s="1359"/>
      <c r="H188" s="1057"/>
      <c r="I188" s="1057"/>
      <c r="J188" s="1057"/>
      <c r="K188" s="1057"/>
      <c r="L188" s="1359"/>
      <c r="M188" s="1057"/>
      <c r="N188" s="1058">
        <f t="shared" si="430" ref="N188:AU188">N282</f>
        <v>134.71860000000001</v>
      </c>
      <c r="O188" s="1058">
        <f t="shared" si="430"/>
        <v>121.27319999999999</v>
      </c>
      <c r="P188" s="1058">
        <f t="shared" si="430"/>
        <v>93.02249999999998</v>
      </c>
      <c r="Q188" s="1360">
        <f t="shared" si="430"/>
        <v>349.01429999999999</v>
      </c>
      <c r="R188" s="1058">
        <f t="shared" si="430"/>
        <v>155.80000000000001</v>
      </c>
      <c r="S188" s="1058">
        <f t="shared" si="430"/>
        <v>149.94390000000001</v>
      </c>
      <c r="T188" s="1058">
        <f t="shared" si="430"/>
        <v>145.27259999999998</v>
      </c>
      <c r="U188" s="1058">
        <f t="shared" si="430"/>
        <v>95.347499999999968</v>
      </c>
      <c r="V188" s="1360">
        <f t="shared" si="430"/>
        <v>546.36400000000003</v>
      </c>
      <c r="W188" s="1058">
        <f t="shared" si="430"/>
        <v>134.018</v>
      </c>
      <c r="X188" s="1058">
        <f t="shared" si="430"/>
        <v>152.0676</v>
      </c>
      <c r="Y188" s="1058">
        <f t="shared" si="430"/>
        <v>242.43999999999997</v>
      </c>
      <c r="Z188" s="1058">
        <f t="shared" si="430"/>
        <v>171.54480000000001</v>
      </c>
      <c r="AA188" s="1360">
        <f t="shared" si="430"/>
        <v>700.07039999999995</v>
      </c>
      <c r="AB188" s="1058">
        <f t="shared" si="430"/>
        <v>157.20030000000003</v>
      </c>
      <c r="AC188" s="1058">
        <f t="shared" si="430"/>
        <v>249.60759999999999</v>
      </c>
      <c r="AD188" s="1058">
        <f t="shared" si="430"/>
        <v>234.17899999999997</v>
      </c>
      <c r="AE188" s="1058">
        <f t="shared" si="430"/>
        <v>296.45870000000002</v>
      </c>
      <c r="AF188" s="1360">
        <f t="shared" si="430"/>
        <v>937.44560000000001</v>
      </c>
      <c r="AG188" s="1058">
        <f t="shared" si="430"/>
        <v>246.52200000000002</v>
      </c>
      <c r="AH188" s="1058">
        <f t="shared" si="430"/>
        <v>296.19240000000002</v>
      </c>
      <c r="AI188" s="1058">
        <f t="shared" si="430"/>
        <v>284.10059999999999</v>
      </c>
      <c r="AJ188" s="1058">
        <f t="shared" si="430"/>
        <v>280.20259999999985</v>
      </c>
      <c r="AK188" s="1360">
        <f t="shared" si="430"/>
        <v>1107.0175999999999</v>
      </c>
      <c r="AL188" s="1058">
        <f t="shared" si="430"/>
        <v>244.78919999999999</v>
      </c>
      <c r="AM188" s="1058">
        <f t="shared" si="430"/>
        <v>493.27799999999991</v>
      </c>
      <c r="AN188" s="1058">
        <f t="shared" si="430"/>
        <v>363.20760000000001</v>
      </c>
      <c r="AO188" s="1058">
        <f t="shared" si="430"/>
        <v>263.61130000000026</v>
      </c>
      <c r="AP188" s="1360">
        <f t="shared" si="430"/>
        <v>1364.8861000000002</v>
      </c>
      <c r="AQ188" s="1058">
        <f t="shared" si="430"/>
        <v>401.1525</v>
      </c>
      <c r="AR188" s="1058">
        <f t="shared" si="430"/>
        <v>439.51249999999993</v>
      </c>
      <c r="AS188" s="1058">
        <f t="shared" si="430"/>
        <v>599.68349999999998</v>
      </c>
      <c r="AT188" s="1058">
        <f t="shared" si="430"/>
        <v>324.37149999999997</v>
      </c>
      <c r="AU188" s="1360">
        <f t="shared" si="430"/>
        <v>1764.72</v>
      </c>
      <c r="AV188" s="1058">
        <f t="shared" si="431" ref="AV188:BA188">AV282</f>
        <v>394.01859999999999</v>
      </c>
      <c r="AW188" s="1058">
        <f t="shared" si="431"/>
        <v>580.19849999999985</v>
      </c>
      <c r="AX188" s="1058">
        <f t="shared" si="431"/>
        <v>545.29200000000003</v>
      </c>
      <c r="AY188" s="1058">
        <f t="shared" si="431"/>
        <v>371.40090000000009</v>
      </c>
      <c r="AZ188" s="1360">
        <f t="shared" si="431"/>
        <v>1890.91</v>
      </c>
      <c r="BA188" s="1058">
        <f t="shared" si="431"/>
        <v>451.41980000000001</v>
      </c>
      <c r="BB188" s="1058">
        <f t="shared" si="432" ref="BB188:BG188">BB282</f>
        <v>657.14879999999994</v>
      </c>
      <c r="BC188" s="1058">
        <f t="shared" si="432"/>
        <v>371.49839999999995</v>
      </c>
      <c r="BD188" s="1058">
        <f t="shared" si="432"/>
        <v>295.70740000000001</v>
      </c>
      <c r="BE188" s="1360">
        <f t="shared" si="432"/>
        <v>1775.7744</v>
      </c>
      <c r="BF188" s="1058">
        <f t="shared" si="432"/>
        <v>461.89439999999996</v>
      </c>
      <c r="BG188" s="1058">
        <f t="shared" si="432"/>
        <v>1011.1266000000002</v>
      </c>
      <c r="BH188" s="1060">
        <f>BH282</f>
        <v>370.23479999999995</v>
      </c>
      <c r="BI188" s="1057">
        <f t="shared" si="433" ref="BI188:BR188">BI186+BI187</f>
        <v>530.90258321153067</v>
      </c>
      <c r="BJ188" s="1359">
        <f t="shared" si="433"/>
        <v>2374.1583832115307</v>
      </c>
      <c r="BK188" s="1057">
        <f t="shared" si="433"/>
        <v>528.36708136885102</v>
      </c>
      <c r="BL188" s="1057">
        <f t="shared" si="433"/>
        <v>891.73926696640592</v>
      </c>
      <c r="BM188" s="1057">
        <f t="shared" si="433"/>
        <v>632.67182148052927</v>
      </c>
      <c r="BN188" s="1057">
        <f t="shared" si="433"/>
        <v>587.76526652189</v>
      </c>
      <c r="BO188" s="1359">
        <f t="shared" si="433"/>
        <v>2640.5434363376762</v>
      </c>
      <c r="BP188" s="1359">
        <f t="shared" si="433"/>
        <v>2479.5596106084231</v>
      </c>
      <c r="BQ188" s="1359">
        <f t="shared" si="433"/>
        <v>2579.7338188770032</v>
      </c>
      <c r="BR188" s="1359">
        <f t="shared" si="433"/>
        <v>2683.9550651596346</v>
      </c>
      <c r="BS188" s="648"/>
    </row>
    <row r="189" spans="1:71" s="669" customFormat="1" ht="7.5" customHeight="1" hidden="1" outlineLevel="2">
      <c r="A189" s="107"/>
      <c r="B189" s="108"/>
      <c r="C189" s="1325"/>
      <c r="D189" s="1325"/>
      <c r="E189" s="1325"/>
      <c r="F189" s="1325"/>
      <c r="G189" s="1325"/>
      <c r="H189" s="726"/>
      <c r="I189" s="726"/>
      <c r="J189" s="726"/>
      <c r="K189" s="726"/>
      <c r="L189" s="1325"/>
      <c r="M189" s="726"/>
      <c r="N189" s="726"/>
      <c r="O189" s="726"/>
      <c r="P189" s="726"/>
      <c r="Q189" s="1325"/>
      <c r="R189" s="726"/>
      <c r="S189" s="726"/>
      <c r="T189" s="726"/>
      <c r="U189" s="726"/>
      <c r="V189" s="1325"/>
      <c r="W189" s="726"/>
      <c r="X189" s="726"/>
      <c r="Y189" s="726"/>
      <c r="Z189" s="726"/>
      <c r="AA189" s="1325"/>
      <c r="AB189" s="726"/>
      <c r="AC189" s="726"/>
      <c r="AD189" s="726"/>
      <c r="AE189" s="726"/>
      <c r="AF189" s="1325"/>
      <c r="AG189" s="726"/>
      <c r="AH189" s="726"/>
      <c r="AI189" s="726"/>
      <c r="AJ189" s="726"/>
      <c r="AK189" s="1325"/>
      <c r="AL189" s="726"/>
      <c r="AM189" s="726"/>
      <c r="AN189" s="726"/>
      <c r="AO189" s="726"/>
      <c r="AP189" s="1325"/>
      <c r="AQ189" s="726"/>
      <c r="AR189" s="726"/>
      <c r="AS189" s="726"/>
      <c r="AT189" s="726"/>
      <c r="AU189" s="1325"/>
      <c r="AV189" s="726"/>
      <c r="AW189" s="726"/>
      <c r="AX189" s="726"/>
      <c r="AY189" s="726"/>
      <c r="AZ189" s="1325"/>
      <c r="BA189" s="726"/>
      <c r="BB189" s="726"/>
      <c r="BC189" s="726"/>
      <c r="BD189" s="726"/>
      <c r="BE189" s="1325"/>
      <c r="BF189" s="726"/>
      <c r="BG189" s="726"/>
      <c r="BH189" s="808"/>
      <c r="BI189" s="98"/>
      <c r="BJ189" s="1326"/>
      <c r="BK189" s="98"/>
      <c r="BL189" s="98"/>
      <c r="BM189" s="98"/>
      <c r="BN189" s="98"/>
      <c r="BO189" s="1326"/>
      <c r="BP189" s="1325"/>
      <c r="BQ189" s="1325"/>
      <c r="BR189" s="1326"/>
      <c r="BS189" s="648"/>
    </row>
    <row r="190" spans="1:71" s="676" customFormat="1" ht="15" hidden="1" outlineLevel="2">
      <c r="A190" s="513" t="str">
        <f>A249</f>
        <v>Property Business - Loss &amp; LAE Ratio excluding Catastrophe Losses Incurred, %</v>
      </c>
      <c r="B190" s="396"/>
      <c r="C190" s="1339">
        <f t="shared" si="434" ref="C190:AU190">C249</f>
        <v>0</v>
      </c>
      <c r="D190" s="1339">
        <f t="shared" si="434"/>
        <v>0</v>
      </c>
      <c r="E190" s="1339">
        <f t="shared" si="434"/>
        <v>0</v>
      </c>
      <c r="F190" s="1339">
        <f t="shared" si="434"/>
        <v>0</v>
      </c>
      <c r="G190" s="1339">
        <f t="shared" si="434"/>
        <v>0</v>
      </c>
      <c r="H190" s="381">
        <f t="shared" si="434"/>
        <v>0</v>
      </c>
      <c r="I190" s="381">
        <f t="shared" si="434"/>
        <v>0</v>
      </c>
      <c r="J190" s="381">
        <f t="shared" si="434"/>
        <v>0</v>
      </c>
      <c r="K190" s="381">
        <f t="shared" si="434"/>
        <v>0</v>
      </c>
      <c r="L190" s="1339">
        <f t="shared" si="434"/>
        <v>0</v>
      </c>
      <c r="M190" s="381">
        <f t="shared" si="434"/>
        <v>0</v>
      </c>
      <c r="N190" s="381">
        <f t="shared" si="434"/>
        <v>0.40472370407649727</v>
      </c>
      <c r="O190" s="381">
        <f t="shared" si="434"/>
        <v>0.46673099415204677</v>
      </c>
      <c r="P190" s="381">
        <f t="shared" si="434"/>
        <v>0.34562621832358653</v>
      </c>
      <c r="Q190" s="1339">
        <f t="shared" si="434"/>
        <v>0.40570398949269409</v>
      </c>
      <c r="R190" s="381">
        <f t="shared" si="434"/>
        <v>0.5525</v>
      </c>
      <c r="S190" s="381">
        <f t="shared" si="434"/>
        <v>0.3891768901569187</v>
      </c>
      <c r="T190" s="381">
        <f t="shared" si="434"/>
        <v>0.48955906895037332</v>
      </c>
      <c r="U190" s="381">
        <f t="shared" si="434"/>
        <v>0.31720750551876364</v>
      </c>
      <c r="V190" s="1339">
        <f t="shared" si="434"/>
        <v>0.43454482359745517</v>
      </c>
      <c r="W190" s="381">
        <f t="shared" si="434"/>
        <v>0.37353097345132741</v>
      </c>
      <c r="X190" s="381">
        <f t="shared" si="434"/>
        <v>0.32817900460058558</v>
      </c>
      <c r="Y190" s="381">
        <f t="shared" si="434"/>
        <v>0.5702978056426331</v>
      </c>
      <c r="Z190" s="381">
        <f t="shared" si="434"/>
        <v>0.34392849162011169</v>
      </c>
      <c r="AA190" s="1339">
        <f t="shared" si="434"/>
        <v>0.40530987055016177</v>
      </c>
      <c r="AB190" s="381">
        <f t="shared" si="434"/>
        <v>0.4675790396074308</v>
      </c>
      <c r="AC190" s="381">
        <f t="shared" si="434"/>
        <v>0.53779641485275298</v>
      </c>
      <c r="AD190" s="381">
        <f t="shared" si="434"/>
        <v>0.60321609538002974</v>
      </c>
      <c r="AE190" s="381">
        <f t="shared" si="434"/>
        <v>0.4650456981664316</v>
      </c>
      <c r="AF190" s="1339">
        <f t="shared" si="434"/>
        <v>0.51925572726566749</v>
      </c>
      <c r="AG190" s="381">
        <f t="shared" si="434"/>
        <v>0.61028176795580114</v>
      </c>
      <c r="AH190" s="381">
        <f t="shared" si="434"/>
        <v>0.56215215110178385</v>
      </c>
      <c r="AI190" s="381">
        <f t="shared" si="434"/>
        <v>0.63005931138477</v>
      </c>
      <c r="AJ190" s="381">
        <f t="shared" si="434"/>
        <v>0.49940198211264164</v>
      </c>
      <c r="AK190" s="1339">
        <f t="shared" si="434"/>
        <v>0.57404013377926422</v>
      </c>
      <c r="AL190" s="381">
        <f t="shared" si="434"/>
        <v>0.48238040893961004</v>
      </c>
      <c r="AM190" s="381">
        <f t="shared" si="434"/>
        <v>0.59736075803096811</v>
      </c>
      <c r="AN190" s="381">
        <f t="shared" si="434"/>
        <v>0.55467829197406671</v>
      </c>
      <c r="AO190" s="381">
        <f t="shared" si="434"/>
        <v>0.49798172436035293</v>
      </c>
      <c r="AP190" s="1339">
        <f t="shared" si="434"/>
        <v>0.53298187687602649</v>
      </c>
      <c r="AQ190" s="381">
        <f t="shared" si="434"/>
        <v>0.54296825396825388</v>
      </c>
      <c r="AR190" s="381">
        <f t="shared" si="434"/>
        <v>0.62017220784391802</v>
      </c>
      <c r="AS190" s="381">
        <f t="shared" si="434"/>
        <v>0.58990218423551755</v>
      </c>
      <c r="AT190" s="381">
        <f t="shared" si="434"/>
        <v>0.46687269031781231</v>
      </c>
      <c r="AU190" s="1339">
        <f t="shared" si="434"/>
        <v>0.55388984088127291</v>
      </c>
      <c r="AV190" s="381">
        <f t="shared" si="435" ref="AV190:BA190">AV249</f>
        <v>0.52807489697186882</v>
      </c>
      <c r="AW190" s="381">
        <f t="shared" si="435"/>
        <v>0.60770990359333898</v>
      </c>
      <c r="AX190" s="381">
        <f t="shared" si="435"/>
        <v>0.62440641711229938</v>
      </c>
      <c r="AY190" s="381">
        <f t="shared" si="435"/>
        <v>0.54927791178497587</v>
      </c>
      <c r="AZ190" s="1339">
        <f t="shared" si="435"/>
        <v>0.57731718061674009</v>
      </c>
      <c r="BA190" s="381">
        <f t="shared" si="435"/>
        <v>0.5113074995824286</v>
      </c>
      <c r="BB190" s="381">
        <f t="shared" si="436" ref="BB190:BF190">BB249</f>
        <v>0.38911907440141413</v>
      </c>
      <c r="BC190" s="381">
        <f t="shared" si="436"/>
        <v>0.41262804685026899</v>
      </c>
      <c r="BD190" s="381">
        <f t="shared" si="436"/>
        <v>0.44031978242198655</v>
      </c>
      <c r="BE190" s="1339">
        <f t="shared" si="436"/>
        <v>0.43763204515168136</v>
      </c>
      <c r="BF190" s="381">
        <f t="shared" si="436"/>
        <v>0.45523905723905722</v>
      </c>
      <c r="BG190" s="381">
        <f>BG249</f>
        <v>0.61764723467862503</v>
      </c>
      <c r="BH190" s="813">
        <f>BH249</f>
        <v>0.41117721186663164</v>
      </c>
      <c r="BI190" s="1221">
        <v>0.60</v>
      </c>
      <c r="BJ190" s="1340">
        <f>BJ186/BJ183</f>
        <v>0.52116889865868399</v>
      </c>
      <c r="BK190" s="1221">
        <v>0.60</v>
      </c>
      <c r="BL190" s="1221">
        <v>0.60</v>
      </c>
      <c r="BM190" s="1221">
        <v>0.60</v>
      </c>
      <c r="BN190" s="1221">
        <v>0.60</v>
      </c>
      <c r="BO190" s="1340">
        <f>BO186/BO183</f>
        <v>0.60</v>
      </c>
      <c r="BP190" s="1343">
        <v>0.60</v>
      </c>
      <c r="BQ190" s="1343">
        <v>0.60</v>
      </c>
      <c r="BR190" s="1344">
        <v>0.60</v>
      </c>
      <c r="BS190" s="648"/>
    </row>
    <row r="191" spans="1:71" s="676" customFormat="1" ht="15" hidden="1" outlineLevel="2">
      <c r="A191" s="555" t="str">
        <f>A253</f>
        <v>Property Business - Catastrophe Loss Ratio, %</v>
      </c>
      <c r="B191" s="396"/>
      <c r="C191" s="1339">
        <f t="shared" si="437" ref="C191:AU191">C253</f>
        <v>0</v>
      </c>
      <c r="D191" s="1339">
        <f t="shared" si="437"/>
        <v>0</v>
      </c>
      <c r="E191" s="1339">
        <f t="shared" si="437"/>
        <v>0</v>
      </c>
      <c r="F191" s="1339">
        <f t="shared" si="437"/>
        <v>0</v>
      </c>
      <c r="G191" s="1339">
        <f t="shared" si="437"/>
        <v>0</v>
      </c>
      <c r="H191" s="381">
        <f t="shared" si="437"/>
        <v>0</v>
      </c>
      <c r="I191" s="381">
        <f t="shared" si="437"/>
        <v>0</v>
      </c>
      <c r="J191" s="381">
        <f t="shared" si="437"/>
        <v>0</v>
      </c>
      <c r="K191" s="381">
        <f t="shared" si="437"/>
        <v>0</v>
      </c>
      <c r="L191" s="1339">
        <f t="shared" si="437"/>
        <v>0</v>
      </c>
      <c r="M191" s="381">
        <f t="shared" si="437"/>
        <v>0</v>
      </c>
      <c r="N191" s="381">
        <f t="shared" si="437"/>
        <v>0.27327629592350278</v>
      </c>
      <c r="O191" s="381">
        <f t="shared" si="437"/>
        <v>0.12426900584795322</v>
      </c>
      <c r="P191" s="381">
        <f t="shared" si="437"/>
        <v>0.10769980506822614</v>
      </c>
      <c r="Q191" s="1339">
        <f t="shared" si="437"/>
        <v>0.16729601050730586</v>
      </c>
      <c r="R191" s="381">
        <f t="shared" si="437"/>
        <v>0.22649999999999998</v>
      </c>
      <c r="S191" s="381">
        <f t="shared" si="437"/>
        <v>0.32382310984308127</v>
      </c>
      <c r="T191" s="381">
        <f t="shared" si="437"/>
        <v>0.14844093104962669</v>
      </c>
      <c r="U191" s="381">
        <f t="shared" si="437"/>
        <v>0.10375275938189846</v>
      </c>
      <c r="V191" s="1339">
        <f t="shared" si="437"/>
        <v>0.19745517640254481</v>
      </c>
      <c r="W191" s="381">
        <f t="shared" si="437"/>
        <v>0.21946902654867256</v>
      </c>
      <c r="X191" s="381">
        <f t="shared" si="437"/>
        <v>0.30782099539941443</v>
      </c>
      <c r="Y191" s="381">
        <f t="shared" si="437"/>
        <v>0.3797021943573668</v>
      </c>
      <c r="Z191" s="381">
        <f t="shared" si="437"/>
        <v>0.29497206703910622</v>
      </c>
      <c r="AA191" s="1339">
        <f t="shared" si="437"/>
        <v>0.3026901294498382</v>
      </c>
      <c r="AB191" s="381">
        <f t="shared" si="437"/>
        <v>0.083420960392569229</v>
      </c>
      <c r="AC191" s="381">
        <f t="shared" si="437"/>
        <v>0.26120358514724712</v>
      </c>
      <c r="AD191" s="381">
        <f t="shared" si="437"/>
        <v>0.094783904619970202</v>
      </c>
      <c r="AE191" s="381">
        <f t="shared" si="437"/>
        <v>0.37122708039492247</v>
      </c>
      <c r="AF191" s="1339">
        <f t="shared" si="437"/>
        <v>0.20874427273433252</v>
      </c>
      <c r="AG191" s="381">
        <f t="shared" si="437"/>
        <v>0.0707182320441989</v>
      </c>
      <c r="AH191" s="381">
        <f t="shared" si="437"/>
        <v>0.21484784889821618</v>
      </c>
      <c r="AI191" s="381">
        <f t="shared" si="437"/>
        <v>0.083940688615229964</v>
      </c>
      <c r="AJ191" s="381">
        <f t="shared" si="437"/>
        <v>0.17790669567319309</v>
      </c>
      <c r="AK191" s="1339">
        <f t="shared" si="437"/>
        <v>0.13795986622073578</v>
      </c>
      <c r="AL191" s="381">
        <f t="shared" si="437"/>
        <v>0.099619591060389909</v>
      </c>
      <c r="AM191" s="381">
        <f t="shared" si="437"/>
        <v>0.54263924196903179</v>
      </c>
      <c r="AN191" s="381">
        <f t="shared" si="437"/>
        <v>0.2573217080259334</v>
      </c>
      <c r="AO191" s="381">
        <f t="shared" si="437"/>
        <v>0.068802408084283048</v>
      </c>
      <c r="AP191" s="1339">
        <f t="shared" si="437"/>
        <v>0.2400181231239735</v>
      </c>
      <c r="AQ191" s="381">
        <f t="shared" si="437"/>
        <v>0.30603174603174604</v>
      </c>
      <c r="AR191" s="381">
        <f t="shared" si="437"/>
        <v>0.25482779215608203</v>
      </c>
      <c r="AS191" s="381">
        <f t="shared" si="437"/>
        <v>0.54909781576448247</v>
      </c>
      <c r="AT191" s="381">
        <f t="shared" si="437"/>
        <v>0.13248337028824819</v>
      </c>
      <c r="AU191" s="1339">
        <f t="shared" si="437"/>
        <v>0.31011015911872702</v>
      </c>
      <c r="AV191" s="381">
        <f t="shared" si="438" ref="AV191:BA191">AV253</f>
        <v>0.17792510302813114</v>
      </c>
      <c r="AW191" s="381">
        <f t="shared" si="438"/>
        <v>0.40929009640666092</v>
      </c>
      <c r="AX191" s="381">
        <f t="shared" si="438"/>
        <v>0.34759358288770054</v>
      </c>
      <c r="AY191" s="381">
        <f t="shared" si="438"/>
        <v>0.090627153687112355</v>
      </c>
      <c r="AZ191" s="1339">
        <f t="shared" si="438"/>
        <v>0.25568281938325993</v>
      </c>
      <c r="BA191" s="381">
        <f t="shared" si="438"/>
        <v>0.2426925004175714</v>
      </c>
      <c r="BB191" s="381">
        <f t="shared" si="439" ref="BB191:BG191">BB253</f>
        <v>0.66688092559858592</v>
      </c>
      <c r="BC191" s="381">
        <f t="shared" si="439"/>
        <v>0.17537195314973095</v>
      </c>
      <c r="BD191" s="381">
        <f t="shared" si="439"/>
        <v>-0.017034068136272347</v>
      </c>
      <c r="BE191" s="1339">
        <f t="shared" si="439"/>
        <v>0.25836795484831859</v>
      </c>
      <c r="BF191" s="381">
        <f t="shared" si="439"/>
        <v>0.19276094276094277</v>
      </c>
      <c r="BG191" s="381">
        <f t="shared" si="439"/>
        <v>0.75635276532137508</v>
      </c>
      <c r="BH191" s="813">
        <f>BH253</f>
        <v>0.074822788133368345</v>
      </c>
      <c r="BI191" s="1221">
        <v>0.10000000000000001</v>
      </c>
      <c r="BJ191" s="1340">
        <f>BJ187/BJ183</f>
        <v>0.27849851504899686</v>
      </c>
      <c r="BK191" s="1221">
        <v>0.10000000000000001</v>
      </c>
      <c r="BL191" s="1221">
        <v>0.45</v>
      </c>
      <c r="BM191" s="1221">
        <v>0.20</v>
      </c>
      <c r="BN191" s="1221">
        <v>0.10000000000000001</v>
      </c>
      <c r="BO191" s="1340">
        <f>BO187/BO183</f>
        <v>0.21634562462902091</v>
      </c>
      <c r="BP191" s="1343">
        <v>0.10000000000000001</v>
      </c>
      <c r="BQ191" s="1343">
        <v>0.10000000000000001</v>
      </c>
      <c r="BR191" s="1344">
        <v>0.10000000000000001</v>
      </c>
      <c r="BS191" s="648"/>
    </row>
    <row r="192" spans="1:71" s="676" customFormat="1" ht="15" hidden="1" outlineLevel="2">
      <c r="A192" s="548" t="str">
        <f>A263</f>
        <v>Property Business - Loss &amp; LAE Ratio, %</v>
      </c>
      <c r="B192" s="521"/>
      <c r="C192" s="1362">
        <f t="shared" si="440" ref="C192:AU192">C263</f>
        <v>0</v>
      </c>
      <c r="D192" s="1362">
        <f t="shared" si="440"/>
        <v>0</v>
      </c>
      <c r="E192" s="1362">
        <f t="shared" si="440"/>
        <v>0</v>
      </c>
      <c r="F192" s="1362">
        <f t="shared" si="440"/>
        <v>0</v>
      </c>
      <c r="G192" s="1362">
        <f t="shared" si="440"/>
        <v>0</v>
      </c>
      <c r="H192" s="523">
        <f t="shared" si="440"/>
        <v>0</v>
      </c>
      <c r="I192" s="523">
        <f t="shared" si="440"/>
        <v>0</v>
      </c>
      <c r="J192" s="523">
        <f t="shared" si="440"/>
        <v>0</v>
      </c>
      <c r="K192" s="523">
        <f t="shared" si="440"/>
        <v>0</v>
      </c>
      <c r="L192" s="1362">
        <f t="shared" si="440"/>
        <v>0</v>
      </c>
      <c r="M192" s="523">
        <f t="shared" si="440"/>
        <v>0</v>
      </c>
      <c r="N192" s="551">
        <f t="shared" si="440"/>
        <v>0.67800000000000005</v>
      </c>
      <c r="O192" s="551">
        <f t="shared" si="440"/>
        <v>0.59099999999999997</v>
      </c>
      <c r="P192" s="551">
        <f t="shared" si="440"/>
        <v>0.45332602339181266</v>
      </c>
      <c r="Q192" s="1361">
        <f t="shared" si="440"/>
        <v>0.57299999999999995</v>
      </c>
      <c r="R192" s="551">
        <f t="shared" si="440"/>
        <v>0.77900000000000003</v>
      </c>
      <c r="S192" s="551">
        <f t="shared" si="440"/>
        <v>0.71299999999999997</v>
      </c>
      <c r="T192" s="551">
        <f t="shared" si="440"/>
        <v>0.63800000000000001</v>
      </c>
      <c r="U192" s="551">
        <f t="shared" si="440"/>
        <v>0.42096026490066213</v>
      </c>
      <c r="V192" s="1361">
        <f t="shared" si="440"/>
        <v>0.63200000000000001</v>
      </c>
      <c r="W192" s="551">
        <f t="shared" si="440"/>
        <v>0.59299999999999997</v>
      </c>
      <c r="X192" s="551">
        <f t="shared" si="440"/>
        <v>0.63600000000000001</v>
      </c>
      <c r="Y192" s="551">
        <f t="shared" si="440"/>
        <v>0.95</v>
      </c>
      <c r="Z192" s="551">
        <f t="shared" si="440"/>
        <v>0.63890055865921791</v>
      </c>
      <c r="AA192" s="1361">
        <f t="shared" si="440"/>
        <v>0.70799999999999996</v>
      </c>
      <c r="AB192" s="551">
        <f t="shared" si="440"/>
        <v>0.55100000000000005</v>
      </c>
      <c r="AC192" s="551">
        <f t="shared" si="440"/>
        <v>0.79900000000000004</v>
      </c>
      <c r="AD192" s="551">
        <f t="shared" si="440"/>
        <v>0.69799999999999995</v>
      </c>
      <c r="AE192" s="551">
        <f t="shared" si="440"/>
        <v>0.83627277856135407</v>
      </c>
      <c r="AF192" s="1361">
        <f t="shared" si="440"/>
        <v>0.72799999999999998</v>
      </c>
      <c r="AG192" s="551">
        <f t="shared" si="440"/>
        <v>0.68100000000000005</v>
      </c>
      <c r="AH192" s="551">
        <f t="shared" si="440"/>
        <v>0.77700000000000002</v>
      </c>
      <c r="AI192" s="551">
        <f t="shared" si="440"/>
        <v>0.71399999999999997</v>
      </c>
      <c r="AJ192" s="551">
        <f t="shared" si="440"/>
        <v>0.6773086777858347</v>
      </c>
      <c r="AK192" s="1361">
        <f t="shared" si="440"/>
        <v>0.71199999999999997</v>
      </c>
      <c r="AL192" s="551">
        <f t="shared" si="440"/>
        <v>0.58199999999999996</v>
      </c>
      <c r="AM192" s="551">
        <f t="shared" si="440"/>
        <v>1.1399999999999999</v>
      </c>
      <c r="AN192" s="551">
        <f t="shared" si="440"/>
        <v>0.81200000000000006</v>
      </c>
      <c r="AO192" s="551">
        <f t="shared" si="440"/>
        <v>0.56678413244463599</v>
      </c>
      <c r="AP192" s="1361">
        <f t="shared" si="440"/>
        <v>0.77300000000000002</v>
      </c>
      <c r="AQ192" s="551">
        <f t="shared" si="440"/>
        <v>0.84899999999999998</v>
      </c>
      <c r="AR192" s="551">
        <f t="shared" si="440"/>
        <v>0.875</v>
      </c>
      <c r="AS192" s="551">
        <f t="shared" si="440"/>
        <v>1.139</v>
      </c>
      <c r="AT192" s="551">
        <f t="shared" si="440"/>
        <v>0.5993560606060605</v>
      </c>
      <c r="AU192" s="1361">
        <f t="shared" si="440"/>
        <v>0.86399999999999999</v>
      </c>
      <c r="AV192" s="551">
        <f t="shared" si="441" ref="AV192:BA192">AV263</f>
        <v>0.70599999999999996</v>
      </c>
      <c r="AW192" s="551">
        <f t="shared" si="441"/>
        <v>1.0169999999999999</v>
      </c>
      <c r="AX192" s="551">
        <f t="shared" si="441"/>
        <v>0.97199999999999998</v>
      </c>
      <c r="AY192" s="551">
        <f t="shared" si="441"/>
        <v>0.63990506547208825</v>
      </c>
      <c r="AZ192" s="1361">
        <f t="shared" si="441"/>
        <v>0.83299999999999996</v>
      </c>
      <c r="BA192" s="551">
        <f t="shared" si="441"/>
        <v>0.754</v>
      </c>
      <c r="BB192" s="551">
        <f t="shared" si="442" ref="BB192:BG192">BB263</f>
        <v>1.056</v>
      </c>
      <c r="BC192" s="551">
        <f t="shared" si="442"/>
        <v>0.58799999999999997</v>
      </c>
      <c r="BD192" s="551">
        <f t="shared" si="442"/>
        <v>0.42328571428571421</v>
      </c>
      <c r="BE192" s="1361">
        <f t="shared" si="442"/>
        <v>0.69599999999999995</v>
      </c>
      <c r="BF192" s="551">
        <f t="shared" si="442"/>
        <v>0.64800000000000002</v>
      </c>
      <c r="BG192" s="551">
        <f t="shared" si="442"/>
        <v>1.3740000000000001</v>
      </c>
      <c r="BH192" s="817">
        <f>BH263</f>
        <v>0.48599999999999999</v>
      </c>
      <c r="BI192" s="523">
        <f t="shared" si="443" ref="BI192:BR192">BI188/BI183</f>
        <v>0.70</v>
      </c>
      <c r="BJ192" s="1362">
        <f t="shared" si="443"/>
        <v>0.79966741370768091</v>
      </c>
      <c r="BK192" s="523">
        <f t="shared" si="443"/>
        <v>0.70</v>
      </c>
      <c r="BL192" s="523">
        <f t="shared" si="443"/>
        <v>1.0499999999999998</v>
      </c>
      <c r="BM192" s="523">
        <f t="shared" si="443"/>
        <v>0.80</v>
      </c>
      <c r="BN192" s="523">
        <f t="shared" si="443"/>
        <v>0.70</v>
      </c>
      <c r="BO192" s="1362">
        <f t="shared" si="443"/>
        <v>0.81634562462902083</v>
      </c>
      <c r="BP192" s="1362">
        <f t="shared" si="443"/>
        <v>0.70</v>
      </c>
      <c r="BQ192" s="1362">
        <f t="shared" si="443"/>
        <v>0.70</v>
      </c>
      <c r="BR192" s="1362">
        <f t="shared" si="443"/>
        <v>0.70</v>
      </c>
      <c r="BS192" s="648"/>
    </row>
    <row r="193" spans="1:71" s="669" customFormat="1" ht="7.5" customHeight="1" hidden="1" outlineLevel="2">
      <c r="A193" s="107"/>
      <c r="B193" s="108"/>
      <c r="C193" s="1325"/>
      <c r="D193" s="1325"/>
      <c r="E193" s="1325"/>
      <c r="F193" s="1325"/>
      <c r="G193" s="1325"/>
      <c r="H193" s="726"/>
      <c r="I193" s="726"/>
      <c r="J193" s="726"/>
      <c r="K193" s="726"/>
      <c r="L193" s="1325"/>
      <c r="M193" s="726"/>
      <c r="N193" s="726"/>
      <c r="O193" s="726"/>
      <c r="P193" s="726"/>
      <c r="Q193" s="1325"/>
      <c r="R193" s="726"/>
      <c r="S193" s="726"/>
      <c r="T193" s="726"/>
      <c r="U193" s="726"/>
      <c r="V193" s="1325"/>
      <c r="W193" s="726"/>
      <c r="X193" s="726"/>
      <c r="Y193" s="726"/>
      <c r="Z193" s="726"/>
      <c r="AA193" s="1325"/>
      <c r="AB193" s="726"/>
      <c r="AC193" s="726"/>
      <c r="AD193" s="726"/>
      <c r="AE193" s="726"/>
      <c r="AF193" s="1325"/>
      <c r="AG193" s="726"/>
      <c r="AH193" s="726"/>
      <c r="AI193" s="726"/>
      <c r="AJ193" s="726"/>
      <c r="AK193" s="1325"/>
      <c r="AL193" s="726"/>
      <c r="AM193" s="726"/>
      <c r="AN193" s="726"/>
      <c r="AO193" s="726"/>
      <c r="AP193" s="1325"/>
      <c r="AQ193" s="726"/>
      <c r="AR193" s="726"/>
      <c r="AS193" s="726"/>
      <c r="AT193" s="726"/>
      <c r="AU193" s="1325"/>
      <c r="AV193" s="726"/>
      <c r="AW193" s="726"/>
      <c r="AX193" s="726"/>
      <c r="AY193" s="726"/>
      <c r="AZ193" s="1325"/>
      <c r="BA193" s="726"/>
      <c r="BB193" s="726"/>
      <c r="BC193" s="726"/>
      <c r="BD193" s="726"/>
      <c r="BE193" s="1325"/>
      <c r="BF193" s="726"/>
      <c r="BG193" s="726"/>
      <c r="BH193" s="808"/>
      <c r="BI193" s="98"/>
      <c r="BJ193" s="1326"/>
      <c r="BK193" s="98"/>
      <c r="BL193" s="98"/>
      <c r="BM193" s="98"/>
      <c r="BN193" s="98"/>
      <c r="BO193" s="1326"/>
      <c r="BP193" s="1325"/>
      <c r="BQ193" s="1325"/>
      <c r="BR193" s="1326"/>
      <c r="BS193" s="648"/>
    </row>
    <row r="194" spans="1:71" s="665" customFormat="1" ht="15" hidden="1" outlineLevel="2">
      <c r="A194" s="371" t="s">
        <v>664</v>
      </c>
      <c r="B194" s="308"/>
      <c r="C194" s="1351"/>
      <c r="D194" s="1351"/>
      <c r="E194" s="1351"/>
      <c r="F194" s="1351"/>
      <c r="G194" s="1351"/>
      <c r="H194" s="1047"/>
      <c r="I194" s="1047"/>
      <c r="J194" s="1047"/>
      <c r="K194" s="1047"/>
      <c r="L194" s="1351"/>
      <c r="M194" s="1047"/>
      <c r="N194" s="1042">
        <f>N183*N195</f>
        <v>62.987899999999996</v>
      </c>
      <c r="O194" s="1042">
        <f>O183*O195</f>
        <v>66.69</v>
      </c>
      <c r="P194" s="1042">
        <f>Q194-SUM(M194,N194,O194)</f>
        <v>68.888700000000028</v>
      </c>
      <c r="Q194" s="1349">
        <f t="shared" si="444" ref="Q194:T194">Q183*Q195</f>
        <v>198.56660000000002</v>
      </c>
      <c r="R194" s="1042">
        <f t="shared" si="444"/>
        <v>68.600000000000009</v>
      </c>
      <c r="S194" s="1042">
        <f t="shared" si="444"/>
        <v>74.025599999999997</v>
      </c>
      <c r="T194" s="1042">
        <f t="shared" si="444"/>
        <v>71.953199999999995</v>
      </c>
      <c r="U194" s="1042">
        <f>V194-SUM(R194,S194,T194)</f>
        <v>70.706200000000024</v>
      </c>
      <c r="V194" s="1349">
        <f t="shared" si="445" ref="V194">V183*V195</f>
        <v>285.28500000000003</v>
      </c>
      <c r="W194" s="1042">
        <f t="shared" si="446" ref="W194">W183*W195</f>
        <v>84.298000000000002</v>
      </c>
      <c r="X194" s="1042">
        <f t="shared" si="447" ref="X194">X183*X195</f>
        <v>83.445899999999995</v>
      </c>
      <c r="Y194" s="1042">
        <f t="shared" si="448" ref="Y194">Y183*Y195</f>
        <v>81.664000000000001</v>
      </c>
      <c r="Z194" s="1042">
        <f>AA194-SUM(W194,X194,Y194)</f>
        <v>89.750500000000045</v>
      </c>
      <c r="AA194" s="1349">
        <f t="shared" si="449" ref="AA194">AA183*AA195</f>
        <v>339.15840000000003</v>
      </c>
      <c r="AB194" s="1042">
        <f t="shared" si="450" ref="AB194">AB183*AB195</f>
        <v>99.569699999999997</v>
      </c>
      <c r="AC194" s="1042">
        <f t="shared" si="451" ref="AC194">AC183*AC195</f>
        <v>114.65079999999999</v>
      </c>
      <c r="AD194" s="1042">
        <f t="shared" si="452" ref="AD194">AD183*AD195</f>
        <v>109.03750000000001</v>
      </c>
      <c r="AE194" s="1042">
        <f>AF194-SUM(AB194,AC194,AD194)</f>
        <v>115.84770000000009</v>
      </c>
      <c r="AF194" s="1349">
        <f t="shared" si="453" ref="AF194">AF183*AF195</f>
        <v>439.10570000000007</v>
      </c>
      <c r="AG194" s="1042">
        <f t="shared" si="454" ref="AG194">AG183*AG195</f>
        <v>107.87599999999999</v>
      </c>
      <c r="AH194" s="1042">
        <f t="shared" si="455" ref="AH194">AH183*AH195</f>
        <v>119.3156</v>
      </c>
      <c r="AI194" s="1042">
        <f t="shared" si="456" ref="AI194">AI183*AI195</f>
        <v>122.9511</v>
      </c>
      <c r="AJ194" s="1042">
        <f>AK194-SUM(AG194,AH194,AI194)</f>
        <v>124.07130000000001</v>
      </c>
      <c r="AK194" s="1349">
        <f t="shared" si="457" ref="AK194">AK183*AK195</f>
        <v>474.214</v>
      </c>
      <c r="AL194" s="1042">
        <f t="shared" si="458" ref="AL194">AL183*AL195</f>
        <v>126.6006</v>
      </c>
      <c r="AM194" s="1042">
        <f t="shared" si="459" ref="AM194">AM183*AM195</f>
        <v>128.07919999999999</v>
      </c>
      <c r="AN194" s="1042">
        <f t="shared" si="460" ref="AN194">AN183*AN195</f>
        <v>136.87379999999999</v>
      </c>
      <c r="AO194" s="1042">
        <f>AP194-SUM(AL194,AM194,AN194)</f>
        <v>134.625</v>
      </c>
      <c r="AP194" s="1349">
        <f t="shared" si="461" ref="AP194">AP183*AP195</f>
        <v>526.17859999999996</v>
      </c>
      <c r="AQ194" s="1042">
        <f t="shared" si="462" ref="AQ194">AQ183*AQ195</f>
        <v>142.2225</v>
      </c>
      <c r="AR194" s="1042">
        <f t="shared" si="463" ref="AR194">AR183*AR195</f>
        <v>146.16929999999996</v>
      </c>
      <c r="AS194" s="1042">
        <f t="shared" si="464" ref="AS194">AS183*AS195</f>
        <v>149.52599999999998</v>
      </c>
      <c r="AT194" s="1042">
        <f>AU194-SUM(AQ194,AR194,AS194)</f>
        <v>152.36469999999997</v>
      </c>
      <c r="AU194" s="1349">
        <f>AU183*AU195</f>
        <v>590.28249999999991</v>
      </c>
      <c r="AV194" s="1042">
        <f>AV183*AV195</f>
        <v>155.70990000000003</v>
      </c>
      <c r="AW194" s="1042">
        <f>AW183*AW195</f>
        <v>147.18899999999996</v>
      </c>
      <c r="AX194" s="1042">
        <f>AX183*AX195</f>
        <v>156.51900000000001</v>
      </c>
      <c r="AY194" s="1042">
        <f>AZ194-SUM(AV194,AW194,AX194)</f>
        <v>158.02210000000002</v>
      </c>
      <c r="AZ194" s="1349">
        <f>AZ183*AZ195</f>
        <v>617.44000000000005</v>
      </c>
      <c r="BA194" s="1042">
        <f>BA183*BA195</f>
        <v>180.20870000000002</v>
      </c>
      <c r="BB194" s="1042">
        <f>BB183*BB195</f>
        <v>171.75479999999999</v>
      </c>
      <c r="BC194" s="1042">
        <f>BC183*BC195</f>
        <v>185.74919999999997</v>
      </c>
      <c r="BD194" s="1042">
        <f>BE194-SUM(BA194,BB194,BC194)</f>
        <v>209.84749999999997</v>
      </c>
      <c r="BE194" s="1349">
        <f>BE183*BE195</f>
        <v>747.56020000000001</v>
      </c>
      <c r="BF194" s="1042">
        <f>BF183*BF195</f>
        <v>203.86079999999998</v>
      </c>
      <c r="BG194" s="1042">
        <f>BG183*BG195</f>
        <v>212.67510000000001</v>
      </c>
      <c r="BH194" s="1043">
        <f>BH183*BH195</f>
        <v>227.77819999999997</v>
      </c>
      <c r="BI194" s="1044"/>
      <c r="BJ194" s="1350"/>
      <c r="BK194" s="1044"/>
      <c r="BL194" s="1044"/>
      <c r="BM194" s="1044"/>
      <c r="BN194" s="1044"/>
      <c r="BO194" s="1350"/>
      <c r="BP194" s="1351"/>
      <c r="BQ194" s="1351"/>
      <c r="BR194" s="1350"/>
      <c r="BS194" s="648"/>
    </row>
    <row r="195" spans="1:71" s="676" customFormat="1" ht="15" hidden="1" outlineLevel="2">
      <c r="A195" s="24" t="str">
        <f>A290</f>
        <v>Property Business - Underwriting Expense Ratio, %</v>
      </c>
      <c r="B195" s="396"/>
      <c r="C195" s="1339"/>
      <c r="D195" s="1339"/>
      <c r="E195" s="1339"/>
      <c r="F195" s="1339"/>
      <c r="G195" s="1339"/>
      <c r="H195" s="381"/>
      <c r="I195" s="381"/>
      <c r="J195" s="381"/>
      <c r="K195" s="381"/>
      <c r="L195" s="1339"/>
      <c r="M195" s="381"/>
      <c r="N195" s="197">
        <f>N290</f>
        <v>0.317</v>
      </c>
      <c r="O195" s="197">
        <f>O290</f>
        <v>0.325</v>
      </c>
      <c r="P195" s="197">
        <f>P194/P183</f>
        <v>0.33571491228070183</v>
      </c>
      <c r="Q195" s="1352">
        <f>Q290</f>
        <v>0.32600000000000001</v>
      </c>
      <c r="R195" s="197">
        <f>R290</f>
        <v>0.34300000000000003</v>
      </c>
      <c r="S195" s="197">
        <f>S290</f>
        <v>0.35199999999999998</v>
      </c>
      <c r="T195" s="197">
        <f>T290</f>
        <v>0.316</v>
      </c>
      <c r="U195" s="197">
        <f>U194/U183</f>
        <v>0.31216865342163364</v>
      </c>
      <c r="V195" s="1352">
        <f>V290</f>
        <v>0.33</v>
      </c>
      <c r="W195" s="197">
        <f>W290</f>
        <v>0.373</v>
      </c>
      <c r="X195" s="197">
        <f>X290</f>
        <v>0.34899999999999998</v>
      </c>
      <c r="Y195" s="197">
        <f>Y290</f>
        <v>0.32</v>
      </c>
      <c r="Z195" s="197">
        <f>Z194/Z183</f>
        <v>0.33426629422718823</v>
      </c>
      <c r="AA195" s="1352">
        <f>AA290</f>
        <v>0.34300000000000003</v>
      </c>
      <c r="AB195" s="197">
        <f>AB290</f>
        <v>0.34899999999999998</v>
      </c>
      <c r="AC195" s="197">
        <f>AC290</f>
        <v>0.36699999999999999</v>
      </c>
      <c r="AD195" s="197">
        <f>AD290</f>
        <v>0.325</v>
      </c>
      <c r="AE195" s="197">
        <f>AE194/AE183</f>
        <v>0.32679181946403413</v>
      </c>
      <c r="AF195" s="1352">
        <f>AF290</f>
        <v>0.34100000000000003</v>
      </c>
      <c r="AG195" s="197">
        <f>AG290</f>
        <v>0.29799999999999999</v>
      </c>
      <c r="AH195" s="197">
        <f>AH290</f>
        <v>0.313</v>
      </c>
      <c r="AI195" s="197">
        <f>AI290</f>
        <v>0.309</v>
      </c>
      <c r="AJ195" s="197">
        <f>AJ194/AJ183</f>
        <v>0.29990645395213922</v>
      </c>
      <c r="AK195" s="1352">
        <f>AK290</f>
        <v>0.305</v>
      </c>
      <c r="AL195" s="197">
        <f>AL290</f>
        <v>0.30099999999999999</v>
      </c>
      <c r="AM195" s="197">
        <f>AM290</f>
        <v>0.29599999999999999</v>
      </c>
      <c r="AN195" s="197">
        <f>AN290</f>
        <v>0.30599999999999999</v>
      </c>
      <c r="AO195" s="197">
        <f>AO194/AO183</f>
        <v>0.28945388088583091</v>
      </c>
      <c r="AP195" s="1352">
        <f>AP290</f>
        <v>0.29799999999999999</v>
      </c>
      <c r="AQ195" s="197">
        <f>AQ290</f>
        <v>0.30099999999999999</v>
      </c>
      <c r="AR195" s="197">
        <f>AR290</f>
        <v>0.29099999999999998</v>
      </c>
      <c r="AS195" s="197">
        <f>AS290</f>
        <v>0.28399999999999997</v>
      </c>
      <c r="AT195" s="197">
        <f>AT194/AT183</f>
        <v>0.28153122690317806</v>
      </c>
      <c r="AU195" s="1352">
        <f>AU290</f>
        <v>0.28899999999999998</v>
      </c>
      <c r="AV195" s="197">
        <f>AV290</f>
        <v>0.27900000000000003</v>
      </c>
      <c r="AW195" s="197">
        <f>AW290</f>
        <v>0.25800000000000001</v>
      </c>
      <c r="AX195" s="197">
        <f>AX290</f>
        <v>0.27900000000000003</v>
      </c>
      <c r="AY195" s="197">
        <f>AY194/AY183</f>
        <v>0.27226412818745693</v>
      </c>
      <c r="AZ195" s="1352">
        <f>AZ290</f>
        <v>0.27200000000000002</v>
      </c>
      <c r="BA195" s="197">
        <f>BA290</f>
        <v>0.30099999999999999</v>
      </c>
      <c r="BB195" s="197">
        <f>BB290</f>
        <v>0.27600000000000002</v>
      </c>
      <c r="BC195" s="197">
        <f>BC290</f>
        <v>0.29399999999999998</v>
      </c>
      <c r="BD195" s="197">
        <f>BD194/BD183</f>
        <v>0.30038290867449174</v>
      </c>
      <c r="BE195" s="1352">
        <f>BE290</f>
        <v>0.29299999999999998</v>
      </c>
      <c r="BF195" s="197">
        <f>BF290</f>
        <v>0.28599999999999998</v>
      </c>
      <c r="BG195" s="197">
        <f>BG290</f>
        <v>0.28899999999999998</v>
      </c>
      <c r="BH195" s="815">
        <f>BH290</f>
        <v>0.29899999999999999</v>
      </c>
      <c r="BI195" s="909"/>
      <c r="BJ195" s="1340"/>
      <c r="BK195" s="909"/>
      <c r="BL195" s="909"/>
      <c r="BM195" s="909"/>
      <c r="BN195" s="909"/>
      <c r="BO195" s="1340"/>
      <c r="BP195" s="1339"/>
      <c r="BQ195" s="1339"/>
      <c r="BR195" s="1340"/>
      <c r="BS195" s="648"/>
    </row>
    <row r="196" spans="1:71" s="669" customFormat="1" ht="7.5" customHeight="1" hidden="1" outlineLevel="2">
      <c r="A196" s="107"/>
      <c r="B196" s="108"/>
      <c r="C196" s="1325"/>
      <c r="D196" s="1325"/>
      <c r="E196" s="1325"/>
      <c r="F196" s="1325"/>
      <c r="G196" s="1325"/>
      <c r="H196" s="726"/>
      <c r="I196" s="726"/>
      <c r="J196" s="726"/>
      <c r="K196" s="726"/>
      <c r="L196" s="1325"/>
      <c r="M196" s="726"/>
      <c r="N196" s="726"/>
      <c r="O196" s="726"/>
      <c r="P196" s="726"/>
      <c r="Q196" s="1325"/>
      <c r="R196" s="726"/>
      <c r="S196" s="726"/>
      <c r="T196" s="726"/>
      <c r="U196" s="726"/>
      <c r="V196" s="1325"/>
      <c r="W196" s="726"/>
      <c r="X196" s="726"/>
      <c r="Y196" s="726"/>
      <c r="Z196" s="726"/>
      <c r="AA196" s="1325"/>
      <c r="AB196" s="726"/>
      <c r="AC196" s="726"/>
      <c r="AD196" s="726"/>
      <c r="AE196" s="726"/>
      <c r="AF196" s="1325"/>
      <c r="AG196" s="726"/>
      <c r="AH196" s="726"/>
      <c r="AI196" s="726"/>
      <c r="AJ196" s="726"/>
      <c r="AK196" s="1325"/>
      <c r="AL196" s="726"/>
      <c r="AM196" s="726"/>
      <c r="AN196" s="726"/>
      <c r="AO196" s="726"/>
      <c r="AP196" s="1325"/>
      <c r="AQ196" s="726"/>
      <c r="AR196" s="726"/>
      <c r="AS196" s="726"/>
      <c r="AT196" s="726"/>
      <c r="AU196" s="1325"/>
      <c r="AV196" s="726"/>
      <c r="AW196" s="726"/>
      <c r="AX196" s="726"/>
      <c r="AY196" s="726"/>
      <c r="AZ196" s="1325"/>
      <c r="BA196" s="726"/>
      <c r="BB196" s="726"/>
      <c r="BC196" s="726"/>
      <c r="BD196" s="726"/>
      <c r="BE196" s="1325"/>
      <c r="BF196" s="726"/>
      <c r="BG196" s="726"/>
      <c r="BH196" s="808"/>
      <c r="BI196" s="98"/>
      <c r="BJ196" s="1326"/>
      <c r="BK196" s="98"/>
      <c r="BL196" s="98"/>
      <c r="BM196" s="98"/>
      <c r="BN196" s="98"/>
      <c r="BO196" s="1326"/>
      <c r="BP196" s="1325"/>
      <c r="BQ196" s="1325"/>
      <c r="BR196" s="1326"/>
      <c r="BS196" s="648"/>
    </row>
    <row r="197" spans="1:71" s="665" customFormat="1" ht="15" hidden="1" outlineLevel="2">
      <c r="A197" s="371" t="str">
        <f>A297</f>
        <v>Property Business - Underwriting Income, mm</v>
      </c>
      <c r="B197" s="308"/>
      <c r="C197" s="1351"/>
      <c r="D197" s="1351"/>
      <c r="E197" s="1351"/>
      <c r="F197" s="1351"/>
      <c r="G197" s="1351"/>
      <c r="H197" s="1047"/>
      <c r="I197" s="1047"/>
      <c r="J197" s="1047"/>
      <c r="K197" s="1047"/>
      <c r="L197" s="1351"/>
      <c r="M197" s="1047"/>
      <c r="N197" s="1042">
        <f t="shared" si="465" ref="N197:AU197">N297</f>
        <v>1</v>
      </c>
      <c r="O197" s="1042">
        <f t="shared" si="465"/>
        <v>17.20</v>
      </c>
      <c r="P197" s="1042">
        <f t="shared" si="465"/>
        <v>43.099999999999994</v>
      </c>
      <c r="Q197" s="1349">
        <f t="shared" si="465"/>
        <v>61.30</v>
      </c>
      <c r="R197" s="1042">
        <f t="shared" si="465"/>
        <v>-24.50</v>
      </c>
      <c r="S197" s="1042">
        <f t="shared" si="465"/>
        <v>-13.60</v>
      </c>
      <c r="T197" s="1042">
        <f t="shared" si="465"/>
        <v>10.40</v>
      </c>
      <c r="U197" s="1042">
        <f t="shared" si="465"/>
        <v>60.20</v>
      </c>
      <c r="V197" s="1349">
        <f t="shared" si="465"/>
        <v>32.50</v>
      </c>
      <c r="W197" s="1042">
        <f t="shared" si="465"/>
        <v>7.80</v>
      </c>
      <c r="X197" s="1042">
        <f t="shared" si="465"/>
        <v>3.70</v>
      </c>
      <c r="Y197" s="1042">
        <f t="shared" si="465"/>
        <v>-69</v>
      </c>
      <c r="Z197" s="1042">
        <f t="shared" si="465"/>
        <v>7.2000000000000028</v>
      </c>
      <c r="AA197" s="1349">
        <f t="shared" si="465"/>
        <v>-50.30</v>
      </c>
      <c r="AB197" s="1042">
        <f t="shared" si="465"/>
        <v>28.50</v>
      </c>
      <c r="AC197" s="1042">
        <f t="shared" si="465"/>
        <v>-51.90</v>
      </c>
      <c r="AD197" s="1042">
        <f t="shared" si="465"/>
        <v>-7.80</v>
      </c>
      <c r="AE197" s="1042">
        <f t="shared" si="465"/>
        <v>-57.50</v>
      </c>
      <c r="AF197" s="1349">
        <f t="shared" si="465"/>
        <v>-88.70</v>
      </c>
      <c r="AG197" s="1042">
        <f t="shared" si="465"/>
        <v>7.70</v>
      </c>
      <c r="AH197" s="1042">
        <f t="shared" si="465"/>
        <v>-34.40</v>
      </c>
      <c r="AI197" s="1042">
        <f t="shared" si="465"/>
        <v>-9.10</v>
      </c>
      <c r="AJ197" s="1042">
        <f t="shared" si="465"/>
        <v>9.6999999999999957</v>
      </c>
      <c r="AK197" s="1349">
        <f t="shared" si="465"/>
        <v>-26.10</v>
      </c>
      <c r="AL197" s="1042">
        <f t="shared" si="465"/>
        <v>49.20</v>
      </c>
      <c r="AM197" s="1042">
        <f t="shared" si="465"/>
        <v>-188.70</v>
      </c>
      <c r="AN197" s="1042">
        <f t="shared" si="465"/>
        <v>-52.90</v>
      </c>
      <c r="AO197" s="1042">
        <f t="shared" si="465"/>
        <v>67.300000000000011</v>
      </c>
      <c r="AP197" s="1349">
        <f t="shared" si="465"/>
        <v>-125.09999999999999</v>
      </c>
      <c r="AQ197" s="1042">
        <f t="shared" si="465"/>
        <v>-70.70</v>
      </c>
      <c r="AR197" s="1042">
        <f t="shared" si="465"/>
        <v>-83.30</v>
      </c>
      <c r="AS197" s="1042">
        <f t="shared" si="465"/>
        <v>-222.70</v>
      </c>
      <c r="AT197" s="1042">
        <f t="shared" si="465"/>
        <v>64.399999999999977</v>
      </c>
      <c r="AU197" s="1349">
        <f t="shared" si="465"/>
        <v>-312.30</v>
      </c>
      <c r="AV197" s="1042">
        <f t="shared" si="466" ref="AV197:BA197">AV297</f>
        <v>8.3000000000000007</v>
      </c>
      <c r="AW197" s="1042">
        <f t="shared" si="466"/>
        <v>-156.90000000000001</v>
      </c>
      <c r="AX197" s="1042">
        <f t="shared" si="466"/>
        <v>-141</v>
      </c>
      <c r="AY197" s="1042">
        <f t="shared" si="466"/>
        <v>51.200000000000017</v>
      </c>
      <c r="AZ197" s="1349">
        <f t="shared" si="466"/>
        <v>-238.40</v>
      </c>
      <c r="BA197" s="1042">
        <f t="shared" si="466"/>
        <v>-32.928499999999964</v>
      </c>
      <c r="BB197" s="1042">
        <f t="shared" si="467" ref="BB197:BG197">BB297</f>
        <v>-206.80</v>
      </c>
      <c r="BC197" s="1042">
        <f t="shared" si="467"/>
        <v>74.599999999999994</v>
      </c>
      <c r="BD197" s="1042">
        <f t="shared" si="467"/>
        <v>193.22849999999997</v>
      </c>
      <c r="BE197" s="1349">
        <f t="shared" si="467"/>
        <v>28.10</v>
      </c>
      <c r="BF197" s="1042">
        <f t="shared" si="467"/>
        <v>47.044800000000038</v>
      </c>
      <c r="BG197" s="1042">
        <f t="shared" si="467"/>
        <v>-487.80</v>
      </c>
      <c r="BH197" s="1043">
        <f>BH297</f>
        <v>163.69999999999999</v>
      </c>
      <c r="BI197" s="1044"/>
      <c r="BJ197" s="1350"/>
      <c r="BK197" s="1044"/>
      <c r="BL197" s="1044"/>
      <c r="BM197" s="1044"/>
      <c r="BN197" s="1044"/>
      <c r="BO197" s="1350"/>
      <c r="BP197" s="1351"/>
      <c r="BQ197" s="1351"/>
      <c r="BR197" s="1350"/>
      <c r="BS197" s="648"/>
    </row>
    <row r="198" spans="1:71" s="676" customFormat="1" ht="15" hidden="1" outlineLevel="2">
      <c r="A198" s="395" t="s">
        <v>490</v>
      </c>
      <c r="B198" s="396"/>
      <c r="C198" s="1339"/>
      <c r="D198" s="1339"/>
      <c r="E198" s="1339"/>
      <c r="F198" s="1339"/>
      <c r="G198" s="1339"/>
      <c r="H198" s="381"/>
      <c r="I198" s="381"/>
      <c r="J198" s="381"/>
      <c r="K198" s="381"/>
      <c r="L198" s="1339"/>
      <c r="M198" s="381"/>
      <c r="N198" s="381">
        <f t="shared" si="468" ref="N198:AT198">N195+N192</f>
        <v>0.99500000000000011</v>
      </c>
      <c r="O198" s="381">
        <f t="shared" si="468"/>
        <v>0.91599999999999993</v>
      </c>
      <c r="P198" s="381">
        <f t="shared" si="468"/>
        <v>0.78904093567251454</v>
      </c>
      <c r="Q198" s="1339">
        <f t="shared" si="468"/>
        <v>0.89900000000000002</v>
      </c>
      <c r="R198" s="381">
        <f t="shared" si="468"/>
        <v>1.1220000000000001</v>
      </c>
      <c r="S198" s="381">
        <f t="shared" si="468"/>
        <v>1.0649999999999999</v>
      </c>
      <c r="T198" s="381">
        <f t="shared" si="468"/>
        <v>0.95399999999999996</v>
      </c>
      <c r="U198" s="381">
        <f t="shared" si="468"/>
        <v>0.73312891832229576</v>
      </c>
      <c r="V198" s="1339">
        <f t="shared" si="468"/>
        <v>0.96199999999999997</v>
      </c>
      <c r="W198" s="381">
        <f t="shared" si="468"/>
        <v>0.96599999999999997</v>
      </c>
      <c r="X198" s="381">
        <f t="shared" si="468"/>
        <v>0.985</v>
      </c>
      <c r="Y198" s="381">
        <f t="shared" si="468"/>
        <v>1.27</v>
      </c>
      <c r="Z198" s="381">
        <f t="shared" si="468"/>
        <v>0.97316685288640614</v>
      </c>
      <c r="AA198" s="1339">
        <f t="shared" si="468"/>
        <v>1.0509999999999999</v>
      </c>
      <c r="AB198" s="381">
        <f t="shared" si="468"/>
        <v>0.90</v>
      </c>
      <c r="AC198" s="381">
        <f t="shared" si="468"/>
        <v>1.1659999999999999</v>
      </c>
      <c r="AD198" s="381">
        <f t="shared" si="468"/>
        <v>1.0229999999999999</v>
      </c>
      <c r="AE198" s="381">
        <f t="shared" si="468"/>
        <v>1.1630645980253882</v>
      </c>
      <c r="AF198" s="1339">
        <f t="shared" si="468"/>
        <v>1.069</v>
      </c>
      <c r="AG198" s="381">
        <f t="shared" si="468"/>
        <v>0.97900000000000009</v>
      </c>
      <c r="AH198" s="381">
        <f t="shared" si="468"/>
        <v>1.0900000000000001</v>
      </c>
      <c r="AI198" s="381">
        <f t="shared" si="468"/>
        <v>1.0229999999999999</v>
      </c>
      <c r="AJ198" s="381">
        <f t="shared" si="468"/>
        <v>0.97721513173797392</v>
      </c>
      <c r="AK198" s="1339">
        <f t="shared" si="468"/>
        <v>1.0169999999999999</v>
      </c>
      <c r="AL198" s="381">
        <f t="shared" si="468"/>
        <v>0.88300000000000001</v>
      </c>
      <c r="AM198" s="381">
        <f t="shared" si="468"/>
        <v>1.4359999999999999</v>
      </c>
      <c r="AN198" s="381">
        <f t="shared" si="468"/>
        <v>1.1180000000000001</v>
      </c>
      <c r="AO198" s="381">
        <f t="shared" si="468"/>
        <v>0.8562380133304669</v>
      </c>
      <c r="AP198" s="1339">
        <f t="shared" si="468"/>
        <v>1.071</v>
      </c>
      <c r="AQ198" s="381">
        <f t="shared" si="468"/>
        <v>1.1499999999999999</v>
      </c>
      <c r="AR198" s="381">
        <f t="shared" si="468"/>
        <v>1.1659999999999999</v>
      </c>
      <c r="AS198" s="381">
        <f t="shared" si="468"/>
        <v>1.423</v>
      </c>
      <c r="AT198" s="381">
        <f t="shared" si="468"/>
        <v>0.88088728750923861</v>
      </c>
      <c r="AU198" s="1339">
        <f t="shared" si="469" ref="AU198:AZ198">AU195+AU192</f>
        <v>1.153</v>
      </c>
      <c r="AV198" s="381">
        <f t="shared" si="469"/>
        <v>0.985</v>
      </c>
      <c r="AW198" s="381">
        <f t="shared" si="469"/>
        <v>1.2749999999999999</v>
      </c>
      <c r="AX198" s="381">
        <f t="shared" si="469"/>
        <v>1.2509999999999999</v>
      </c>
      <c r="AY198" s="381">
        <f t="shared" si="469"/>
        <v>0.91216919365954519</v>
      </c>
      <c r="AZ198" s="1339">
        <f t="shared" si="469"/>
        <v>1.105</v>
      </c>
      <c r="BA198" s="381">
        <f t="shared" si="470" ref="BA198:BF198">BA195+BA192</f>
        <v>1.0549999999999999</v>
      </c>
      <c r="BB198" s="381">
        <f t="shared" si="470"/>
        <v>1.3320000000000001</v>
      </c>
      <c r="BC198" s="381">
        <f t="shared" si="470"/>
        <v>0.8819999999999999</v>
      </c>
      <c r="BD198" s="381">
        <f t="shared" si="470"/>
        <v>0.72366862296020595</v>
      </c>
      <c r="BE198" s="1339">
        <f t="shared" si="470"/>
        <v>0.98899999999999988</v>
      </c>
      <c r="BF198" s="381">
        <f t="shared" si="470"/>
        <v>0.93399999999999994</v>
      </c>
      <c r="BG198" s="381">
        <f>BG195+BG192</f>
        <v>1.663</v>
      </c>
      <c r="BH198" s="813">
        <f>BH195+BH192</f>
        <v>0.78499999999999992</v>
      </c>
      <c r="BI198" s="909"/>
      <c r="BJ198" s="1340"/>
      <c r="BK198" s="909"/>
      <c r="BL198" s="909"/>
      <c r="BM198" s="909"/>
      <c r="BN198" s="909"/>
      <c r="BO198" s="1340"/>
      <c r="BP198" s="1339"/>
      <c r="BQ198" s="1339"/>
      <c r="BR198" s="1340"/>
      <c r="BS198" s="648"/>
    </row>
    <row r="199" spans="1:71" s="669" customFormat="1" ht="7.5" customHeight="1" hidden="1" outlineLevel="2">
      <c r="A199" s="107"/>
      <c r="B199" s="108"/>
      <c r="C199" s="1325"/>
      <c r="D199" s="1325"/>
      <c r="E199" s="1325"/>
      <c r="F199" s="1325"/>
      <c r="G199" s="1325"/>
      <c r="H199" s="726"/>
      <c r="I199" s="726"/>
      <c r="J199" s="726"/>
      <c r="K199" s="726"/>
      <c r="L199" s="1325"/>
      <c r="M199" s="726"/>
      <c r="N199" s="726"/>
      <c r="O199" s="726"/>
      <c r="P199" s="726"/>
      <c r="Q199" s="1325"/>
      <c r="R199" s="726"/>
      <c r="S199" s="726"/>
      <c r="T199" s="726"/>
      <c r="U199" s="726"/>
      <c r="V199" s="1325"/>
      <c r="W199" s="726"/>
      <c r="X199" s="726"/>
      <c r="Y199" s="726"/>
      <c r="Z199" s="726"/>
      <c r="AA199" s="1325"/>
      <c r="AB199" s="726"/>
      <c r="AC199" s="726"/>
      <c r="AD199" s="726"/>
      <c r="AE199" s="726"/>
      <c r="AF199" s="1325"/>
      <c r="AG199" s="726"/>
      <c r="AH199" s="726"/>
      <c r="AI199" s="726"/>
      <c r="AJ199" s="726"/>
      <c r="AK199" s="1325"/>
      <c r="AL199" s="726"/>
      <c r="AM199" s="726"/>
      <c r="AN199" s="726"/>
      <c r="AO199" s="726"/>
      <c r="AP199" s="1325"/>
      <c r="AQ199" s="726"/>
      <c r="AR199" s="726"/>
      <c r="AS199" s="726"/>
      <c r="AT199" s="726"/>
      <c r="AU199" s="1325"/>
      <c r="AV199" s="726"/>
      <c r="AW199" s="726"/>
      <c r="AX199" s="726"/>
      <c r="AY199" s="726"/>
      <c r="AZ199" s="1325"/>
      <c r="BA199" s="726"/>
      <c r="BB199" s="726"/>
      <c r="BC199" s="726"/>
      <c r="BD199" s="726"/>
      <c r="BE199" s="1325"/>
      <c r="BF199" s="726"/>
      <c r="BG199" s="726"/>
      <c r="BH199" s="808"/>
      <c r="BI199" s="98"/>
      <c r="BJ199" s="1326"/>
      <c r="BK199" s="98"/>
      <c r="BL199" s="98"/>
      <c r="BM199" s="98"/>
      <c r="BN199" s="98"/>
      <c r="BO199" s="1326"/>
      <c r="BP199" s="1325"/>
      <c r="BQ199" s="1325"/>
      <c r="BR199" s="1326"/>
      <c r="BS199" s="648"/>
    </row>
    <row r="200" spans="1:71" s="671" customFormat="1" ht="15" hidden="1" outlineLevel="2">
      <c r="A200" s="23" t="s">
        <v>491</v>
      </c>
      <c r="B200" s="414"/>
      <c r="C200" s="1331"/>
      <c r="D200" s="1331"/>
      <c r="E200" s="1331"/>
      <c r="F200" s="1331"/>
      <c r="G200" s="1331"/>
      <c r="H200" s="289"/>
      <c r="I200" s="289"/>
      <c r="J200" s="289"/>
      <c r="K200" s="289"/>
      <c r="L200" s="1331"/>
      <c r="M200" s="289"/>
      <c r="N200" s="199">
        <f t="shared" si="471" ref="N200:AM200">1-N198</f>
        <v>0.0049999999999998934</v>
      </c>
      <c r="O200" s="199">
        <f t="shared" si="471"/>
        <v>0.084000000000000075</v>
      </c>
      <c r="P200" s="199">
        <f t="shared" si="471"/>
        <v>0.21095906432748546</v>
      </c>
      <c r="Q200" s="1330">
        <f t="shared" si="471"/>
        <v>0.10099999999999998</v>
      </c>
      <c r="R200" s="199">
        <f t="shared" si="471"/>
        <v>-0.12200000000000011</v>
      </c>
      <c r="S200" s="199">
        <f t="shared" si="471"/>
        <v>-0.064999999999999947</v>
      </c>
      <c r="T200" s="199">
        <f t="shared" si="471"/>
        <v>0.046000000000000041</v>
      </c>
      <c r="U200" s="199">
        <f t="shared" si="471"/>
        <v>0.26687108167770424</v>
      </c>
      <c r="V200" s="1330">
        <f t="shared" si="471"/>
        <v>0.038000000000000034</v>
      </c>
      <c r="W200" s="199">
        <f t="shared" si="471"/>
        <v>0.03400000000000003</v>
      </c>
      <c r="X200" s="199">
        <f t="shared" si="471"/>
        <v>0.015000000000000013</v>
      </c>
      <c r="Y200" s="199">
        <f t="shared" si="471"/>
        <v>-0.27000000000000002</v>
      </c>
      <c r="Z200" s="199">
        <f t="shared" si="471"/>
        <v>0.026833147113593858</v>
      </c>
      <c r="AA200" s="1330">
        <f t="shared" si="471"/>
        <v>-0.050999999999999934</v>
      </c>
      <c r="AB200" s="199">
        <f t="shared" si="471"/>
        <v>0.099999999999999978</v>
      </c>
      <c r="AC200" s="199">
        <f t="shared" si="471"/>
        <v>-0.16599999999999993</v>
      </c>
      <c r="AD200" s="199">
        <f t="shared" si="471"/>
        <v>-0.022999999999999909</v>
      </c>
      <c r="AE200" s="199">
        <f t="shared" si="471"/>
        <v>-0.1630645980253882</v>
      </c>
      <c r="AF200" s="1330">
        <f t="shared" si="471"/>
        <v>-0.06899999999999995</v>
      </c>
      <c r="AG200" s="199">
        <f t="shared" si="471"/>
        <v>0.020999999999999908</v>
      </c>
      <c r="AH200" s="199">
        <f t="shared" si="471"/>
        <v>-0.09000000000000008</v>
      </c>
      <c r="AI200" s="199">
        <f t="shared" si="471"/>
        <v>-0.022999999999999909</v>
      </c>
      <c r="AJ200" s="199">
        <f t="shared" si="471"/>
        <v>0.022784868262026081</v>
      </c>
      <c r="AK200" s="1330">
        <f t="shared" si="471"/>
        <v>-0.016999999999999904</v>
      </c>
      <c r="AL200" s="199">
        <f t="shared" si="471"/>
        <v>0.11699999999999999</v>
      </c>
      <c r="AM200" s="199">
        <f t="shared" si="471"/>
        <v>-0.43599999999999994</v>
      </c>
      <c r="AN200" s="199">
        <f t="shared" si="472" ref="AN200:AU200">1-AN198</f>
        <v>-0.1180000000000001</v>
      </c>
      <c r="AO200" s="199">
        <f t="shared" si="472"/>
        <v>0.1437619866695331</v>
      </c>
      <c r="AP200" s="1330">
        <f t="shared" si="472"/>
        <v>-0.070999999999999952</v>
      </c>
      <c r="AQ200" s="199">
        <f t="shared" si="472"/>
        <v>-0.14999999999999991</v>
      </c>
      <c r="AR200" s="199">
        <f t="shared" si="472"/>
        <v>-0.16599999999999993</v>
      </c>
      <c r="AS200" s="199">
        <f t="shared" si="472"/>
        <v>-0.42300000000000004</v>
      </c>
      <c r="AT200" s="199">
        <f t="shared" si="472"/>
        <v>0.11911271249076139</v>
      </c>
      <c r="AU200" s="1330">
        <f t="shared" si="472"/>
        <v>-0.15300000000000002</v>
      </c>
      <c r="AV200" s="199">
        <f t="shared" si="473" ref="AV200:BA200">1-AV198</f>
        <v>0.015000000000000013</v>
      </c>
      <c r="AW200" s="199">
        <f t="shared" si="473"/>
        <v>-0.27499999999999991</v>
      </c>
      <c r="AX200" s="199">
        <f t="shared" si="473"/>
        <v>-0.25099999999999989</v>
      </c>
      <c r="AY200" s="199">
        <f t="shared" si="473"/>
        <v>0.087830806340454814</v>
      </c>
      <c r="AZ200" s="1330">
        <f t="shared" si="473"/>
        <v>-0.10499999999999998</v>
      </c>
      <c r="BA200" s="199">
        <f t="shared" si="473"/>
        <v>-0.054999999999999938</v>
      </c>
      <c r="BB200" s="199">
        <f t="shared" si="474" ref="BB200:BG200">1-BB198</f>
        <v>-0.33200000000000007</v>
      </c>
      <c r="BC200" s="199">
        <f t="shared" si="474"/>
        <v>0.1180000000000001</v>
      </c>
      <c r="BD200" s="199">
        <f t="shared" si="474"/>
        <v>0.27633137703979405</v>
      </c>
      <c r="BE200" s="1330">
        <f t="shared" si="474"/>
        <v>0.011000000000000121</v>
      </c>
      <c r="BF200" s="199">
        <f t="shared" si="474"/>
        <v>0.066000000000000059</v>
      </c>
      <c r="BG200" s="199">
        <f t="shared" si="474"/>
        <v>-0.66300000000000003</v>
      </c>
      <c r="BH200" s="810">
        <f>1-BH198</f>
        <v>0.21500000000000008</v>
      </c>
      <c r="BI200" s="931"/>
      <c r="BJ200" s="1353"/>
      <c r="BK200" s="931"/>
      <c r="BL200" s="931"/>
      <c r="BM200" s="931"/>
      <c r="BN200" s="931"/>
      <c r="BO200" s="1353"/>
      <c r="BP200" s="1331"/>
      <c r="BQ200" s="1331"/>
      <c r="BR200" s="1353"/>
      <c r="BS200" s="648"/>
    </row>
    <row r="201" spans="1:71" s="665" customFormat="1" ht="15" hidden="1" outlineLevel="1" collapsed="1">
      <c r="A201" s="999"/>
      <c r="B201" s="308"/>
      <c r="C201" s="1351"/>
      <c r="D201" s="1351"/>
      <c r="E201" s="1351"/>
      <c r="F201" s="1351"/>
      <c r="G201" s="1351"/>
      <c r="H201" s="1047"/>
      <c r="I201" s="1047"/>
      <c r="J201" s="1047"/>
      <c r="K201" s="1047"/>
      <c r="L201" s="1351"/>
      <c r="M201" s="1047"/>
      <c r="N201" s="1047"/>
      <c r="O201" s="1047"/>
      <c r="P201" s="1047"/>
      <c r="Q201" s="1351"/>
      <c r="R201" s="1047"/>
      <c r="S201" s="1047"/>
      <c r="T201" s="1047"/>
      <c r="U201" s="1047"/>
      <c r="V201" s="1351"/>
      <c r="W201" s="1047"/>
      <c r="X201" s="1047"/>
      <c r="Y201" s="1047"/>
      <c r="Z201" s="1047"/>
      <c r="AA201" s="1351"/>
      <c r="AB201" s="1047"/>
      <c r="AC201" s="1047"/>
      <c r="AD201" s="1047"/>
      <c r="AE201" s="1047"/>
      <c r="AF201" s="1351"/>
      <c r="AG201" s="1047"/>
      <c r="AH201" s="1047"/>
      <c r="AI201" s="1047"/>
      <c r="AJ201" s="1047"/>
      <c r="AK201" s="1351"/>
      <c r="AL201" s="1047"/>
      <c r="AM201" s="1047"/>
      <c r="AN201" s="1047"/>
      <c r="AO201" s="1047"/>
      <c r="AP201" s="1351"/>
      <c r="AQ201" s="1047"/>
      <c r="AR201" s="1047"/>
      <c r="AS201" s="1047"/>
      <c r="AT201" s="1047"/>
      <c r="AU201" s="1351"/>
      <c r="AV201" s="1047"/>
      <c r="AW201" s="1047"/>
      <c r="AX201" s="1047"/>
      <c r="AY201" s="1047"/>
      <c r="AZ201" s="1351"/>
      <c r="BA201" s="1047"/>
      <c r="BB201" s="1047"/>
      <c r="BC201" s="1047"/>
      <c r="BD201" s="1047"/>
      <c r="BE201" s="1351"/>
      <c r="BF201" s="1047"/>
      <c r="BG201" s="1047"/>
      <c r="BH201" s="1048"/>
      <c r="BI201" s="1044"/>
      <c r="BJ201" s="1350"/>
      <c r="BK201" s="1044"/>
      <c r="BL201" s="1044"/>
      <c r="BM201" s="1044"/>
      <c r="BN201" s="1044"/>
      <c r="BO201" s="1350"/>
      <c r="BP201" s="1351"/>
      <c r="BQ201" s="1351"/>
      <c r="BR201" s="1350"/>
      <c r="BS201" s="648"/>
    </row>
    <row r="202" spans="1:71" s="668" customFormat="1" ht="15" hidden="1" outlineLevel="1">
      <c r="A202" s="331" t="s">
        <v>632</v>
      </c>
      <c r="B202" s="991"/>
      <c r="C202" s="1035"/>
      <c r="D202" s="1035"/>
      <c r="E202" s="1035"/>
      <c r="F202" s="1035"/>
      <c r="G202" s="1035"/>
      <c r="H202" s="1035"/>
      <c r="I202" s="1035"/>
      <c r="J202" s="1035"/>
      <c r="K202" s="1035"/>
      <c r="L202" s="1035"/>
      <c r="M202" s="1035"/>
      <c r="N202" s="1035"/>
      <c r="O202" s="1035"/>
      <c r="P202" s="1035"/>
      <c r="Q202" s="1035"/>
      <c r="R202" s="1035"/>
      <c r="S202" s="1035"/>
      <c r="T202" s="1035"/>
      <c r="U202" s="1035"/>
      <c r="V202" s="1035"/>
      <c r="W202" s="1035"/>
      <c r="X202" s="1035"/>
      <c r="Y202" s="1035"/>
      <c r="Z202" s="1035"/>
      <c r="AA202" s="1035"/>
      <c r="AB202" s="1035"/>
      <c r="AC202" s="1035"/>
      <c r="AD202" s="1035"/>
      <c r="AE202" s="1035"/>
      <c r="AF202" s="1035"/>
      <c r="AG202" s="1035"/>
      <c r="AH202" s="1035"/>
      <c r="AI202" s="1035"/>
      <c r="AJ202" s="1035"/>
      <c r="AK202" s="1035"/>
      <c r="AL202" s="1035"/>
      <c r="AM202" s="1035"/>
      <c r="AN202" s="1035"/>
      <c r="AO202" s="1035"/>
      <c r="AP202" s="1035"/>
      <c r="AQ202" s="1035"/>
      <c r="AR202" s="1035"/>
      <c r="AS202" s="1035"/>
      <c r="AT202" s="1035"/>
      <c r="AU202" s="1035"/>
      <c r="AV202" s="1035"/>
      <c r="AW202" s="1035"/>
      <c r="AX202" s="1035"/>
      <c r="AY202" s="1035"/>
      <c r="AZ202" s="1035"/>
      <c r="BA202" s="1035"/>
      <c r="BB202" s="1035"/>
      <c r="BC202" s="1035"/>
      <c r="BD202" s="1035"/>
      <c r="BE202" s="1035"/>
      <c r="BF202" s="1035"/>
      <c r="BG202" s="1035"/>
      <c r="BH202" s="1036"/>
      <c r="BI202" s="1037"/>
      <c r="BJ202" s="1037"/>
      <c r="BK202" s="1037"/>
      <c r="BL202" s="1037"/>
      <c r="BM202" s="1037"/>
      <c r="BN202" s="1037"/>
      <c r="BO202" s="1037"/>
      <c r="BP202" s="1035"/>
      <c r="BQ202" s="1035"/>
      <c r="BR202" s="1037"/>
      <c r="BS202" s="648"/>
    </row>
    <row r="203" spans="1:71" s="665" customFormat="1" ht="15" hidden="1" outlineLevel="1">
      <c r="A203" s="71" t="str">
        <f>A42</f>
        <v>Agency Auto Policies in Force - End of Period, 000s</v>
      </c>
      <c r="B203" s="308"/>
      <c r="C203" s="1364">
        <v>4299.20</v>
      </c>
      <c r="D203" s="1364">
        <v>4480.1000000000004</v>
      </c>
      <c r="E203" s="1364">
        <v>4648.50</v>
      </c>
      <c r="F203" s="1364">
        <v>4790.3999999999996</v>
      </c>
      <c r="G203" s="1364">
        <v>4841.8999999999996</v>
      </c>
      <c r="H203" s="1225">
        <v>4911.80</v>
      </c>
      <c r="I203" s="1225">
        <v>4872.70</v>
      </c>
      <c r="J203" s="1225">
        <v>4784.6000000000004</v>
      </c>
      <c r="K203" s="1047">
        <f>L203</f>
        <v>4725.50</v>
      </c>
      <c r="L203" s="1364">
        <v>4725.50</v>
      </c>
      <c r="M203" s="1225">
        <v>4765.6000000000004</v>
      </c>
      <c r="N203" s="1225">
        <v>4753.6000000000004</v>
      </c>
      <c r="O203" s="1225">
        <v>4739.8999999999996</v>
      </c>
      <c r="P203" s="1042">
        <f>Q203</f>
        <v>4737.1000000000004</v>
      </c>
      <c r="Q203" s="1364">
        <v>4737.1000000000004</v>
      </c>
      <c r="R203" s="1225">
        <v>4865.3999999999996</v>
      </c>
      <c r="S203" s="1225">
        <v>4937.6000000000004</v>
      </c>
      <c r="T203" s="1225">
        <v>4980.1000000000004</v>
      </c>
      <c r="U203" s="1042">
        <f>V203</f>
        <v>5045.3999999999996</v>
      </c>
      <c r="V203" s="1364">
        <v>5045.3999999999996</v>
      </c>
      <c r="W203" s="1225">
        <v>5228.30</v>
      </c>
      <c r="X203" s="1225">
        <v>5350.30</v>
      </c>
      <c r="Y203" s="1225">
        <v>5515.30</v>
      </c>
      <c r="Z203" s="1042">
        <f>AA203</f>
        <v>5670.70</v>
      </c>
      <c r="AA203" s="1364">
        <v>5670.70</v>
      </c>
      <c r="AB203" s="1225">
        <v>5909.10</v>
      </c>
      <c r="AC203" s="1225">
        <v>6107.40</v>
      </c>
      <c r="AD203" s="1225">
        <v>6249.30</v>
      </c>
      <c r="AE203" s="1042">
        <f>AF203</f>
        <v>6358.30</v>
      </c>
      <c r="AF203" s="1364">
        <v>6358.30</v>
      </c>
      <c r="AG203" s="1225">
        <v>6609.10</v>
      </c>
      <c r="AH203" s="1225">
        <v>6783.70</v>
      </c>
      <c r="AI203" s="1225">
        <v>6903.80</v>
      </c>
      <c r="AJ203" s="1042">
        <f>AK203</f>
        <v>6994.30</v>
      </c>
      <c r="AK203" s="1364">
        <v>6994.30</v>
      </c>
      <c r="AL203" s="1225">
        <v>7164.60</v>
      </c>
      <c r="AM203" s="1225">
        <v>7362.50</v>
      </c>
      <c r="AN203" s="1225">
        <v>7527.10</v>
      </c>
      <c r="AO203" s="1042">
        <f>AP203</f>
        <v>7617</v>
      </c>
      <c r="AP203" s="1364">
        <v>7617</v>
      </c>
      <c r="AQ203" s="1225">
        <v>7863.50</v>
      </c>
      <c r="AR203" s="1225">
        <v>8014.20</v>
      </c>
      <c r="AS203" s="1225">
        <v>7973.60</v>
      </c>
      <c r="AT203" s="1042">
        <f>AU203</f>
        <v>7879</v>
      </c>
      <c r="AU203" s="1364">
        <v>7879</v>
      </c>
      <c r="AV203" s="1225">
        <v>7758.40</v>
      </c>
      <c r="AW203" s="1225">
        <v>7619.50</v>
      </c>
      <c r="AX203" s="1225">
        <v>7600.30</v>
      </c>
      <c r="AY203" s="1042">
        <f>AZ203</f>
        <v>7766.30</v>
      </c>
      <c r="AZ203" s="1364">
        <v>7766.30</v>
      </c>
      <c r="BA203" s="1225">
        <v>8172.90</v>
      </c>
      <c r="BB203" s="1225">
        <v>8437.7999999999993</v>
      </c>
      <c r="BC203" s="1225">
        <v>8363.2999999999993</v>
      </c>
      <c r="BD203" s="1042">
        <f>BE203</f>
        <v>8335.50</v>
      </c>
      <c r="BE203" s="1364">
        <v>8335.50</v>
      </c>
      <c r="BF203" s="1225">
        <v>8592.90</v>
      </c>
      <c r="BG203" s="1225">
        <v>8964.7999999999993</v>
      </c>
      <c r="BH203" s="1226">
        <v>9415.60</v>
      </c>
      <c r="BI203" s="1044">
        <f t="shared" si="475" ref="BI203:BR203">BI42</f>
        <v>9603.9120000000003</v>
      </c>
      <c r="BJ203" s="1350">
        <f t="shared" si="475"/>
        <v>9603.9120000000003</v>
      </c>
      <c r="BK203" s="1044">
        <f t="shared" si="475"/>
        <v>9795.990240000001</v>
      </c>
      <c r="BL203" s="1044">
        <f t="shared" si="475"/>
        <v>9991.9100448000008</v>
      </c>
      <c r="BM203" s="1044">
        <f t="shared" si="475"/>
        <v>10191.748245696001</v>
      </c>
      <c r="BN203" s="1044">
        <f t="shared" si="475"/>
        <v>10395.583210609921</v>
      </c>
      <c r="BO203" s="1350">
        <f t="shared" si="475"/>
        <v>10395.583210609921</v>
      </c>
      <c r="BP203" s="1351">
        <f t="shared" si="475"/>
        <v>10603.49487482212</v>
      </c>
      <c r="BQ203" s="1351">
        <f t="shared" si="475"/>
        <v>10815.564772318563</v>
      </c>
      <c r="BR203" s="1350">
        <f t="shared" si="475"/>
        <v>11031.876067764935</v>
      </c>
      <c r="BS203" s="648"/>
    </row>
    <row r="204" spans="1:71" s="665" customFormat="1" ht="15" hidden="1" outlineLevel="1">
      <c r="A204" s="71" t="str">
        <f>A71</f>
        <v>Direct Auto Policies in Force - End of Period, 000s</v>
      </c>
      <c r="B204" s="308"/>
      <c r="C204" s="1364">
        <v>3201.10</v>
      </c>
      <c r="D204" s="1364">
        <v>3610.40</v>
      </c>
      <c r="E204" s="1364">
        <v>3844.50</v>
      </c>
      <c r="F204" s="1364">
        <v>4000.10</v>
      </c>
      <c r="G204" s="1364">
        <v>4224.20</v>
      </c>
      <c r="H204" s="1225">
        <v>4384.1000000000004</v>
      </c>
      <c r="I204" s="1225">
        <v>4423.8999999999996</v>
      </c>
      <c r="J204" s="1225">
        <v>4453.3999999999996</v>
      </c>
      <c r="K204" s="1047">
        <f>L204</f>
        <v>4505.50</v>
      </c>
      <c r="L204" s="1364">
        <v>4505.50</v>
      </c>
      <c r="M204" s="1225">
        <v>4679.80</v>
      </c>
      <c r="N204" s="1225">
        <v>4744.80</v>
      </c>
      <c r="O204" s="1225">
        <v>4830.80</v>
      </c>
      <c r="P204" s="1042">
        <f>Q204</f>
        <v>4916.20</v>
      </c>
      <c r="Q204" s="1364">
        <v>4916.20</v>
      </c>
      <c r="R204" s="1225">
        <v>5175.3999999999996</v>
      </c>
      <c r="S204" s="1225">
        <v>5284.40</v>
      </c>
      <c r="T204" s="1225">
        <v>5324</v>
      </c>
      <c r="U204" s="1042">
        <f>V204</f>
        <v>5348.30</v>
      </c>
      <c r="V204" s="1364">
        <v>5348.30</v>
      </c>
      <c r="W204" s="1225">
        <v>5570.70</v>
      </c>
      <c r="X204" s="1225">
        <v>5692.60</v>
      </c>
      <c r="Y204" s="1225">
        <v>5889.60</v>
      </c>
      <c r="Z204" s="1042">
        <f>AA204</f>
        <v>6039.10</v>
      </c>
      <c r="AA204" s="1364">
        <v>6039.10</v>
      </c>
      <c r="AB204" s="1225">
        <v>6385.60</v>
      </c>
      <c r="AC204" s="1225">
        <v>6650.90</v>
      </c>
      <c r="AD204" s="1225">
        <v>6875.80</v>
      </c>
      <c r="AE204" s="1042">
        <f>AF204</f>
        <v>7018.50</v>
      </c>
      <c r="AF204" s="1364">
        <v>7018.50</v>
      </c>
      <c r="AG204" s="1225">
        <v>7335.30</v>
      </c>
      <c r="AH204" s="1225">
        <v>7528.40</v>
      </c>
      <c r="AI204" s="1225">
        <v>7716</v>
      </c>
      <c r="AJ204" s="1042">
        <f>AK204</f>
        <v>7866.50</v>
      </c>
      <c r="AK204" s="1364">
        <v>7866.50</v>
      </c>
      <c r="AL204" s="1225">
        <v>8126.30</v>
      </c>
      <c r="AM204" s="1225">
        <v>8507.60</v>
      </c>
      <c r="AN204" s="1225">
        <v>8774.2999999999993</v>
      </c>
      <c r="AO204" s="1042">
        <f>AP204</f>
        <v>8881.40</v>
      </c>
      <c r="AP204" s="1364">
        <v>8881.40</v>
      </c>
      <c r="AQ204" s="1225">
        <v>9338.7999999999993</v>
      </c>
      <c r="AR204" s="1225">
        <v>9581.2999999999993</v>
      </c>
      <c r="AS204" s="1225">
        <v>9613.10</v>
      </c>
      <c r="AT204" s="1042">
        <f>AU204</f>
        <v>9568.2000000000007</v>
      </c>
      <c r="AU204" s="1364">
        <v>9568.2000000000007</v>
      </c>
      <c r="AV204" s="1225">
        <v>9541.2999999999993</v>
      </c>
      <c r="AW204" s="1225">
        <v>9557</v>
      </c>
      <c r="AX204" s="1225">
        <v>9823.7999999999993</v>
      </c>
      <c r="AY204" s="1042">
        <f>AZ204</f>
        <v>10131</v>
      </c>
      <c r="AZ204" s="1364">
        <v>10131</v>
      </c>
      <c r="BA204" s="1225">
        <v>10995.50</v>
      </c>
      <c r="BB204" s="1225">
        <v>11220.50</v>
      </c>
      <c r="BC204" s="1225">
        <v>11154.299999999999</v>
      </c>
      <c r="BD204" s="1042">
        <f>BE204</f>
        <v>11190.40</v>
      </c>
      <c r="BE204" s="1364">
        <v>11190.40</v>
      </c>
      <c r="BF204" s="1225">
        <v>11855.40</v>
      </c>
      <c r="BG204" s="1225">
        <v>12576.80</v>
      </c>
      <c r="BH204" s="1226">
        <v>13387.90</v>
      </c>
      <c r="BI204" s="1044">
        <f t="shared" si="476" ref="BI204:BR204">BI71</f>
        <v>13655.657999999999</v>
      </c>
      <c r="BJ204" s="1350">
        <f t="shared" si="476"/>
        <v>13655.657999999999</v>
      </c>
      <c r="BK204" s="1044">
        <f t="shared" si="476"/>
        <v>13928.77116</v>
      </c>
      <c r="BL204" s="1044">
        <f t="shared" si="476"/>
        <v>14207.3465832</v>
      </c>
      <c r="BM204" s="1044">
        <f t="shared" si="476"/>
        <v>14491.493514864</v>
      </c>
      <c r="BN204" s="1044">
        <f t="shared" si="476"/>
        <v>14781.32338516128</v>
      </c>
      <c r="BO204" s="1350">
        <f t="shared" si="476"/>
        <v>14781.32338516128</v>
      </c>
      <c r="BP204" s="1351">
        <f t="shared" si="476"/>
        <v>15076.949852864505</v>
      </c>
      <c r="BQ204" s="1351">
        <f t="shared" si="476"/>
        <v>15378.488849921796</v>
      </c>
      <c r="BR204" s="1350">
        <f t="shared" si="476"/>
        <v>15686.058626920232</v>
      </c>
      <c r="BS204" s="648"/>
    </row>
    <row r="205" spans="1:71" s="665" customFormat="1" ht="15" hidden="1" outlineLevel="1">
      <c r="A205" s="57" t="s">
        <v>566</v>
      </c>
      <c r="B205" s="491"/>
      <c r="C205" s="1359">
        <f t="shared" si="477" ref="C205:AT205">C203+C204</f>
        <v>7500.2999999999993</v>
      </c>
      <c r="D205" s="1360">
        <f t="shared" si="477"/>
        <v>8090.50</v>
      </c>
      <c r="E205" s="1360">
        <f t="shared" si="477"/>
        <v>8493</v>
      </c>
      <c r="F205" s="1360">
        <f t="shared" si="477"/>
        <v>8790.50</v>
      </c>
      <c r="G205" s="1360">
        <f t="shared" si="477"/>
        <v>9066.0999999999985</v>
      </c>
      <c r="H205" s="1057">
        <f t="shared" si="477"/>
        <v>9295.9000000000015</v>
      </c>
      <c r="I205" s="1057">
        <f t="shared" si="477"/>
        <v>9296.5999999999985</v>
      </c>
      <c r="J205" s="1057">
        <f t="shared" si="477"/>
        <v>9238</v>
      </c>
      <c r="K205" s="1057">
        <f t="shared" si="477"/>
        <v>9231</v>
      </c>
      <c r="L205" s="1360">
        <f t="shared" si="477"/>
        <v>9231</v>
      </c>
      <c r="M205" s="1058">
        <f t="shared" si="477"/>
        <v>9445.4000000000015</v>
      </c>
      <c r="N205" s="1058">
        <f t="shared" si="477"/>
        <v>9498.4000000000015</v>
      </c>
      <c r="O205" s="1058">
        <f t="shared" si="477"/>
        <v>9570.7000000000007</v>
      </c>
      <c r="P205" s="1058">
        <f t="shared" si="478" ref="P205">P203+P204</f>
        <v>9653.2999999999993</v>
      </c>
      <c r="Q205" s="1360">
        <f t="shared" si="477"/>
        <v>9653.2999999999993</v>
      </c>
      <c r="R205" s="1058">
        <f t="shared" si="477"/>
        <v>10040.799999999999</v>
      </c>
      <c r="S205" s="1058">
        <f t="shared" si="477"/>
        <v>10222</v>
      </c>
      <c r="T205" s="1058">
        <f t="shared" si="477"/>
        <v>10304.10</v>
      </c>
      <c r="U205" s="1058">
        <f t="shared" si="479" ref="U205">U203+U204</f>
        <v>10393.700000000001</v>
      </c>
      <c r="V205" s="1360">
        <f t="shared" si="477"/>
        <v>10393.700000000001</v>
      </c>
      <c r="W205" s="1058">
        <f t="shared" si="477"/>
        <v>10799</v>
      </c>
      <c r="X205" s="1058">
        <f t="shared" si="477"/>
        <v>11042.900000000001</v>
      </c>
      <c r="Y205" s="1058">
        <f t="shared" si="477"/>
        <v>11404.900000000001</v>
      </c>
      <c r="Z205" s="1058">
        <f t="shared" si="480" ref="Z205">Z203+Z204</f>
        <v>11709.80</v>
      </c>
      <c r="AA205" s="1360">
        <f t="shared" si="477"/>
        <v>11709.80</v>
      </c>
      <c r="AB205" s="1058">
        <f t="shared" si="477"/>
        <v>12294.700000000001</v>
      </c>
      <c r="AC205" s="1058">
        <f t="shared" si="477"/>
        <v>12758.299999999999</v>
      </c>
      <c r="AD205" s="1058">
        <f t="shared" si="477"/>
        <v>13125.10</v>
      </c>
      <c r="AE205" s="1058">
        <f t="shared" si="481" ref="AE205">AE203+AE204</f>
        <v>13376.80</v>
      </c>
      <c r="AF205" s="1360">
        <f t="shared" si="477"/>
        <v>13376.80</v>
      </c>
      <c r="AG205" s="1058">
        <f t="shared" si="477"/>
        <v>13944.40</v>
      </c>
      <c r="AH205" s="1058">
        <f t="shared" si="477"/>
        <v>14312.099999999999</v>
      </c>
      <c r="AI205" s="1058">
        <f t="shared" si="477"/>
        <v>14619.80</v>
      </c>
      <c r="AJ205" s="1058">
        <f t="shared" si="482" ref="AJ205">AJ203+AJ204</f>
        <v>14860.80</v>
      </c>
      <c r="AK205" s="1360">
        <f t="shared" si="477"/>
        <v>14860.80</v>
      </c>
      <c r="AL205" s="1058">
        <f t="shared" si="477"/>
        <v>15290.900000000001</v>
      </c>
      <c r="AM205" s="1058">
        <f t="shared" si="477"/>
        <v>15870.10</v>
      </c>
      <c r="AN205" s="1058">
        <f t="shared" si="477"/>
        <v>16301.40</v>
      </c>
      <c r="AO205" s="1058">
        <f t="shared" si="483" ref="AO205">AO203+AO204</f>
        <v>16498.40</v>
      </c>
      <c r="AP205" s="1360">
        <f t="shared" si="477"/>
        <v>16498.40</v>
      </c>
      <c r="AQ205" s="1058">
        <f t="shared" si="477"/>
        <v>17202.299999999999</v>
      </c>
      <c r="AR205" s="1058">
        <f t="shared" si="477"/>
        <v>17595.50</v>
      </c>
      <c r="AS205" s="1058">
        <f t="shared" si="477"/>
        <v>17586.700000000001</v>
      </c>
      <c r="AT205" s="1058">
        <f t="shared" si="477"/>
        <v>17447.20</v>
      </c>
      <c r="AU205" s="1360">
        <f t="shared" si="484" ref="AU205:AZ205">AU203+AU204</f>
        <v>17447.20</v>
      </c>
      <c r="AV205" s="1058">
        <f t="shared" si="484"/>
        <v>17299.699999999997</v>
      </c>
      <c r="AW205" s="1058">
        <f t="shared" si="484"/>
        <v>17176.50</v>
      </c>
      <c r="AX205" s="1058">
        <f t="shared" si="484"/>
        <v>17424.099999999999</v>
      </c>
      <c r="AY205" s="1058">
        <f t="shared" si="484"/>
        <v>17897.299999999999</v>
      </c>
      <c r="AZ205" s="1360">
        <f t="shared" si="484"/>
        <v>17897.299999999999</v>
      </c>
      <c r="BA205" s="1058">
        <f t="shared" si="485" ref="BA205:BR205">BA203+BA204</f>
        <v>19168.40</v>
      </c>
      <c r="BB205" s="1058">
        <f t="shared" si="485"/>
        <v>19658.299999999999</v>
      </c>
      <c r="BC205" s="1058">
        <f t="shared" si="485"/>
        <v>19517.60</v>
      </c>
      <c r="BD205" s="1058">
        <f t="shared" si="485"/>
        <v>19525.900000000001</v>
      </c>
      <c r="BE205" s="1360">
        <f t="shared" si="485"/>
        <v>19525.900000000001</v>
      </c>
      <c r="BF205" s="1058">
        <f>BF203+BF204</f>
        <v>20448.299999999999</v>
      </c>
      <c r="BG205" s="1058">
        <f>BG203+BG204</f>
        <v>21541.60</v>
      </c>
      <c r="BH205" s="1060">
        <f>BH203+BH204</f>
        <v>22803.50</v>
      </c>
      <c r="BI205" s="1057">
        <f t="shared" si="485"/>
        <v>23259.57</v>
      </c>
      <c r="BJ205" s="1359">
        <f t="shared" si="485"/>
        <v>23259.57</v>
      </c>
      <c r="BK205" s="1057">
        <f t="shared" si="485"/>
        <v>23724.761400000003</v>
      </c>
      <c r="BL205" s="1057">
        <f t="shared" si="485"/>
        <v>24199.256628000003</v>
      </c>
      <c r="BM205" s="1057">
        <f t="shared" si="485"/>
        <v>24683.241760559999</v>
      </c>
      <c r="BN205" s="1057">
        <f t="shared" si="485"/>
        <v>25176.906595771201</v>
      </c>
      <c r="BO205" s="1359">
        <f t="shared" si="485"/>
        <v>25176.906595771201</v>
      </c>
      <c r="BP205" s="1359">
        <f t="shared" si="485"/>
        <v>25680.444727686627</v>
      </c>
      <c r="BQ205" s="1359">
        <f t="shared" si="485"/>
        <v>26194.053622240361</v>
      </c>
      <c r="BR205" s="1359">
        <f t="shared" si="485"/>
        <v>26717.934694685166</v>
      </c>
      <c r="BS205" s="648"/>
    </row>
    <row r="206" spans="1:71" s="665" customFormat="1" ht="15" hidden="1" outlineLevel="1">
      <c r="A206" s="31" t="str">
        <f>A33</f>
        <v>Special Lines Policies in Force - End of Period, 000s</v>
      </c>
      <c r="B206" s="308"/>
      <c r="C206" s="1364">
        <v>3440.30</v>
      </c>
      <c r="D206" s="1364">
        <v>3612.20</v>
      </c>
      <c r="E206" s="1364">
        <v>3790.80</v>
      </c>
      <c r="F206" s="1364">
        <v>3944.80</v>
      </c>
      <c r="G206" s="1364">
        <v>3990.30</v>
      </c>
      <c r="H206" s="1225">
        <v>3982.90</v>
      </c>
      <c r="I206" s="1225">
        <v>4064.30</v>
      </c>
      <c r="J206" s="1225">
        <v>4081.80</v>
      </c>
      <c r="K206" s="1047">
        <f>L206</f>
        <v>4030.90</v>
      </c>
      <c r="L206" s="1364">
        <v>4030.90</v>
      </c>
      <c r="M206" s="1225">
        <v>4046.90</v>
      </c>
      <c r="N206" s="1225">
        <v>4127.80</v>
      </c>
      <c r="O206" s="1225">
        <v>4150</v>
      </c>
      <c r="P206" s="1042">
        <f>Q206</f>
        <v>4111.3999999999996</v>
      </c>
      <c r="Q206" s="1364">
        <v>4111.3999999999996</v>
      </c>
      <c r="R206" s="1225">
        <v>4145</v>
      </c>
      <c r="S206" s="1225">
        <v>4257.30</v>
      </c>
      <c r="T206" s="1225">
        <v>4291.1000000000004</v>
      </c>
      <c r="U206" s="1042">
        <f>V206</f>
        <v>4263.1000000000004</v>
      </c>
      <c r="V206" s="1364">
        <v>4263.1000000000004</v>
      </c>
      <c r="W206" s="1225">
        <v>4255.3999999999996</v>
      </c>
      <c r="X206" s="1225">
        <v>4356.30</v>
      </c>
      <c r="Y206" s="1225">
        <v>4396.1000000000004</v>
      </c>
      <c r="Z206" s="1042">
        <f>AA206</f>
        <v>4365.70</v>
      </c>
      <c r="AA206" s="1364">
        <v>4365.70</v>
      </c>
      <c r="AB206" s="1225">
        <v>4286.20</v>
      </c>
      <c r="AC206" s="1225">
        <v>4387.3999999999996</v>
      </c>
      <c r="AD206" s="1225">
        <v>4418.8999999999996</v>
      </c>
      <c r="AE206" s="1042">
        <f>AF206</f>
        <v>4382.20</v>
      </c>
      <c r="AF206" s="1364">
        <v>4382.20</v>
      </c>
      <c r="AG206" s="1225">
        <v>4402.1000000000004</v>
      </c>
      <c r="AH206" s="1225">
        <v>4510.20</v>
      </c>
      <c r="AI206" s="1225">
        <v>4567.6000000000004</v>
      </c>
      <c r="AJ206" s="1042">
        <f>AK206</f>
        <v>4547.80</v>
      </c>
      <c r="AK206" s="1364">
        <v>4547.80</v>
      </c>
      <c r="AL206" s="1225">
        <v>4574.50</v>
      </c>
      <c r="AM206" s="1225">
        <v>4790.50</v>
      </c>
      <c r="AN206" s="1225">
        <v>4905.80</v>
      </c>
      <c r="AO206" s="1042">
        <f>AP206</f>
        <v>4915.1000000000004</v>
      </c>
      <c r="AP206" s="1364">
        <v>4915.1000000000004</v>
      </c>
      <c r="AQ206" s="1225">
        <v>5026.70</v>
      </c>
      <c r="AR206" s="1225">
        <v>5211.70</v>
      </c>
      <c r="AS206" s="1225">
        <v>5282.40</v>
      </c>
      <c r="AT206" s="1042">
        <f>AU206</f>
        <v>5288.50</v>
      </c>
      <c r="AU206" s="1364">
        <v>5288.50</v>
      </c>
      <c r="AV206" s="1225">
        <v>5345.90</v>
      </c>
      <c r="AW206" s="1225">
        <v>5485</v>
      </c>
      <c r="AX206" s="1225">
        <v>5558</v>
      </c>
      <c r="AY206" s="1042">
        <f>AZ206</f>
        <v>5558.10</v>
      </c>
      <c r="AZ206" s="1364">
        <v>5558.10</v>
      </c>
      <c r="BA206" s="1225">
        <v>5637.30</v>
      </c>
      <c r="BB206" s="1225">
        <v>5843.10</v>
      </c>
      <c r="BC206" s="1225">
        <v>5956.20</v>
      </c>
      <c r="BD206" s="1042">
        <f>BE206</f>
        <v>5968.60</v>
      </c>
      <c r="BE206" s="1364">
        <v>5968.60</v>
      </c>
      <c r="BF206" s="1225">
        <v>6075.70</v>
      </c>
      <c r="BG206" s="1225">
        <v>6311.80</v>
      </c>
      <c r="BH206" s="1226">
        <v>6475</v>
      </c>
      <c r="BI206" s="1044">
        <f t="shared" si="486" ref="BI206:BR206">BI33</f>
        <v>6604.50</v>
      </c>
      <c r="BJ206" s="1350">
        <f t="shared" si="486"/>
        <v>6604.50</v>
      </c>
      <c r="BK206" s="1044">
        <f t="shared" si="486"/>
        <v>6736.5900000000001</v>
      </c>
      <c r="BL206" s="1044">
        <f t="shared" si="486"/>
        <v>6871.3218000000006</v>
      </c>
      <c r="BM206" s="1044">
        <f t="shared" si="486"/>
        <v>7008.7482360000004</v>
      </c>
      <c r="BN206" s="1044">
        <f t="shared" si="486"/>
        <v>7148.9232007200008</v>
      </c>
      <c r="BO206" s="1350">
        <f t="shared" si="486"/>
        <v>7148.9232007200008</v>
      </c>
      <c r="BP206" s="1351">
        <f t="shared" si="486"/>
        <v>7291.9016647344006</v>
      </c>
      <c r="BQ206" s="1351">
        <f t="shared" si="486"/>
        <v>7437.7396980290887</v>
      </c>
      <c r="BR206" s="1350">
        <f t="shared" si="486"/>
        <v>7586.4944919896707</v>
      </c>
      <c r="BS206" s="648"/>
    </row>
    <row r="207" spans="1:71" s="668" customFormat="1" ht="15" hidden="1" outlineLevel="1">
      <c r="A207" s="546" t="s">
        <v>567</v>
      </c>
      <c r="B207" s="389"/>
      <c r="C207" s="1356">
        <f t="shared" si="487" ref="C207:AT207">C205+C206</f>
        <v>10940.60</v>
      </c>
      <c r="D207" s="1355">
        <f t="shared" si="487"/>
        <v>11702.700000000001</v>
      </c>
      <c r="E207" s="1355">
        <f t="shared" si="487"/>
        <v>12283.80</v>
      </c>
      <c r="F207" s="1355">
        <f t="shared" si="487"/>
        <v>12735.299999999999</v>
      </c>
      <c r="G207" s="1355">
        <f t="shared" si="487"/>
        <v>13056.399999999998</v>
      </c>
      <c r="H207" s="1054">
        <f t="shared" si="487"/>
        <v>13278.80</v>
      </c>
      <c r="I207" s="1054">
        <f t="shared" si="487"/>
        <v>13360.899999999998</v>
      </c>
      <c r="J207" s="1054">
        <f t="shared" si="487"/>
        <v>13319.80</v>
      </c>
      <c r="K207" s="1054">
        <f t="shared" si="487"/>
        <v>13261.90</v>
      </c>
      <c r="L207" s="1355">
        <f t="shared" si="487"/>
        <v>13261.90</v>
      </c>
      <c r="M207" s="1052">
        <f t="shared" si="487"/>
        <v>13492.300000000001</v>
      </c>
      <c r="N207" s="1052">
        <f t="shared" si="487"/>
        <v>13626.20</v>
      </c>
      <c r="O207" s="1052">
        <f t="shared" si="487"/>
        <v>13720.700000000001</v>
      </c>
      <c r="P207" s="1052">
        <f t="shared" si="488" ref="P207">P205+P206</f>
        <v>13764.699999999999</v>
      </c>
      <c r="Q207" s="1355">
        <f t="shared" si="487"/>
        <v>13764.699999999999</v>
      </c>
      <c r="R207" s="1052">
        <f t="shared" si="487"/>
        <v>14185.80</v>
      </c>
      <c r="S207" s="1052">
        <f t="shared" si="487"/>
        <v>14479.299999999999</v>
      </c>
      <c r="T207" s="1052">
        <f t="shared" si="487"/>
        <v>14595.20</v>
      </c>
      <c r="U207" s="1052">
        <f t="shared" si="489" ref="U207">U205+U206</f>
        <v>14656.80</v>
      </c>
      <c r="V207" s="1355">
        <f t="shared" si="487"/>
        <v>14656.80</v>
      </c>
      <c r="W207" s="1052">
        <f t="shared" si="487"/>
        <v>15054.40</v>
      </c>
      <c r="X207" s="1052">
        <f t="shared" si="487"/>
        <v>15399.20</v>
      </c>
      <c r="Y207" s="1052">
        <f t="shared" si="487"/>
        <v>15801.000000000002</v>
      </c>
      <c r="Z207" s="1052">
        <f t="shared" si="490" ref="Z207">Z205+Z206</f>
        <v>16075.50</v>
      </c>
      <c r="AA207" s="1355">
        <f t="shared" si="487"/>
        <v>16075.50</v>
      </c>
      <c r="AB207" s="1052">
        <f t="shared" si="487"/>
        <v>16580.900000000001</v>
      </c>
      <c r="AC207" s="1052">
        <f t="shared" si="487"/>
        <v>17145.699999999997</v>
      </c>
      <c r="AD207" s="1052">
        <f t="shared" si="487"/>
        <v>17544</v>
      </c>
      <c r="AE207" s="1052">
        <f t="shared" si="491" ref="AE207">AE205+AE206</f>
        <v>17759</v>
      </c>
      <c r="AF207" s="1355">
        <f t="shared" si="487"/>
        <v>17759</v>
      </c>
      <c r="AG207" s="1052">
        <f t="shared" si="487"/>
        <v>18346.50</v>
      </c>
      <c r="AH207" s="1052">
        <f t="shared" si="487"/>
        <v>18822.299999999999</v>
      </c>
      <c r="AI207" s="1052">
        <f t="shared" si="487"/>
        <v>19187.40</v>
      </c>
      <c r="AJ207" s="1052">
        <f t="shared" si="492" ref="AJ207">AJ205+AJ206</f>
        <v>19408.60</v>
      </c>
      <c r="AK207" s="1355">
        <f t="shared" si="487"/>
        <v>19408.60</v>
      </c>
      <c r="AL207" s="1052">
        <f t="shared" si="487"/>
        <v>19865.40</v>
      </c>
      <c r="AM207" s="1052">
        <f t="shared" si="487"/>
        <v>20660.60</v>
      </c>
      <c r="AN207" s="1052">
        <f t="shared" si="487"/>
        <v>21207.20</v>
      </c>
      <c r="AO207" s="1052">
        <f t="shared" si="493" ref="AO207">AO205+AO206</f>
        <v>21413.50</v>
      </c>
      <c r="AP207" s="1355">
        <f t="shared" si="487"/>
        <v>21413.50</v>
      </c>
      <c r="AQ207" s="1052">
        <f t="shared" si="487"/>
        <v>22229</v>
      </c>
      <c r="AR207" s="1052">
        <f t="shared" si="487"/>
        <v>22807.20</v>
      </c>
      <c r="AS207" s="1052">
        <f t="shared" si="487"/>
        <v>22869.099999999999</v>
      </c>
      <c r="AT207" s="1052">
        <f t="shared" si="487"/>
        <v>22735.700000000001</v>
      </c>
      <c r="AU207" s="1355">
        <f t="shared" si="494" ref="AU207:AZ207">AU205+AU206</f>
        <v>22735.700000000001</v>
      </c>
      <c r="AV207" s="1052">
        <f t="shared" si="494"/>
        <v>22645.60</v>
      </c>
      <c r="AW207" s="1052">
        <f t="shared" si="494"/>
        <v>22661.50</v>
      </c>
      <c r="AX207" s="1052">
        <f t="shared" si="494"/>
        <v>22982.099999999999</v>
      </c>
      <c r="AY207" s="1052">
        <f t="shared" si="494"/>
        <v>23455.400000000001</v>
      </c>
      <c r="AZ207" s="1355">
        <f t="shared" si="494"/>
        <v>23455.400000000001</v>
      </c>
      <c r="BA207" s="1052">
        <f t="shared" si="495" ref="BA207:BR207">BA205+BA206</f>
        <v>24805.700000000001</v>
      </c>
      <c r="BB207" s="1052">
        <f t="shared" si="495"/>
        <v>25501.400000000001</v>
      </c>
      <c r="BC207" s="1052">
        <f t="shared" si="495"/>
        <v>25473.799999999999</v>
      </c>
      <c r="BD207" s="1052">
        <f t="shared" si="495"/>
        <v>25494.50</v>
      </c>
      <c r="BE207" s="1355">
        <f t="shared" si="495"/>
        <v>25494.50</v>
      </c>
      <c r="BF207" s="1052">
        <f>BF205+BF206</f>
        <v>26524</v>
      </c>
      <c r="BG207" s="1052">
        <f>BG205+BG206</f>
        <v>27853.399999999998</v>
      </c>
      <c r="BH207" s="1053">
        <f>BH205+BH206</f>
        <v>29278.50</v>
      </c>
      <c r="BI207" s="1054">
        <f t="shared" si="495"/>
        <v>29864.07</v>
      </c>
      <c r="BJ207" s="1356">
        <f t="shared" si="495"/>
        <v>29864.07</v>
      </c>
      <c r="BK207" s="1054">
        <f t="shared" si="495"/>
        <v>30461.351400000003</v>
      </c>
      <c r="BL207" s="1054">
        <f t="shared" si="495"/>
        <v>31070.578428000004</v>
      </c>
      <c r="BM207" s="1054">
        <f t="shared" si="495"/>
        <v>31691.989996559998</v>
      </c>
      <c r="BN207" s="1054">
        <f t="shared" si="495"/>
        <v>32325.829796491202</v>
      </c>
      <c r="BO207" s="1356">
        <f t="shared" si="495"/>
        <v>32325.829796491202</v>
      </c>
      <c r="BP207" s="1356">
        <f t="shared" si="495"/>
        <v>32972.34639242103</v>
      </c>
      <c r="BQ207" s="1356">
        <f t="shared" si="495"/>
        <v>33631.793320269448</v>
      </c>
      <c r="BR207" s="1356">
        <f t="shared" si="495"/>
        <v>34304.429186674839</v>
      </c>
      <c r="BS207" s="648"/>
    </row>
    <row r="208" spans="1:71" s="665" customFormat="1" ht="15" hidden="1" outlineLevel="1">
      <c r="A208" s="371" t="str">
        <f>A135</f>
        <v>Commercial Lines Policies in Force - End of Period, 000s</v>
      </c>
      <c r="B208" s="308"/>
      <c r="C208" s="1364">
        <v>512.79999999999995</v>
      </c>
      <c r="D208" s="1364">
        <v>510.40</v>
      </c>
      <c r="E208" s="1364">
        <v>509.10</v>
      </c>
      <c r="F208" s="1364">
        <v>519.60</v>
      </c>
      <c r="G208" s="1364">
        <v>514.60</v>
      </c>
      <c r="H208" s="1225">
        <v>509.40</v>
      </c>
      <c r="I208" s="1225">
        <v>516.50</v>
      </c>
      <c r="J208" s="1225">
        <v>517.79999999999995</v>
      </c>
      <c r="K208" s="1047">
        <f>L208</f>
        <v>514.70000000000005</v>
      </c>
      <c r="L208" s="1364">
        <v>514.70000000000005</v>
      </c>
      <c r="M208" s="1225">
        <v>522.60</v>
      </c>
      <c r="N208" s="1225">
        <v>538.40</v>
      </c>
      <c r="O208" s="1225">
        <v>549.50</v>
      </c>
      <c r="P208" s="1042">
        <f>Q208</f>
        <v>555.79999999999995</v>
      </c>
      <c r="Q208" s="1364">
        <v>555.79999999999995</v>
      </c>
      <c r="R208" s="1225">
        <v>575.10</v>
      </c>
      <c r="S208" s="1225">
        <v>600.29999999999995</v>
      </c>
      <c r="T208" s="1225">
        <v>612.70000000000005</v>
      </c>
      <c r="U208" s="1042">
        <f>V208</f>
        <v>607.90</v>
      </c>
      <c r="V208" s="1364">
        <v>607.90</v>
      </c>
      <c r="W208" s="1225">
        <v>607.50</v>
      </c>
      <c r="X208" s="1225">
        <v>625.70000000000005</v>
      </c>
      <c r="Y208" s="1225">
        <v>638.60</v>
      </c>
      <c r="Z208" s="1042">
        <f>AA208</f>
        <v>646.79999999999995</v>
      </c>
      <c r="AA208" s="1364">
        <v>646.79999999999995</v>
      </c>
      <c r="AB208" s="1225">
        <v>659</v>
      </c>
      <c r="AC208" s="1225">
        <v>678.90</v>
      </c>
      <c r="AD208" s="1225">
        <v>691.90</v>
      </c>
      <c r="AE208" s="1042">
        <f>AF208</f>
        <v>696.90</v>
      </c>
      <c r="AF208" s="1364">
        <v>696.90</v>
      </c>
      <c r="AG208" s="1225">
        <v>711.60</v>
      </c>
      <c r="AH208" s="1225">
        <v>734.20</v>
      </c>
      <c r="AI208" s="1225">
        <v>748.70</v>
      </c>
      <c r="AJ208" s="1042">
        <f>AK208</f>
        <v>751.40</v>
      </c>
      <c r="AK208" s="1364">
        <v>751.40</v>
      </c>
      <c r="AL208" s="1225">
        <v>759.70</v>
      </c>
      <c r="AM208" s="1225">
        <v>775.80</v>
      </c>
      <c r="AN208" s="1225">
        <v>803.90</v>
      </c>
      <c r="AO208" s="1042">
        <f>AP208</f>
        <v>822</v>
      </c>
      <c r="AP208" s="1364">
        <v>822</v>
      </c>
      <c r="AQ208" s="1225">
        <v>858.90</v>
      </c>
      <c r="AR208" s="1225">
        <v>916.60</v>
      </c>
      <c r="AS208" s="1225">
        <v>952.70</v>
      </c>
      <c r="AT208" s="1042">
        <f>AU208</f>
        <v>971.20</v>
      </c>
      <c r="AU208" s="1364">
        <v>971.20</v>
      </c>
      <c r="AV208" s="1225">
        <v>999.80</v>
      </c>
      <c r="AW208" s="1225">
        <v>1024.5999999999999</v>
      </c>
      <c r="AX208" s="1225">
        <v>1039.80</v>
      </c>
      <c r="AY208" s="1042">
        <f>AZ208</f>
        <v>1046.4000000000001</v>
      </c>
      <c r="AZ208" s="1364">
        <v>1046.4000000000001</v>
      </c>
      <c r="BA208" s="1225">
        <v>1071.20</v>
      </c>
      <c r="BB208" s="1225">
        <v>1101.0999999999999</v>
      </c>
      <c r="BC208" s="1225">
        <v>1110.30</v>
      </c>
      <c r="BD208" s="1042">
        <f>BE208</f>
        <v>1098.50</v>
      </c>
      <c r="BE208" s="1364">
        <v>1098.50</v>
      </c>
      <c r="BF208" s="1225">
        <v>1100.80</v>
      </c>
      <c r="BG208" s="1225">
        <v>1117.5999999999999</v>
      </c>
      <c r="BH208" s="1226">
        <v>1130.50</v>
      </c>
      <c r="BI208" s="1044">
        <f t="shared" si="496" ref="BI208:BR208">BI135</f>
        <v>1153.1100000000001</v>
      </c>
      <c r="BJ208" s="1350">
        <f t="shared" si="496"/>
        <v>1153.1100000000001</v>
      </c>
      <c r="BK208" s="1044">
        <f t="shared" si="496"/>
        <v>1176.1722000000002</v>
      </c>
      <c r="BL208" s="1044">
        <f t="shared" si="496"/>
        <v>1199.6956440000001</v>
      </c>
      <c r="BM208" s="1044">
        <f t="shared" si="496"/>
        <v>1223.6895568800001</v>
      </c>
      <c r="BN208" s="1044">
        <f t="shared" si="496"/>
        <v>1248.1633480176001</v>
      </c>
      <c r="BO208" s="1350">
        <f t="shared" si="496"/>
        <v>1248.1633480176001</v>
      </c>
      <c r="BP208" s="1351">
        <f t="shared" si="496"/>
        <v>1273.1266149779522</v>
      </c>
      <c r="BQ208" s="1351">
        <f t="shared" si="496"/>
        <v>1298.5891472775113</v>
      </c>
      <c r="BR208" s="1350">
        <f t="shared" si="496"/>
        <v>1324.5609302230616</v>
      </c>
      <c r="BS208" s="648"/>
    </row>
    <row r="209" spans="1:71" s="665" customFormat="1" ht="15" hidden="1" outlineLevel="1">
      <c r="A209" s="371" t="str">
        <f>A170</f>
        <v>Property Business Policies in Force - End of Period, 000s</v>
      </c>
      <c r="B209" s="308"/>
      <c r="C209" s="1364">
        <v>0</v>
      </c>
      <c r="D209" s="1364">
        <v>0</v>
      </c>
      <c r="E209" s="1364">
        <v>0</v>
      </c>
      <c r="F209" s="1364">
        <v>0</v>
      </c>
      <c r="G209" s="1364">
        <v>0</v>
      </c>
      <c r="H209" s="1225">
        <v>0</v>
      </c>
      <c r="I209" s="1225">
        <v>0</v>
      </c>
      <c r="J209" s="1225">
        <v>0</v>
      </c>
      <c r="K209" s="1047">
        <f>L209</f>
        <v>0</v>
      </c>
      <c r="L209" s="1364">
        <v>0</v>
      </c>
      <c r="M209" s="1225">
        <v>0</v>
      </c>
      <c r="N209" s="1225">
        <v>1054.70</v>
      </c>
      <c r="O209" s="1225">
        <v>1070.20</v>
      </c>
      <c r="P209" s="1042">
        <f>Q209</f>
        <v>1076.50</v>
      </c>
      <c r="Q209" s="1364">
        <v>1076.50</v>
      </c>
      <c r="R209" s="1225">
        <v>1078.50</v>
      </c>
      <c r="S209" s="1225">
        <v>1177</v>
      </c>
      <c r="T209" s="1225">
        <v>1184.70</v>
      </c>
      <c r="U209" s="1042">
        <f>V209</f>
        <v>1201.9000000000001</v>
      </c>
      <c r="V209" s="1364">
        <v>1201.9000000000001</v>
      </c>
      <c r="W209" s="1225">
        <v>1265.30</v>
      </c>
      <c r="X209" s="1225">
        <v>1311.10</v>
      </c>
      <c r="Y209" s="1225">
        <v>1375.60</v>
      </c>
      <c r="Z209" s="1042">
        <f>AA209</f>
        <v>1461.70</v>
      </c>
      <c r="AA209" s="1364">
        <v>1461.70</v>
      </c>
      <c r="AB209" s="1225">
        <v>1651</v>
      </c>
      <c r="AC209" s="1225">
        <v>1766.60</v>
      </c>
      <c r="AD209" s="1225">
        <v>1867</v>
      </c>
      <c r="AE209" s="1042">
        <f>AF209</f>
        <v>1936.50</v>
      </c>
      <c r="AF209" s="1364">
        <v>1936.50</v>
      </c>
      <c r="AG209" s="1225">
        <v>2002.30</v>
      </c>
      <c r="AH209" s="1225">
        <v>2071.60</v>
      </c>
      <c r="AI209" s="1225">
        <v>2144.3000000000002</v>
      </c>
      <c r="AJ209" s="1042">
        <f>AK209</f>
        <v>2202.10</v>
      </c>
      <c r="AK209" s="1364">
        <v>2202.10</v>
      </c>
      <c r="AL209" s="1225">
        <v>2264.10</v>
      </c>
      <c r="AM209" s="1225">
        <v>2336.10</v>
      </c>
      <c r="AN209" s="1225">
        <v>2421</v>
      </c>
      <c r="AO209" s="1042">
        <f>AP209</f>
        <v>2484.40</v>
      </c>
      <c r="AP209" s="1364">
        <v>2484.40</v>
      </c>
      <c r="AQ209" s="1225">
        <v>2566.3000000000002</v>
      </c>
      <c r="AR209" s="1225">
        <v>2655.50</v>
      </c>
      <c r="AS209" s="1225">
        <v>2735</v>
      </c>
      <c r="AT209" s="1042">
        <f>AU209</f>
        <v>2776.20</v>
      </c>
      <c r="AU209" s="1364">
        <v>2776.20</v>
      </c>
      <c r="AV209" s="1225">
        <v>2802.20</v>
      </c>
      <c r="AW209" s="1225">
        <v>2823</v>
      </c>
      <c r="AX209" s="1225">
        <v>2835.50</v>
      </c>
      <c r="AY209" s="1042">
        <f>AZ209</f>
        <v>2851.30</v>
      </c>
      <c r="AZ209" s="1364">
        <v>2851.30</v>
      </c>
      <c r="BA209" s="1225">
        <v>2912.60</v>
      </c>
      <c r="BB209" s="1225">
        <v>2974.30</v>
      </c>
      <c r="BC209" s="1225">
        <v>3025.20</v>
      </c>
      <c r="BD209" s="1042">
        <f>BE209</f>
        <v>3096.50</v>
      </c>
      <c r="BE209" s="1365">
        <v>3096.50</v>
      </c>
      <c r="BF209" s="1225">
        <v>3208.90</v>
      </c>
      <c r="BG209" s="1225">
        <v>3339.10</v>
      </c>
      <c r="BH209" s="1226">
        <v>3459.60</v>
      </c>
      <c r="BI209" s="1044">
        <f t="shared" si="497" ref="BI209:BR209">BI170</f>
        <v>3528.7919999999999</v>
      </c>
      <c r="BJ209" s="1350">
        <f t="shared" si="497"/>
        <v>3528.7919999999999</v>
      </c>
      <c r="BK209" s="1044">
        <f t="shared" si="497"/>
        <v>3599.3678399999999</v>
      </c>
      <c r="BL209" s="1044">
        <f t="shared" si="497"/>
        <v>3671.3551968000002</v>
      </c>
      <c r="BM209" s="1044">
        <f t="shared" si="497"/>
        <v>3744.7823007360003</v>
      </c>
      <c r="BN209" s="1044">
        <f t="shared" si="497"/>
        <v>3819.6779467507204</v>
      </c>
      <c r="BO209" s="1350">
        <f t="shared" si="497"/>
        <v>3819.6779467507204</v>
      </c>
      <c r="BP209" s="1351">
        <f t="shared" si="497"/>
        <v>3896.0715056857348</v>
      </c>
      <c r="BQ209" s="1351">
        <f t="shared" si="497"/>
        <v>3973.9929357994497</v>
      </c>
      <c r="BR209" s="1350">
        <f t="shared" si="497"/>
        <v>4053.4727945154386</v>
      </c>
      <c r="BS209" s="648"/>
    </row>
    <row r="210" spans="1:71" s="668" customFormat="1" ht="15" hidden="1" outlineLevel="1">
      <c r="A210" s="42" t="str">
        <f>A9</f>
        <v>Total Policies in Force - End of Period, 000s</v>
      </c>
      <c r="B210" s="389"/>
      <c r="C210" s="1356">
        <f t="shared" si="498" ref="C210:AT210">C207+C208+C209</f>
        <v>11453.399999999998</v>
      </c>
      <c r="D210" s="1355">
        <f t="shared" si="498"/>
        <v>12213.10</v>
      </c>
      <c r="E210" s="1355">
        <f t="shared" si="498"/>
        <v>12792.90</v>
      </c>
      <c r="F210" s="1355">
        <f t="shared" si="498"/>
        <v>13254.90</v>
      </c>
      <c r="G210" s="1355">
        <f t="shared" si="498"/>
        <v>13570.999999999998</v>
      </c>
      <c r="H210" s="1054">
        <f t="shared" si="498"/>
        <v>13788.20</v>
      </c>
      <c r="I210" s="1054">
        <f t="shared" si="498"/>
        <v>13877.399999999998</v>
      </c>
      <c r="J210" s="1054">
        <f t="shared" si="498"/>
        <v>13837.60</v>
      </c>
      <c r="K210" s="1054">
        <f t="shared" si="498"/>
        <v>13776.60</v>
      </c>
      <c r="L210" s="1355">
        <f t="shared" si="498"/>
        <v>13776.60</v>
      </c>
      <c r="M210" s="1052">
        <f t="shared" si="498"/>
        <v>14014.900000000001</v>
      </c>
      <c r="N210" s="1052">
        <f t="shared" si="498"/>
        <v>15219.300000000001</v>
      </c>
      <c r="O210" s="1052">
        <f t="shared" si="498"/>
        <v>15340.40</v>
      </c>
      <c r="P210" s="1052">
        <f t="shared" si="499" ref="P210">P207+P208+P209</f>
        <v>15396.999999999998</v>
      </c>
      <c r="Q210" s="1355">
        <f t="shared" si="498"/>
        <v>15396.999999999998</v>
      </c>
      <c r="R210" s="1052">
        <f t="shared" si="498"/>
        <v>15839.40</v>
      </c>
      <c r="S210" s="1052">
        <f t="shared" si="498"/>
        <v>16256.60</v>
      </c>
      <c r="T210" s="1052">
        <f t="shared" si="498"/>
        <v>16392.600000000002</v>
      </c>
      <c r="U210" s="1052">
        <f t="shared" si="500" ref="U210">U207+U208+U209</f>
        <v>16466.600000000002</v>
      </c>
      <c r="V210" s="1355">
        <f t="shared" si="498"/>
        <v>16466.600000000002</v>
      </c>
      <c r="W210" s="1052">
        <f t="shared" si="498"/>
        <v>16927.20</v>
      </c>
      <c r="X210" s="1052">
        <f t="shared" si="498"/>
        <v>17336</v>
      </c>
      <c r="Y210" s="1052">
        <f t="shared" si="498"/>
        <v>17815.20</v>
      </c>
      <c r="Z210" s="1052">
        <f t="shared" si="501" ref="Z210">Z207+Z208+Z209</f>
        <v>18184</v>
      </c>
      <c r="AA210" s="1355">
        <f t="shared" si="498"/>
        <v>18184</v>
      </c>
      <c r="AB210" s="1052">
        <f t="shared" si="498"/>
        <v>18890.900000000001</v>
      </c>
      <c r="AC210" s="1052">
        <f t="shared" si="498"/>
        <v>19591.199999999997</v>
      </c>
      <c r="AD210" s="1052">
        <f t="shared" si="498"/>
        <v>20102.900000000001</v>
      </c>
      <c r="AE210" s="1052">
        <f t="shared" si="502" ref="AE210">AE207+AE208+AE209</f>
        <v>20392.40</v>
      </c>
      <c r="AF210" s="1355">
        <f t="shared" si="498"/>
        <v>20392.40</v>
      </c>
      <c r="AG210" s="1052">
        <f t="shared" si="498"/>
        <v>21060.40</v>
      </c>
      <c r="AH210" s="1052">
        <f t="shared" si="498"/>
        <v>21628.099999999999</v>
      </c>
      <c r="AI210" s="1052">
        <f t="shared" si="498"/>
        <v>22080.40</v>
      </c>
      <c r="AJ210" s="1052">
        <f t="shared" si="503" ref="AJ210">AJ207+AJ208+AJ209</f>
        <v>22362.099999999999</v>
      </c>
      <c r="AK210" s="1355">
        <f t="shared" si="498"/>
        <v>22362.099999999999</v>
      </c>
      <c r="AL210" s="1052">
        <f t="shared" si="498"/>
        <v>22889.20</v>
      </c>
      <c r="AM210" s="1052">
        <f t="shared" si="498"/>
        <v>23772.499999999996</v>
      </c>
      <c r="AN210" s="1052">
        <f t="shared" si="498"/>
        <v>24432.100000000002</v>
      </c>
      <c r="AO210" s="1052">
        <f t="shared" si="504" ref="AO210">AO207+AO208+AO209</f>
        <v>24719.900000000001</v>
      </c>
      <c r="AP210" s="1355">
        <f t="shared" si="498"/>
        <v>24719.900000000001</v>
      </c>
      <c r="AQ210" s="1052">
        <f t="shared" si="498"/>
        <v>25654.200000000001</v>
      </c>
      <c r="AR210" s="1052">
        <f t="shared" si="498"/>
        <v>26379.299999999999</v>
      </c>
      <c r="AS210" s="1052">
        <f t="shared" si="498"/>
        <v>26556.80</v>
      </c>
      <c r="AT210" s="1052">
        <f t="shared" si="498"/>
        <v>26483.100000000002</v>
      </c>
      <c r="AU210" s="1355">
        <f t="shared" si="505" ref="AU210:AZ210">AU207+AU208+AU209</f>
        <v>26483.100000000002</v>
      </c>
      <c r="AV210" s="1052">
        <f t="shared" si="505"/>
        <v>26447.60</v>
      </c>
      <c r="AW210" s="1052">
        <f t="shared" si="505"/>
        <v>26509.099999999999</v>
      </c>
      <c r="AX210" s="1052">
        <f t="shared" si="505"/>
        <v>26857.399999999998</v>
      </c>
      <c r="AY210" s="1052">
        <f t="shared" si="505"/>
        <v>27353.100000000002</v>
      </c>
      <c r="AZ210" s="1355">
        <f t="shared" si="505"/>
        <v>27353.100000000002</v>
      </c>
      <c r="BA210" s="1052">
        <f t="shared" si="506" ref="BA210:BR210">BA207+BA208+BA209</f>
        <v>28789.50</v>
      </c>
      <c r="BB210" s="1052">
        <f t="shared" si="506"/>
        <v>29576.80</v>
      </c>
      <c r="BC210" s="1052">
        <f t="shared" si="506"/>
        <v>29609.299999999999</v>
      </c>
      <c r="BD210" s="1052">
        <f t="shared" si="506"/>
        <v>29689.50</v>
      </c>
      <c r="BE210" s="1320">
        <f t="shared" si="506"/>
        <v>29689.50</v>
      </c>
      <c r="BF210" s="1052">
        <f>BF207+BF208+BF209</f>
        <v>30833.700000000001</v>
      </c>
      <c r="BG210" s="1052">
        <f>BG207+BG208+BG209</f>
        <v>32310.099999999995</v>
      </c>
      <c r="BH210" s="1053">
        <f>BH207+BH208+BH209</f>
        <v>33868.599999999999</v>
      </c>
      <c r="BI210" s="1054">
        <f t="shared" si="506"/>
        <v>34545.972000000002</v>
      </c>
      <c r="BJ210" s="1356">
        <f t="shared" si="506"/>
        <v>34545.972000000002</v>
      </c>
      <c r="BK210" s="1054">
        <f t="shared" si="506"/>
        <v>35236.891440000007</v>
      </c>
      <c r="BL210" s="1054">
        <f t="shared" si="506"/>
        <v>35941.629268800003</v>
      </c>
      <c r="BM210" s="1054">
        <f t="shared" si="506"/>
        <v>36660.461854175999</v>
      </c>
      <c r="BN210" s="1054">
        <f t="shared" si="506"/>
        <v>37393.671091259523</v>
      </c>
      <c r="BO210" s="1356">
        <f t="shared" si="506"/>
        <v>37393.671091259523</v>
      </c>
      <c r="BP210" s="1356">
        <f t="shared" si="506"/>
        <v>38141.544513084722</v>
      </c>
      <c r="BQ210" s="1356">
        <f t="shared" si="506"/>
        <v>38904.375403346407</v>
      </c>
      <c r="BR210" s="1356">
        <f t="shared" si="506"/>
        <v>39682.462911413335</v>
      </c>
      <c r="BS210" s="648"/>
    </row>
    <row r="211" spans="1:71" s="669" customFormat="1" ht="15" hidden="1" outlineLevel="1">
      <c r="A211" s="22" t="str">
        <f>A10</f>
        <v>Q/Q Growth in Total Policies in Force - End of Period, %</v>
      </c>
      <c r="B211" s="390"/>
      <c r="C211" s="1325"/>
      <c r="D211" s="1325"/>
      <c r="E211" s="1325"/>
      <c r="F211" s="1325"/>
      <c r="G211" s="1325"/>
      <c r="H211" s="726"/>
      <c r="I211" s="726">
        <f>I210/H210-1</f>
        <v>0.0064692998360915688</v>
      </c>
      <c r="J211" s="726">
        <f>J210/I210-1</f>
        <v>-0.0028679723867582885</v>
      </c>
      <c r="K211" s="726">
        <f>K210/J210-1</f>
        <v>-0.004408278892293338</v>
      </c>
      <c r="L211" s="1325"/>
      <c r="M211" s="725">
        <f>M210/K210-1</f>
        <v>0.017297446394611171</v>
      </c>
      <c r="N211" s="725">
        <f>N210/M210-1</f>
        <v>0.085937109790294564</v>
      </c>
      <c r="O211" s="725">
        <f>O210/N210-1</f>
        <v>0.0079570019646106882</v>
      </c>
      <c r="P211" s="725">
        <f>P210/O210-1</f>
        <v>0.0036896039216707255</v>
      </c>
      <c r="Q211" s="1325"/>
      <c r="R211" s="725">
        <f>R210/P210-1</f>
        <v>0.028732870039618108</v>
      </c>
      <c r="S211" s="725">
        <f>S210/R210-1</f>
        <v>0.026339381542230145</v>
      </c>
      <c r="T211" s="725">
        <f>T210/S210-1</f>
        <v>0.0083658329540003962</v>
      </c>
      <c r="U211" s="725">
        <f>U210/T210-1</f>
        <v>0.004514232031526344</v>
      </c>
      <c r="V211" s="1325"/>
      <c r="W211" s="725">
        <f>W210/U210-1</f>
        <v>0.027971773165073488</v>
      </c>
      <c r="X211" s="725">
        <f>X210/W210-1</f>
        <v>0.024150479701309013</v>
      </c>
      <c r="Y211" s="725">
        <f>Y210/X210-1</f>
        <v>0.027641901245962108</v>
      </c>
      <c r="Z211" s="725">
        <f>Z210/Y210-1</f>
        <v>0.020701423503524996</v>
      </c>
      <c r="AA211" s="1325"/>
      <c r="AB211" s="725">
        <f>AB210/Z210-1</f>
        <v>0.038874835019797604</v>
      </c>
      <c r="AC211" s="725">
        <f>AC210/AB210-1</f>
        <v>0.037070758936842418</v>
      </c>
      <c r="AD211" s="725">
        <f>AD210/AC210-1</f>
        <v>0.026118869696598601</v>
      </c>
      <c r="AE211" s="725">
        <f>AE210/AD210-1</f>
        <v>0.014400907331777901</v>
      </c>
      <c r="AF211" s="1325"/>
      <c r="AG211" s="725">
        <f>AG210/AE210-1</f>
        <v>0.032757301739863687</v>
      </c>
      <c r="AH211" s="725">
        <f>AH210/AG210-1</f>
        <v>0.026955803308579274</v>
      </c>
      <c r="AI211" s="725">
        <f>AI210/AH210-1</f>
        <v>0.020912609059510645</v>
      </c>
      <c r="AJ211" s="725">
        <f>AJ210/AI210-1</f>
        <v>0.012757921052154675</v>
      </c>
      <c r="AK211" s="1325"/>
      <c r="AL211" s="725">
        <f>AL210/AJ210-1</f>
        <v>0.023571131512693411</v>
      </c>
      <c r="AM211" s="725">
        <f>AM210/AL210-1</f>
        <v>0.038590252171329498</v>
      </c>
      <c r="AN211" s="725">
        <f>AN210/AM210-1</f>
        <v>0.027746345567357444</v>
      </c>
      <c r="AO211" s="725">
        <f>AO210/AN210-1</f>
        <v>0.011779585054088715</v>
      </c>
      <c r="AP211" s="1325"/>
      <c r="AQ211" s="725">
        <f>AQ210/AO210-1</f>
        <v>0.037795460337622711</v>
      </c>
      <c r="AR211" s="725">
        <f>AR210/AQ210-1</f>
        <v>0.028264377762705406</v>
      </c>
      <c r="AS211" s="725">
        <f>AS210/AR210-1</f>
        <v>0.006728760808664358</v>
      </c>
      <c r="AT211" s="725">
        <f>AT210/AS210-1</f>
        <v>-0.0027751837570790805</v>
      </c>
      <c r="AU211" s="1325"/>
      <c r="AV211" s="725">
        <f>AV210/AT210-1</f>
        <v>-0.0013404775120738899</v>
      </c>
      <c r="AW211" s="725">
        <f>AW210/AV210-1</f>
        <v>0.0023253527730304757</v>
      </c>
      <c r="AX211" s="725">
        <f>AX210/AW210-1</f>
        <v>0.013138884383098626</v>
      </c>
      <c r="AY211" s="725">
        <f>AY210/AX210-1</f>
        <v>0.018456738180166576</v>
      </c>
      <c r="AZ211" s="1325"/>
      <c r="BA211" s="725">
        <f>BA210/AY210-1</f>
        <v>0.052513243471489446</v>
      </c>
      <c r="BB211" s="725">
        <f>BB210/BA210-1</f>
        <v>0.027346775734208517</v>
      </c>
      <c r="BC211" s="725">
        <f>BC210/BB210-1</f>
        <v>0.0010988342214168778</v>
      </c>
      <c r="BD211" s="725">
        <f>BD210/BC210-1</f>
        <v>0.0027086084439686964</v>
      </c>
      <c r="BE211" s="1325"/>
      <c r="BF211" s="725">
        <f>BF210/BD210-1</f>
        <v>0.038538877380892345</v>
      </c>
      <c r="BG211" s="725">
        <f>BG210/BF210-1</f>
        <v>0.047882673827662314</v>
      </c>
      <c r="BH211" s="809">
        <f>BH210/BG210-1</f>
        <v>0.048235691006836889</v>
      </c>
      <c r="BI211" s="726">
        <f>BI210/BH210-1</f>
        <v>0.020000000000000018</v>
      </c>
      <c r="BJ211" s="1325"/>
      <c r="BK211" s="726">
        <f>BK210/BI210-1</f>
        <v>0.02000000000000024</v>
      </c>
      <c r="BL211" s="726">
        <f>BL210/BK210-1</f>
        <v>0.019999999999999796</v>
      </c>
      <c r="BM211" s="726">
        <f>BM210/BL210-1</f>
        <v>0.019999999999999796</v>
      </c>
      <c r="BN211" s="726">
        <f>BN210/BM210-1</f>
        <v>0.020000000000000018</v>
      </c>
      <c r="BO211" s="1325"/>
      <c r="BP211" s="1325"/>
      <c r="BQ211" s="1325"/>
      <c r="BR211" s="1325"/>
      <c r="BS211" s="648"/>
    </row>
    <row r="212" spans="1:71" s="669" customFormat="1" ht="15" hidden="1" outlineLevel="1">
      <c r="A212" s="22" t="str">
        <f>A11</f>
        <v>Y/Y Growth in Total Policies in Force - End of Period, %</v>
      </c>
      <c r="B212" s="108"/>
      <c r="C212" s="1325"/>
      <c r="D212" s="1327">
        <f>D210/C210-1</f>
        <v>0.066329648837899935</v>
      </c>
      <c r="E212" s="1327">
        <f>E210/D210-1</f>
        <v>0.047473614397654851</v>
      </c>
      <c r="F212" s="1327">
        <f>F210/E210-1</f>
        <v>0.036113781863377437</v>
      </c>
      <c r="G212" s="1327">
        <f>G210/F210-1</f>
        <v>0.023847784592867516</v>
      </c>
      <c r="H212" s="726"/>
      <c r="I212" s="726"/>
      <c r="J212" s="726"/>
      <c r="K212" s="726"/>
      <c r="L212" s="1327">
        <f>L210/G210-1</f>
        <v>0.015149952103750808</v>
      </c>
      <c r="M212" s="725">
        <f t="shared" si="507" ref="M212:AU212">M210/H210-1</f>
        <v>0.016441594987018027</v>
      </c>
      <c r="N212" s="725">
        <f t="shared" si="507"/>
        <v>0.096696787582688737</v>
      </c>
      <c r="O212" s="725">
        <f t="shared" si="507"/>
        <v>0.10860264785801022</v>
      </c>
      <c r="P212" s="725">
        <f t="shared" si="507"/>
        <v>0.11761973200934905</v>
      </c>
      <c r="Q212" s="1327">
        <f t="shared" si="507"/>
        <v>0.11761973200934905</v>
      </c>
      <c r="R212" s="725">
        <f t="shared" si="507"/>
        <v>0.13018287679541052</v>
      </c>
      <c r="S212" s="725">
        <f t="shared" si="507"/>
        <v>0.068156879751368082</v>
      </c>
      <c r="T212" s="725">
        <f t="shared" si="507"/>
        <v>0.068590128027952391</v>
      </c>
      <c r="U212" s="725">
        <f t="shared" si="507"/>
        <v>0.069468078197051586</v>
      </c>
      <c r="V212" s="1327">
        <f t="shared" si="507"/>
        <v>0.069468078197051586</v>
      </c>
      <c r="W212" s="725">
        <f t="shared" si="507"/>
        <v>0.068676843819841737</v>
      </c>
      <c r="X212" s="725">
        <f t="shared" si="507"/>
        <v>0.066397647724616649</v>
      </c>
      <c r="Y212" s="725">
        <f t="shared" si="507"/>
        <v>0.086783060649317179</v>
      </c>
      <c r="Z212" s="725">
        <f t="shared" si="507"/>
        <v>0.10429596880959013</v>
      </c>
      <c r="AA212" s="1327">
        <f t="shared" si="507"/>
        <v>0.10429596880959013</v>
      </c>
      <c r="AB212" s="725">
        <f t="shared" si="507"/>
        <v>0.11600855427950285</v>
      </c>
      <c r="AC212" s="725">
        <f t="shared" si="507"/>
        <v>0.13008767881864314</v>
      </c>
      <c r="AD212" s="725">
        <f t="shared" si="507"/>
        <v>0.12841281602227306</v>
      </c>
      <c r="AE212" s="725">
        <f t="shared" si="507"/>
        <v>0.12144742630884298</v>
      </c>
      <c r="AF212" s="1327">
        <f t="shared" si="507"/>
        <v>0.12144742630884298</v>
      </c>
      <c r="AG212" s="725">
        <f t="shared" si="507"/>
        <v>0.11484365488145065</v>
      </c>
      <c r="AH212" s="725">
        <f t="shared" si="507"/>
        <v>0.10397014986320396</v>
      </c>
      <c r="AI212" s="725">
        <f t="shared" si="507"/>
        <v>0.098368892050400669</v>
      </c>
      <c r="AJ212" s="725">
        <f t="shared" si="507"/>
        <v>0.096589906043427876</v>
      </c>
      <c r="AK212" s="1327">
        <f t="shared" si="507"/>
        <v>0.096589906043427876</v>
      </c>
      <c r="AL212" s="725">
        <f t="shared" si="507"/>
        <v>0.08683595753167106</v>
      </c>
      <c r="AM212" s="725">
        <f t="shared" si="507"/>
        <v>0.099148792543034103</v>
      </c>
      <c r="AN212" s="725">
        <f t="shared" si="507"/>
        <v>0.10650622271335664</v>
      </c>
      <c r="AO212" s="725">
        <f t="shared" si="507"/>
        <v>0.10543732475930279</v>
      </c>
      <c r="AP212" s="1327">
        <f t="shared" si="507"/>
        <v>0.10543732475930279</v>
      </c>
      <c r="AQ212" s="725">
        <f t="shared" si="507"/>
        <v>0.12079932894115997</v>
      </c>
      <c r="AR212" s="725">
        <f t="shared" si="507"/>
        <v>0.10965611525922814</v>
      </c>
      <c r="AS212" s="725">
        <f t="shared" si="507"/>
        <v>0.086963462002856762</v>
      </c>
      <c r="AT212" s="725">
        <f t="shared" si="507"/>
        <v>0.071327149381672283</v>
      </c>
      <c r="AU212" s="1327">
        <f t="shared" si="507"/>
        <v>0.071327149381672283</v>
      </c>
      <c r="AV212" s="725">
        <f t="shared" si="508" ref="AV212:AZ212">AV210/AQ210-1</f>
        <v>0.030926709856475609</v>
      </c>
      <c r="AW212" s="725">
        <f t="shared" si="508"/>
        <v>0.0049205248054344786</v>
      </c>
      <c r="AX212" s="725">
        <f t="shared" si="508"/>
        <v>0.011319134835522382</v>
      </c>
      <c r="AY212" s="725">
        <f t="shared" si="508"/>
        <v>0.032851139028285958</v>
      </c>
      <c r="AZ212" s="1327">
        <f t="shared" si="508"/>
        <v>0.032851139028285958</v>
      </c>
      <c r="BA212" s="725">
        <f t="shared" si="509" ref="BA212:BO212">BA210/AV210-1</f>
        <v>0.088548677384715502</v>
      </c>
      <c r="BB212" s="725">
        <f t="shared" si="509"/>
        <v>0.11572252547238504</v>
      </c>
      <c r="BC212" s="725">
        <f t="shared" si="509"/>
        <v>0.10246338066975968</v>
      </c>
      <c r="BD212" s="725">
        <f t="shared" si="509"/>
        <v>0.085416278228061859</v>
      </c>
      <c r="BE212" s="1327">
        <f t="shared" si="509"/>
        <v>0.085416278228061859</v>
      </c>
      <c r="BF212" s="725">
        <f>BF210/BA210-1</f>
        <v>0.071005053925910611</v>
      </c>
      <c r="BG212" s="725">
        <f>BG210/BB210-1</f>
        <v>0.0924136485353384</v>
      </c>
      <c r="BH212" s="809">
        <f>BH210/BC210-1</f>
        <v>0.14385007413211381</v>
      </c>
      <c r="BI212" s="98">
        <f t="shared" si="509"/>
        <v>0.16357540544637006</v>
      </c>
      <c r="BJ212" s="1326">
        <f t="shared" si="509"/>
        <v>0.16357540544637006</v>
      </c>
      <c r="BK212" s="98">
        <f t="shared" si="509"/>
        <v>0.14280451064906274</v>
      </c>
      <c r="BL212" s="98">
        <f t="shared" si="509"/>
        <v>0.11239610118198362</v>
      </c>
      <c r="BM212" s="98">
        <f t="shared" si="509"/>
        <v>0.082432159999999977</v>
      </c>
      <c r="BN212" s="98">
        <f t="shared" si="509"/>
        <v>0.082432159999999977</v>
      </c>
      <c r="BO212" s="1326">
        <f t="shared" si="509"/>
        <v>0.082432159999999977</v>
      </c>
      <c r="BP212" s="1325">
        <f>BP210/BO210-1</f>
        <v>0.02000000000000024</v>
      </c>
      <c r="BQ212" s="1325">
        <f>BQ210/BP210-1</f>
        <v>0.019999999999999796</v>
      </c>
      <c r="BR212" s="1326">
        <f>BR210/BQ210-1</f>
        <v>0.020000000000000018</v>
      </c>
      <c r="BS212" s="648"/>
    </row>
    <row r="213" spans="1:71" s="665" customFormat="1" ht="15" hidden="1" outlineLevel="1">
      <c r="A213" s="999"/>
      <c r="B213" s="308"/>
      <c r="C213" s="1351"/>
      <c r="D213" s="1351"/>
      <c r="E213" s="1351"/>
      <c r="F213" s="1351"/>
      <c r="G213" s="1351"/>
      <c r="H213" s="1047"/>
      <c r="I213" s="1047"/>
      <c r="J213" s="1047"/>
      <c r="K213" s="1047"/>
      <c r="L213" s="1351"/>
      <c r="M213" s="1047"/>
      <c r="N213" s="1047"/>
      <c r="O213" s="1047"/>
      <c r="P213" s="1047"/>
      <c r="Q213" s="1351"/>
      <c r="R213" s="1047"/>
      <c r="S213" s="1047"/>
      <c r="T213" s="1047"/>
      <c r="U213" s="1047"/>
      <c r="V213" s="1351"/>
      <c r="W213" s="1047"/>
      <c r="X213" s="1047"/>
      <c r="Y213" s="1047"/>
      <c r="Z213" s="1047"/>
      <c r="AA213" s="1351"/>
      <c r="AB213" s="1047"/>
      <c r="AC213" s="1047"/>
      <c r="AD213" s="1047"/>
      <c r="AE213" s="1047"/>
      <c r="AF213" s="1351"/>
      <c r="AG213" s="1047"/>
      <c r="AH213" s="1047"/>
      <c r="AI213" s="1047"/>
      <c r="AJ213" s="1047"/>
      <c r="AK213" s="1351"/>
      <c r="AL213" s="1047"/>
      <c r="AM213" s="1047"/>
      <c r="AN213" s="1047"/>
      <c r="AO213" s="1047"/>
      <c r="AP213" s="1351"/>
      <c r="AQ213" s="1047"/>
      <c r="AR213" s="1047"/>
      <c r="AS213" s="1047"/>
      <c r="AT213" s="1047"/>
      <c r="AU213" s="1351"/>
      <c r="AV213" s="1047"/>
      <c r="AW213" s="1047"/>
      <c r="AX213" s="1047"/>
      <c r="AY213" s="1047"/>
      <c r="AZ213" s="1351"/>
      <c r="BA213" s="1047"/>
      <c r="BB213" s="1047"/>
      <c r="BC213" s="1047"/>
      <c r="BD213" s="1047"/>
      <c r="BE213" s="1351"/>
      <c r="BF213" s="1047"/>
      <c r="BG213" s="1047"/>
      <c r="BH213" s="1048"/>
      <c r="BI213" s="1044"/>
      <c r="BJ213" s="1350"/>
      <c r="BK213" s="1044"/>
      <c r="BL213" s="1044"/>
      <c r="BM213" s="1044"/>
      <c r="BN213" s="1044"/>
      <c r="BO213" s="1350"/>
      <c r="BP213" s="1351"/>
      <c r="BQ213" s="1351"/>
      <c r="BR213" s="1350"/>
      <c r="BS213" s="648"/>
    </row>
    <row r="214" spans="1:71" s="665" customFormat="1" ht="15" hidden="1" outlineLevel="1">
      <c r="A214" s="307" t="str">
        <f>A50</f>
        <v>Agency Auto - Net Written Premiums, mm</v>
      </c>
      <c r="B214" s="308"/>
      <c r="C214" s="1364">
        <v>7391.20</v>
      </c>
      <c r="D214" s="1364">
        <v>7490.20</v>
      </c>
      <c r="E214" s="1364">
        <v>7705.80</v>
      </c>
      <c r="F214" s="1364">
        <v>8247</v>
      </c>
      <c r="G214" s="1364">
        <v>8702.60</v>
      </c>
      <c r="H214" s="1225">
        <v>2292.60</v>
      </c>
      <c r="I214" s="1225">
        <v>2291</v>
      </c>
      <c r="J214" s="1225">
        <v>2284.50</v>
      </c>
      <c r="K214" s="1047">
        <f>L214-SUM(H214,I214,J214)</f>
        <v>2234.6999999999989</v>
      </c>
      <c r="L214" s="1364">
        <v>9102.7999999999993</v>
      </c>
      <c r="M214" s="1225">
        <v>2356.10</v>
      </c>
      <c r="N214" s="1225">
        <v>2345.6999999999998</v>
      </c>
      <c r="O214" s="1225">
        <v>2382.1999999999998</v>
      </c>
      <c r="P214" s="1047">
        <f>Q214-SUM(M214,N214,O214)</f>
        <v>2146.1000000000013</v>
      </c>
      <c r="Q214" s="1364">
        <v>9230.10</v>
      </c>
      <c r="R214" s="1225">
        <v>2495.60</v>
      </c>
      <c r="S214" s="1225">
        <v>2542.50</v>
      </c>
      <c r="T214" s="1225">
        <v>2590.3000000000002</v>
      </c>
      <c r="U214" s="1047">
        <f>V214-SUM(R214,S214,T214)</f>
        <v>2479.1999999999998</v>
      </c>
      <c r="V214" s="1364">
        <v>10107.60</v>
      </c>
      <c r="W214" s="1225">
        <v>2820.70</v>
      </c>
      <c r="X214" s="1225">
        <v>2916.40</v>
      </c>
      <c r="Y214" s="1225">
        <v>3028.80</v>
      </c>
      <c r="Z214" s="1047">
        <f>AA214-SUM(W214,X214,Y214)</f>
        <v>2919.4999999999982</v>
      </c>
      <c r="AA214" s="1364">
        <v>11685.40</v>
      </c>
      <c r="AB214" s="1225">
        <v>3335.30</v>
      </c>
      <c r="AC214" s="1225">
        <v>3384.60</v>
      </c>
      <c r="AD214" s="1225">
        <v>3504.30</v>
      </c>
      <c r="AE214" s="1047">
        <f>AF214-SUM(AB214,AC214,AD214)</f>
        <v>3338.0999999999985</v>
      </c>
      <c r="AF214" s="1364">
        <v>13562.299999999999</v>
      </c>
      <c r="AG214" s="1225">
        <v>3766.40</v>
      </c>
      <c r="AH214" s="1225">
        <v>3775.50</v>
      </c>
      <c r="AI214" s="1225">
        <v>3876.30</v>
      </c>
      <c r="AJ214" s="1047">
        <f>AK214-SUM(AG214,AH214,AI214)</f>
        <v>3918.2999999999993</v>
      </c>
      <c r="AK214" s="1364">
        <v>15336.50</v>
      </c>
      <c r="AL214" s="1225">
        <v>4026.50</v>
      </c>
      <c r="AM214" s="1225">
        <v>4104.70</v>
      </c>
      <c r="AN214" s="1225">
        <v>4251.70</v>
      </c>
      <c r="AO214" s="1047">
        <f>AP214-SUM(AL214,AM214,AN214)</f>
        <v>3750.8999999999996</v>
      </c>
      <c r="AP214" s="1364">
        <v>16133.80</v>
      </c>
      <c r="AQ214" s="1225">
        <v>4458.70</v>
      </c>
      <c r="AR214" s="1225">
        <v>4326.0999999999995</v>
      </c>
      <c r="AS214" s="1225">
        <v>4472.20</v>
      </c>
      <c r="AT214" s="1047">
        <f>AU214-SUM(AQ214,AR214,AS214)</f>
        <v>4000.9000000000015</v>
      </c>
      <c r="AU214" s="1364">
        <v>17257.900000000001</v>
      </c>
      <c r="AV214" s="1225">
        <v>4516.3999999999996</v>
      </c>
      <c r="AW214" s="1047">
        <f>9010-AV214</f>
        <v>4493.6000000000004</v>
      </c>
      <c r="AX214" s="1225">
        <v>4744.8999999999996</v>
      </c>
      <c r="AY214" s="1047">
        <f>AZ214-SUM(AV214,AW214,AX214)</f>
        <v>4579.3000000000011</v>
      </c>
      <c r="AZ214" s="1364">
        <v>18334.20</v>
      </c>
      <c r="BA214" s="1225">
        <v>5414.40</v>
      </c>
      <c r="BB214" s="1225">
        <v>5533.70</v>
      </c>
      <c r="BC214" s="1225">
        <v>5656.30</v>
      </c>
      <c r="BD214" s="1047">
        <f>BE214-SUM(BA214,BB214,BC214)</f>
        <v>5673.5000000000036</v>
      </c>
      <c r="BE214" s="1364">
        <v>22277.900000000001</v>
      </c>
      <c r="BF214" s="1225">
        <v>6398.80</v>
      </c>
      <c r="BG214" s="1047">
        <f>13132.7-BF214</f>
        <v>6733.90</v>
      </c>
      <c r="BH214" s="1048">
        <f>20237.3-BG214-BF214</f>
        <v>7104.5999999999976</v>
      </c>
      <c r="BI214" s="1044">
        <f t="shared" si="510" ref="BI214:BR214">BI50</f>
        <v>6509.2119953292449</v>
      </c>
      <c r="BJ214" s="1350">
        <f t="shared" si="510"/>
        <v>26746.511995329245</v>
      </c>
      <c r="BK214" s="1044">
        <f t="shared" si="510"/>
        <v>7352.6421550208797</v>
      </c>
      <c r="BL214" s="1044">
        <f t="shared" si="510"/>
        <v>7711.0510938322523</v>
      </c>
      <c r="BM214" s="1044">
        <f t="shared" si="510"/>
        <v>7955.8066900706208</v>
      </c>
      <c r="BN214" s="1044">
        <f t="shared" si="510"/>
        <v>7206.3855861063021</v>
      </c>
      <c r="BO214" s="1350">
        <f t="shared" si="510"/>
        <v>30225.885525030055</v>
      </c>
      <c r="BP214" s="1351">
        <f t="shared" si="510"/>
        <v>32381.054105275605</v>
      </c>
      <c r="BQ214" s="1351">
        <f t="shared" si="510"/>
        <v>33689.248691128749</v>
      </c>
      <c r="BR214" s="1350">
        <f t="shared" si="510"/>
        <v>35050.294338250344</v>
      </c>
      <c r="BS214" s="648"/>
    </row>
    <row r="215" spans="1:71" s="665" customFormat="1" ht="15" hidden="1" outlineLevel="1">
      <c r="A215" s="309" t="str">
        <f>A79</f>
        <v>Direct Auto - Net Written Premiums, mm</v>
      </c>
      <c r="B215" s="260"/>
      <c r="C215" s="1365">
        <v>5061.8999999999996</v>
      </c>
      <c r="D215" s="1365">
        <v>5534.20</v>
      </c>
      <c r="E215" s="1365">
        <v>5906.40</v>
      </c>
      <c r="F215" s="1365">
        <v>6389.80</v>
      </c>
      <c r="G215" s="1365">
        <v>6866.60</v>
      </c>
      <c r="H215" s="1228">
        <v>1926.60</v>
      </c>
      <c r="I215" s="1228">
        <v>1828.90</v>
      </c>
      <c r="J215" s="1228">
        <v>1984.40</v>
      </c>
      <c r="K215" s="1029">
        <f>L215-SUM(H215,I215,J215)</f>
        <v>1916.50</v>
      </c>
      <c r="L215" s="1365">
        <v>7656.40</v>
      </c>
      <c r="M215" s="1228">
        <v>2179.60</v>
      </c>
      <c r="N215" s="1228">
        <v>2049.40</v>
      </c>
      <c r="O215" s="1228">
        <v>2252.90</v>
      </c>
      <c r="P215" s="1029">
        <f>Q215-SUM(M215,N215,O215)</f>
        <v>1991.6000000000004</v>
      </c>
      <c r="Q215" s="1365">
        <v>8473.50</v>
      </c>
      <c r="R215" s="1228">
        <v>2490.1999999999998</v>
      </c>
      <c r="S215" s="1228">
        <v>2365.60</v>
      </c>
      <c r="T215" s="1228">
        <v>2545.8000000000002</v>
      </c>
      <c r="U215" s="1029">
        <f>V215-SUM(R215,S215,T215)</f>
        <v>2310.3000000000002</v>
      </c>
      <c r="V215" s="1365">
        <v>9711.90</v>
      </c>
      <c r="W215" s="1228">
        <v>2792.60</v>
      </c>
      <c r="X215" s="1228">
        <v>2681.70</v>
      </c>
      <c r="Y215" s="1228">
        <v>2987.20</v>
      </c>
      <c r="Z215" s="1029">
        <f>AA215-SUM(W215,X215,Y215)</f>
        <v>2781.50</v>
      </c>
      <c r="AA215" s="1365">
        <v>11243</v>
      </c>
      <c r="AB215" s="1228">
        <v>3409.50</v>
      </c>
      <c r="AC215" s="1228">
        <v>3268.30</v>
      </c>
      <c r="AD215" s="1228">
        <v>3618.20</v>
      </c>
      <c r="AE215" s="1029">
        <f>AF215-SUM(AB215,AC215,AD215)</f>
        <v>3299.2999999999993</v>
      </c>
      <c r="AF215" s="1365">
        <v>13595.299999999999</v>
      </c>
      <c r="AG215" s="1228">
        <v>3956.10</v>
      </c>
      <c r="AH215" s="1228">
        <v>3709.80</v>
      </c>
      <c r="AI215" s="1228">
        <v>4080.20</v>
      </c>
      <c r="AJ215" s="1029">
        <f>AK215-SUM(AG215,AH215,AI215)</f>
        <v>4019.6000000000022</v>
      </c>
      <c r="AK215" s="1365">
        <v>15765.700000000001</v>
      </c>
      <c r="AL215" s="1228">
        <v>4297.3999999999996</v>
      </c>
      <c r="AM215" s="1228">
        <v>4326.8000000000011</v>
      </c>
      <c r="AN215" s="1228">
        <v>4633</v>
      </c>
      <c r="AO215" s="1029">
        <f>AP215-SUM(AL215,AM215,AN215)</f>
        <v>3951.5999999999985</v>
      </c>
      <c r="AP215" s="1365">
        <v>17208.80</v>
      </c>
      <c r="AQ215" s="1228">
        <v>5002.70</v>
      </c>
      <c r="AR215" s="1228">
        <v>4574.0999999999995</v>
      </c>
      <c r="AS215" s="1228">
        <v>4994.8999999999996</v>
      </c>
      <c r="AT215" s="1029">
        <f>AU215-SUM(AQ215,AR215,AS215)</f>
        <v>4339.2000000000025</v>
      </c>
      <c r="AU215" s="1365">
        <v>18910.900000000001</v>
      </c>
      <c r="AV215" s="1228">
        <v>5202.50</v>
      </c>
      <c r="AW215" s="1029">
        <f>10181.4-AV215</f>
        <v>4978.8999999999996</v>
      </c>
      <c r="AX215" s="1228">
        <v>5584.10</v>
      </c>
      <c r="AY215" s="1029">
        <f>AZ215-SUM(AV215,AW215,AX215)</f>
        <v>5178.7999999999993</v>
      </c>
      <c r="AZ215" s="1365">
        <v>20944.299999999999</v>
      </c>
      <c r="BA215" s="1228">
        <v>6698.80</v>
      </c>
      <c r="BB215" s="1228">
        <v>6066.40</v>
      </c>
      <c r="BC215" s="1228">
        <v>6997.30</v>
      </c>
      <c r="BD215" s="1029">
        <f>BE215-SUM(BA215,BB215,BC215)</f>
        <v>6540.5999999999985</v>
      </c>
      <c r="BE215" s="1365">
        <v>26303.099999999999</v>
      </c>
      <c r="BF215" s="1228">
        <v>8082.10</v>
      </c>
      <c r="BG215" s="1029">
        <f>15910.2-BF215</f>
        <v>7828.10</v>
      </c>
      <c r="BH215" s="1050">
        <f>25095.2-BG215-BF215</f>
        <v>9184.9999999999982</v>
      </c>
      <c r="BI215" s="1029">
        <f t="shared" si="511" ref="BI215:BR215">BI79</f>
        <v>8125.4376385494061</v>
      </c>
      <c r="BJ215" s="1324">
        <f t="shared" si="511"/>
        <v>33220.6376385494</v>
      </c>
      <c r="BK215" s="1029">
        <f t="shared" si="511"/>
        <v>9917.7257904634207</v>
      </c>
      <c r="BL215" s="1029">
        <f t="shared" si="511"/>
        <v>9403.036713305477</v>
      </c>
      <c r="BM215" s="1029">
        <f t="shared" si="511"/>
        <v>10651.178319412535</v>
      </c>
      <c r="BN215" s="1029">
        <f t="shared" si="511"/>
        <v>9260.298125741645</v>
      </c>
      <c r="BO215" s="1324">
        <f t="shared" si="511"/>
        <v>39232.238948923077</v>
      </c>
      <c r="BP215" s="1324">
        <f t="shared" si="511"/>
        <v>42029.579283100778</v>
      </c>
      <c r="BQ215" s="1324">
        <f t="shared" si="511"/>
        <v>43727.574286138057</v>
      </c>
      <c r="BR215" s="1324">
        <f t="shared" si="511"/>
        <v>45494.168287298024</v>
      </c>
      <c r="BS215" s="648"/>
    </row>
    <row r="216" spans="1:71" s="665" customFormat="1" ht="15" hidden="1" outlineLevel="1">
      <c r="A216" s="999" t="s">
        <v>542</v>
      </c>
      <c r="B216" s="308"/>
      <c r="C216" s="1351">
        <f t="shared" si="512" ref="C216:AM216">SUM(C214:C215)</f>
        <v>12453.099999999999</v>
      </c>
      <c r="D216" s="1351">
        <f t="shared" si="512"/>
        <v>13024.40</v>
      </c>
      <c r="E216" s="1351">
        <f t="shared" si="512"/>
        <v>13612.20</v>
      </c>
      <c r="F216" s="1351">
        <f t="shared" si="512"/>
        <v>14636.80</v>
      </c>
      <c r="G216" s="1351">
        <f t="shared" si="512"/>
        <v>15569.20</v>
      </c>
      <c r="H216" s="1047">
        <f t="shared" si="512"/>
        <v>4219.20</v>
      </c>
      <c r="I216" s="1047">
        <f t="shared" si="512"/>
        <v>4119.8999999999996</v>
      </c>
      <c r="J216" s="1047">
        <f t="shared" si="512"/>
        <v>4268.8999999999996</v>
      </c>
      <c r="K216" s="1047">
        <f t="shared" si="512"/>
        <v>4151.1999999999989</v>
      </c>
      <c r="L216" s="1351">
        <f t="shared" si="512"/>
        <v>16759.199999999997</v>
      </c>
      <c r="M216" s="1047">
        <f t="shared" si="512"/>
        <v>4535.70</v>
      </c>
      <c r="N216" s="1047">
        <f t="shared" si="512"/>
        <v>4395.1000000000004</v>
      </c>
      <c r="O216" s="1047">
        <f t="shared" si="512"/>
        <v>4635.1000000000004</v>
      </c>
      <c r="P216" s="1047">
        <f t="shared" si="512"/>
        <v>4137.7000000000016</v>
      </c>
      <c r="Q216" s="1351">
        <f t="shared" si="512"/>
        <v>17703.60</v>
      </c>
      <c r="R216" s="1047">
        <f t="shared" si="512"/>
        <v>4985.7999999999993</v>
      </c>
      <c r="S216" s="1047">
        <f t="shared" si="512"/>
        <v>4908.1000000000004</v>
      </c>
      <c r="T216" s="1047">
        <f t="shared" si="512"/>
        <v>5136.1000000000004</v>
      </c>
      <c r="U216" s="1047">
        <f t="shared" si="512"/>
        <v>4789.50</v>
      </c>
      <c r="V216" s="1351">
        <f t="shared" si="512"/>
        <v>19819.50</v>
      </c>
      <c r="W216" s="1047">
        <f t="shared" si="512"/>
        <v>5613.2999999999993</v>
      </c>
      <c r="X216" s="1047">
        <f t="shared" si="512"/>
        <v>5598.10</v>
      </c>
      <c r="Y216" s="1047">
        <f t="shared" si="512"/>
        <v>6016</v>
      </c>
      <c r="Z216" s="1047">
        <f t="shared" si="512"/>
        <v>5700.9999999999982</v>
      </c>
      <c r="AA216" s="1351">
        <f t="shared" si="512"/>
        <v>22928.40</v>
      </c>
      <c r="AB216" s="1047">
        <f t="shared" si="512"/>
        <v>6744.80</v>
      </c>
      <c r="AC216" s="1047">
        <f t="shared" si="512"/>
        <v>6652.90</v>
      </c>
      <c r="AD216" s="1047">
        <f t="shared" si="512"/>
        <v>7122.50</v>
      </c>
      <c r="AE216" s="1047">
        <f t="shared" si="512"/>
        <v>6637.3999999999978</v>
      </c>
      <c r="AF216" s="1351">
        <f t="shared" si="512"/>
        <v>27157.60</v>
      </c>
      <c r="AG216" s="1047">
        <f t="shared" si="512"/>
        <v>7722.50</v>
      </c>
      <c r="AH216" s="1047">
        <f t="shared" si="512"/>
        <v>7485.30</v>
      </c>
      <c r="AI216" s="1047">
        <f t="shared" si="512"/>
        <v>7956.50</v>
      </c>
      <c r="AJ216" s="1047">
        <f t="shared" si="512"/>
        <v>7937.9000000000015</v>
      </c>
      <c r="AK216" s="1351">
        <f t="shared" si="512"/>
        <v>31102.200000000001</v>
      </c>
      <c r="AL216" s="1047">
        <f t="shared" si="512"/>
        <v>8323.90</v>
      </c>
      <c r="AM216" s="1047">
        <f t="shared" si="512"/>
        <v>8431.50</v>
      </c>
      <c r="AN216" s="1047">
        <f t="shared" si="513" ref="AN216:AU216">SUM(AN214:AN215)</f>
        <v>8884.7000000000007</v>
      </c>
      <c r="AO216" s="1047">
        <f t="shared" si="513"/>
        <v>7702.4999999999982</v>
      </c>
      <c r="AP216" s="1351">
        <f t="shared" si="513"/>
        <v>33342.599999999999</v>
      </c>
      <c r="AQ216" s="1047">
        <f t="shared" si="513"/>
        <v>9461.40</v>
      </c>
      <c r="AR216" s="1047">
        <f t="shared" si="513"/>
        <v>8900.1999999999989</v>
      </c>
      <c r="AS216" s="1047">
        <f t="shared" si="513"/>
        <v>9467.0999999999985</v>
      </c>
      <c r="AT216" s="1047">
        <f t="shared" si="513"/>
        <v>8340.100000000004</v>
      </c>
      <c r="AU216" s="1351">
        <f t="shared" si="513"/>
        <v>36168.800000000003</v>
      </c>
      <c r="AV216" s="1047">
        <f t="shared" si="514" ref="AV216:AZ216">SUM(AV214:AV215)</f>
        <v>9718.90</v>
      </c>
      <c r="AW216" s="1047">
        <f t="shared" si="514"/>
        <v>9472.50</v>
      </c>
      <c r="AX216" s="1047">
        <f t="shared" si="514"/>
        <v>10329</v>
      </c>
      <c r="AY216" s="1047">
        <f t="shared" si="514"/>
        <v>9758.10</v>
      </c>
      <c r="AZ216" s="1351">
        <f t="shared" si="514"/>
        <v>39278.50</v>
      </c>
      <c r="BA216" s="1047">
        <f t="shared" si="515" ref="BA216:BR216">SUM(BA214:BA215)</f>
        <v>12113.20</v>
      </c>
      <c r="BB216" s="1047">
        <f t="shared" si="515"/>
        <v>11600.099999999999</v>
      </c>
      <c r="BC216" s="1047">
        <f t="shared" si="515"/>
        <v>12653.60</v>
      </c>
      <c r="BD216" s="1047">
        <f t="shared" si="515"/>
        <v>12214.100000000002</v>
      </c>
      <c r="BE216" s="1351">
        <f t="shared" si="515"/>
        <v>48581</v>
      </c>
      <c r="BF216" s="1047">
        <f>SUM(BF214:BF215)</f>
        <v>14480.900000000001</v>
      </c>
      <c r="BG216" s="1047">
        <f>SUM(BG214:BG215)</f>
        <v>14562</v>
      </c>
      <c r="BH216" s="1048">
        <f>SUM(BH214:BH215)</f>
        <v>16289.599999999995</v>
      </c>
      <c r="BI216" s="1044">
        <f t="shared" si="515"/>
        <v>14634.649633878651</v>
      </c>
      <c r="BJ216" s="1350">
        <f t="shared" si="515"/>
        <v>59967.149633878646</v>
      </c>
      <c r="BK216" s="1044">
        <f t="shared" si="515"/>
        <v>17270.3679454843</v>
      </c>
      <c r="BL216" s="1044">
        <f t="shared" si="515"/>
        <v>17114.08780713773</v>
      </c>
      <c r="BM216" s="1044">
        <f t="shared" si="515"/>
        <v>18606.985009483156</v>
      </c>
      <c r="BN216" s="1044">
        <f t="shared" si="515"/>
        <v>16466.683711847945</v>
      </c>
      <c r="BO216" s="1350">
        <f t="shared" si="515"/>
        <v>69458.124473953125</v>
      </c>
      <c r="BP216" s="1351">
        <f t="shared" si="515"/>
        <v>74410.633388376387</v>
      </c>
      <c r="BQ216" s="1351">
        <f t="shared" si="515"/>
        <v>77416.822977266798</v>
      </c>
      <c r="BR216" s="1350">
        <f t="shared" si="515"/>
        <v>80544.46262554836</v>
      </c>
      <c r="BS216" s="648"/>
    </row>
    <row r="217" spans="1:71" s="665" customFormat="1" ht="15" hidden="1" outlineLevel="1">
      <c r="A217" s="371" t="str">
        <f>A143</f>
        <v>Commercial Lines - Net Written Premiums, mm</v>
      </c>
      <c r="B217" s="308"/>
      <c r="C217" s="1364">
        <v>1533.90</v>
      </c>
      <c r="D217" s="1364">
        <v>1449.50</v>
      </c>
      <c r="E217" s="1364">
        <v>1534.30</v>
      </c>
      <c r="F217" s="1364">
        <v>1735.90</v>
      </c>
      <c r="G217" s="1364">
        <v>1770.50</v>
      </c>
      <c r="H217" s="1225">
        <v>461.80</v>
      </c>
      <c r="I217" s="1225">
        <v>507.80</v>
      </c>
      <c r="J217" s="1225">
        <v>463.40</v>
      </c>
      <c r="K217" s="1042">
        <f>L217-SUM(H217,I217,J217)</f>
        <v>462.40000000000009</v>
      </c>
      <c r="L217" s="1364">
        <v>1895.40</v>
      </c>
      <c r="M217" s="1225">
        <v>531.10</v>
      </c>
      <c r="N217" s="1225">
        <v>578.70000000000005</v>
      </c>
      <c r="O217" s="1225">
        <v>553.90</v>
      </c>
      <c r="P217" s="1042">
        <f>Q217-SUM(M217,N217,O217)</f>
        <v>507.49999999999955</v>
      </c>
      <c r="Q217" s="1364">
        <v>2171.1999999999998</v>
      </c>
      <c r="R217" s="1225">
        <v>661.50</v>
      </c>
      <c r="S217" s="1225">
        <v>724.10</v>
      </c>
      <c r="T217" s="1225">
        <v>669.90</v>
      </c>
      <c r="U217" s="1042">
        <f>V217-SUM(R217,S217,T217)</f>
        <v>542.80000000000018</v>
      </c>
      <c r="V217" s="1364">
        <v>2598.3000000000002</v>
      </c>
      <c r="W217" s="1225">
        <v>660.90</v>
      </c>
      <c r="X217" s="1225">
        <v>857.10</v>
      </c>
      <c r="Y217" s="1225">
        <v>825.70</v>
      </c>
      <c r="Z217" s="1042">
        <f>AA217-SUM(W217,X217,Y217)</f>
        <v>769</v>
      </c>
      <c r="AA217" s="1364">
        <v>3112.70</v>
      </c>
      <c r="AB217" s="1225">
        <v>926.90</v>
      </c>
      <c r="AC217" s="1225">
        <v>1045.20</v>
      </c>
      <c r="AD217" s="1225">
        <v>1083.70</v>
      </c>
      <c r="AE217" s="1042">
        <f>AF217-SUM(AB217,AC217,AD217)</f>
        <v>940.59999999999991</v>
      </c>
      <c r="AF217" s="1364">
        <v>3996.40</v>
      </c>
      <c r="AG217" s="1225">
        <v>1165.20</v>
      </c>
      <c r="AH217" s="1225">
        <v>1182.70</v>
      </c>
      <c r="AI217" s="1225">
        <v>1204.5999999999999</v>
      </c>
      <c r="AJ217" s="1042">
        <f>AK217-SUM(AG217,AH217,AI217)</f>
        <v>1239.3000000000002</v>
      </c>
      <c r="AK217" s="1364">
        <v>4791.80</v>
      </c>
      <c r="AL217" s="1225">
        <v>1144.0999999999999</v>
      </c>
      <c r="AM217" s="1225">
        <v>1195.0999999999999</v>
      </c>
      <c r="AN217" s="1225">
        <v>1609.90</v>
      </c>
      <c r="AO217" s="1042">
        <f>AP217-SUM(AL217,AM217,AN217)</f>
        <v>1366.2000000000003</v>
      </c>
      <c r="AP217" s="1364">
        <v>5315.30</v>
      </c>
      <c r="AQ217" s="1225">
        <v>1794.10</v>
      </c>
      <c r="AR217" s="1225">
        <v>1986.3000000000002</v>
      </c>
      <c r="AS217" s="1225">
        <v>2374.10</v>
      </c>
      <c r="AT217" s="1042">
        <f>AU217-SUM(AQ217,AR217,AS217)</f>
        <v>1861.3999999999996</v>
      </c>
      <c r="AU217" s="1364">
        <v>8015.90</v>
      </c>
      <c r="AV217" s="1225">
        <v>2925.70</v>
      </c>
      <c r="AW217" s="1042">
        <f>5234.5-AV217</f>
        <v>2308.8000000000002</v>
      </c>
      <c r="AX217" s="1225">
        <v>2063.90</v>
      </c>
      <c r="AY217" s="1042">
        <f>AZ217-SUM(AV217,AW217,AX217)</f>
        <v>2100.3999999999996</v>
      </c>
      <c r="AZ217" s="1364">
        <v>9398.7999999999993</v>
      </c>
      <c r="BA217" s="1225">
        <v>3366.90</v>
      </c>
      <c r="BB217" s="1225">
        <v>2366.40</v>
      </c>
      <c r="BC217" s="1225">
        <v>2214.90</v>
      </c>
      <c r="BD217" s="1042">
        <f>BE217-SUM(BA217,BB217,BC217)</f>
        <v>2190.0999999999985</v>
      </c>
      <c r="BE217" s="1364">
        <v>10138.299999999999</v>
      </c>
      <c r="BF217" s="1225">
        <v>3747.70</v>
      </c>
      <c r="BG217" s="1042">
        <f>6256.2-BF217</f>
        <v>2508.50</v>
      </c>
      <c r="BH217" s="1043">
        <f>8634.5-BG217-BF217</f>
        <v>2378.3000000000002</v>
      </c>
      <c r="BI217" s="1044">
        <f t="shared" si="516" ref="BI217:BR217">BI143</f>
        <v>2370.9946051960173</v>
      </c>
      <c r="BJ217" s="1350">
        <f t="shared" si="516"/>
        <v>11005.494605196018</v>
      </c>
      <c r="BK217" s="1044">
        <f t="shared" si="516"/>
        <v>3739.515999888753</v>
      </c>
      <c r="BL217" s="1044">
        <f t="shared" si="516"/>
        <v>2559.2243231164384</v>
      </c>
      <c r="BM217" s="1044">
        <f t="shared" si="516"/>
        <v>2442.2228365566966</v>
      </c>
      <c r="BN217" s="1044">
        <f t="shared" si="516"/>
        <v>2702.145764367709</v>
      </c>
      <c r="BO217" s="1350">
        <f t="shared" si="516"/>
        <v>11443.108923929598</v>
      </c>
      <c r="BP217" s="1351">
        <f t="shared" si="516"/>
        <v>12259.026419308122</v>
      </c>
      <c r="BQ217" s="1351">
        <f t="shared" si="516"/>
        <v>12754.291086648169</v>
      </c>
      <c r="BR217" s="1350">
        <f t="shared" si="516"/>
        <v>13269.564446548758</v>
      </c>
      <c r="BS217" s="648"/>
    </row>
    <row r="218" spans="1:71" s="665" customFormat="1" ht="15" hidden="1" outlineLevel="1">
      <c r="A218" s="371" t="str">
        <f>A178</f>
        <v>Property  Business - Net Written Premiums, mm</v>
      </c>
      <c r="B218" s="308"/>
      <c r="C218" s="1364">
        <v>0</v>
      </c>
      <c r="D218" s="1364">
        <v>0</v>
      </c>
      <c r="E218" s="1364">
        <v>0</v>
      </c>
      <c r="F218" s="1364">
        <v>0</v>
      </c>
      <c r="G218" s="1364">
        <v>0</v>
      </c>
      <c r="H218" s="1225">
        <v>0</v>
      </c>
      <c r="I218" s="1225">
        <v>0</v>
      </c>
      <c r="J218" s="1225">
        <v>0</v>
      </c>
      <c r="K218" s="1225">
        <v>0</v>
      </c>
      <c r="L218" s="1364">
        <v>0</v>
      </c>
      <c r="M218" s="1225">
        <v>0</v>
      </c>
      <c r="N218" s="1225">
        <v>272.70</v>
      </c>
      <c r="O218" s="1225">
        <v>223.60</v>
      </c>
      <c r="P218" s="1042">
        <f>Q218-SUM(M218,N218,O218)</f>
        <v>193.30000000000007</v>
      </c>
      <c r="Q218" s="1364">
        <v>689.60</v>
      </c>
      <c r="R218" s="1225">
        <v>171.10</v>
      </c>
      <c r="S218" s="1225">
        <v>302.39999999999998</v>
      </c>
      <c r="T218" s="1225">
        <v>243</v>
      </c>
      <c r="U218" s="1042">
        <f>V218-SUM(R218,S218,T218)</f>
        <v>219.20000000000005</v>
      </c>
      <c r="V218" s="1364">
        <v>935.70</v>
      </c>
      <c r="W218" s="1225">
        <v>216.80</v>
      </c>
      <c r="X218" s="1225">
        <v>290.89999999999998</v>
      </c>
      <c r="Y218" s="1225">
        <v>300.70</v>
      </c>
      <c r="Z218" s="1042">
        <f>AA218-SUM(W218,X218,Y218)</f>
        <v>282.60000000000002</v>
      </c>
      <c r="AA218" s="1364">
        <v>1091</v>
      </c>
      <c r="AB218" s="1225">
        <v>297.10000000000002</v>
      </c>
      <c r="AC218" s="1225">
        <v>397.20</v>
      </c>
      <c r="AD218" s="1225">
        <v>397.80</v>
      </c>
      <c r="AE218" s="1042">
        <f>AF218-SUM(AB218,AC218,AD218)</f>
        <v>363.80000000000018</v>
      </c>
      <c r="AF218" s="1364">
        <v>1455.90</v>
      </c>
      <c r="AG218" s="1225">
        <v>352.20</v>
      </c>
      <c r="AH218" s="1225">
        <v>458.50</v>
      </c>
      <c r="AI218" s="1225">
        <v>460.10</v>
      </c>
      <c r="AJ218" s="1042">
        <f>AK218-SUM(AG218,AH218,AI218)</f>
        <v>413.09999999999991</v>
      </c>
      <c r="AK218" s="1364">
        <v>1683.90</v>
      </c>
      <c r="AL218" s="1225">
        <v>403.30</v>
      </c>
      <c r="AM218" s="1225">
        <v>513.40000000000009</v>
      </c>
      <c r="AN218" s="1225">
        <v>520.50</v>
      </c>
      <c r="AO218" s="1042">
        <f>AP218-SUM(AL218,AM218,AN218)</f>
        <v>473.59999999999991</v>
      </c>
      <c r="AP218" s="1364">
        <v>1910.80</v>
      </c>
      <c r="AQ218" s="1225">
        <v>473.60</v>
      </c>
      <c r="AR218" s="1225">
        <v>590.90</v>
      </c>
      <c r="AS218" s="1225">
        <v>604</v>
      </c>
      <c r="AT218" s="1042">
        <f>AU218-SUM(AQ218,AR218,AS218)</f>
        <v>547.69999999999982</v>
      </c>
      <c r="AU218" s="1364">
        <v>2216.1999999999998</v>
      </c>
      <c r="AV218" s="1225">
        <v>536.10</v>
      </c>
      <c r="AW218" s="1042">
        <f>1175.7-AV218</f>
        <v>639.60</v>
      </c>
      <c r="AX218" s="1225">
        <v>624.50</v>
      </c>
      <c r="AY218" s="1042">
        <f>AZ218-SUM(AV218,AW218,AX218)</f>
        <v>601.49999999999977</v>
      </c>
      <c r="AZ218" s="1364">
        <v>2401.6999999999998</v>
      </c>
      <c r="BA218" s="1225">
        <v>629.40</v>
      </c>
      <c r="BB218" s="1225">
        <v>750.30</v>
      </c>
      <c r="BC218" s="1225">
        <v>725.20</v>
      </c>
      <c r="BD218" s="1042">
        <f>BE218-SUM(BA218,BB218,BC218)</f>
        <v>725.70000000000027</v>
      </c>
      <c r="BE218" s="1364">
        <v>2830.60</v>
      </c>
      <c r="BF218" s="1225">
        <v>733.40</v>
      </c>
      <c r="BG218" s="1042">
        <f>1564.3-BF218</f>
        <v>830.90</v>
      </c>
      <c r="BH218" s="1043">
        <f>2351.9-BG218-BF218</f>
        <v>787.60</v>
      </c>
      <c r="BI218" s="1044">
        <f t="shared" si="517" ref="BI218:BR218">BI178</f>
        <v>842.70251303417569</v>
      </c>
      <c r="BJ218" s="1350">
        <f t="shared" si="517"/>
        <v>3194.6025130341759</v>
      </c>
      <c r="BK218" s="1044">
        <f t="shared" si="517"/>
        <v>838.6779069346843</v>
      </c>
      <c r="BL218" s="1044">
        <f t="shared" si="517"/>
        <v>943.6394359432868</v>
      </c>
      <c r="BM218" s="1044">
        <f t="shared" si="517"/>
        <v>878.71086316740173</v>
      </c>
      <c r="BN218" s="1044">
        <f t="shared" si="517"/>
        <v>932.9607405109366</v>
      </c>
      <c r="BO218" s="1350">
        <f t="shared" si="517"/>
        <v>3593.9889465563092</v>
      </c>
      <c r="BP218" s="1351">
        <f t="shared" si="517"/>
        <v>3850.2478425596628</v>
      </c>
      <c r="BQ218" s="1351">
        <f t="shared" si="517"/>
        <v>4005.7978553990733</v>
      </c>
      <c r="BR218" s="1350">
        <f t="shared" si="517"/>
        <v>4167.6320887571965</v>
      </c>
      <c r="BS218" s="648"/>
    </row>
    <row r="219" spans="1:71" s="665" customFormat="1" ht="15" hidden="1" outlineLevel="1">
      <c r="A219" s="1001" t="s">
        <v>365</v>
      </c>
      <c r="B219" s="260"/>
      <c r="C219" s="1365">
        <v>15.90</v>
      </c>
      <c r="D219" s="1365">
        <v>2.90</v>
      </c>
      <c r="E219" s="1365">
        <v>0.10000000000000001</v>
      </c>
      <c r="F219" s="1365">
        <v>0</v>
      </c>
      <c r="G219" s="1365">
        <v>0</v>
      </c>
      <c r="H219" s="1228">
        <v>0</v>
      </c>
      <c r="I219" s="1228">
        <v>0</v>
      </c>
      <c r="J219" s="1228">
        <v>0</v>
      </c>
      <c r="K219" s="1029">
        <f>L219-SUM(H219,I219,J219)</f>
        <v>0</v>
      </c>
      <c r="L219" s="1365">
        <v>0</v>
      </c>
      <c r="M219" s="1228">
        <v>0</v>
      </c>
      <c r="N219" s="1228">
        <v>-0.40</v>
      </c>
      <c r="O219" s="1228">
        <v>0</v>
      </c>
      <c r="P219" s="1029">
        <f>Q219-SUM(M219,N219,O219)</f>
        <v>0</v>
      </c>
      <c r="Q219" s="1365">
        <v>-0.40</v>
      </c>
      <c r="R219" s="1228">
        <v>0</v>
      </c>
      <c r="S219" s="1228">
        <v>0</v>
      </c>
      <c r="T219" s="1029"/>
      <c r="U219" s="1029">
        <f>V219-SUM(R219,S219,T219)</f>
        <v>0</v>
      </c>
      <c r="V219" s="1365">
        <v>0</v>
      </c>
      <c r="W219" s="1228">
        <v>0</v>
      </c>
      <c r="X219" s="1228">
        <v>0</v>
      </c>
      <c r="Y219" s="1228">
        <v>0</v>
      </c>
      <c r="Z219" s="1029">
        <f>AA219-SUM(W219,X219,Y219)</f>
        <v>0</v>
      </c>
      <c r="AA219" s="1324"/>
      <c r="AB219" s="1228">
        <v>0</v>
      </c>
      <c r="AC219" s="1228">
        <v>0</v>
      </c>
      <c r="AD219" s="1228">
        <v>0</v>
      </c>
      <c r="AE219" s="1029">
        <f>AF219-SUM(AB219,AC219,AD219)</f>
        <v>0</v>
      </c>
      <c r="AF219" s="1324"/>
      <c r="AG219" s="1029"/>
      <c r="AH219" s="1029"/>
      <c r="AI219" s="1029"/>
      <c r="AJ219" s="1029">
        <f>AK219-SUM(AG219,AH219,AI219)</f>
        <v>0</v>
      </c>
      <c r="AK219" s="1324"/>
      <c r="AL219" s="1029"/>
      <c r="AM219" s="1029"/>
      <c r="AN219" s="1029"/>
      <c r="AO219" s="1029">
        <f>AP219-SUM(AL219,AM219,AN219)</f>
        <v>0</v>
      </c>
      <c r="AP219" s="1324"/>
      <c r="AQ219" s="1029"/>
      <c r="AR219" s="1228">
        <v>2.90</v>
      </c>
      <c r="AS219" s="1228">
        <v>1.30</v>
      </c>
      <c r="AT219" s="1029">
        <f>AU219-SUM(AQ219,AR219,AS219)</f>
        <v>0.099999999999999645</v>
      </c>
      <c r="AU219" s="1365">
        <v>4.30</v>
      </c>
      <c r="AV219" s="1228">
        <v>0.30</v>
      </c>
      <c r="AW219" s="1228">
        <v>1.20</v>
      </c>
      <c r="AX219" s="1228">
        <v>0.40</v>
      </c>
      <c r="AY219" s="1029">
        <f>AZ219-SUM(AV219,AW219,AX219)</f>
        <v>0.20000000000000018</v>
      </c>
      <c r="AZ219" s="1365">
        <v>2.10</v>
      </c>
      <c r="BA219" s="1228">
        <v>0.20</v>
      </c>
      <c r="BB219" s="1228">
        <v>0.10000000000000001</v>
      </c>
      <c r="BC219" s="1228">
        <v>0.10000000000000001</v>
      </c>
      <c r="BD219" s="1027">
        <f>BE219-SUM(BA219,BB219,BC219)</f>
        <v>-0.10000000000000003</v>
      </c>
      <c r="BE219" s="1365">
        <v>0.30</v>
      </c>
      <c r="BF219" s="1228">
        <v>0.20</v>
      </c>
      <c r="BG219" s="1228">
        <v>0.20</v>
      </c>
      <c r="BH219" s="1229">
        <v>0.10000000000000001</v>
      </c>
      <c r="BI219" s="1228">
        <v>0</v>
      </c>
      <c r="BJ219" s="1324">
        <f>SUM(BF219,BG219,BH219,BI219)</f>
        <v>0.50</v>
      </c>
      <c r="BK219" s="1228">
        <v>0</v>
      </c>
      <c r="BL219" s="1228">
        <v>0</v>
      </c>
      <c r="BM219" s="1228">
        <v>0</v>
      </c>
      <c r="BN219" s="1228">
        <v>0</v>
      </c>
      <c r="BO219" s="1324">
        <f>SUM(BK219,BL219,BM219,BN219)</f>
        <v>0</v>
      </c>
      <c r="BP219" s="1365">
        <v>0</v>
      </c>
      <c r="BQ219" s="1365">
        <v>0</v>
      </c>
      <c r="BR219" s="1365">
        <v>0</v>
      </c>
      <c r="BS219" s="648"/>
    </row>
    <row r="220" spans="1:71" s="668" customFormat="1" ht="15" hidden="1" outlineLevel="1">
      <c r="A220" s="42" t="s">
        <v>13</v>
      </c>
      <c r="B220" s="389"/>
      <c r="C220" s="1355">
        <f t="shared" si="518" ref="C220:AM220">SUM(C216:C219)</f>
        <v>14002.899999999998</v>
      </c>
      <c r="D220" s="1355">
        <f t="shared" si="518"/>
        <v>14476.80</v>
      </c>
      <c r="E220" s="1355">
        <f t="shared" si="518"/>
        <v>15146.60</v>
      </c>
      <c r="F220" s="1355">
        <f t="shared" si="518"/>
        <v>16372.699999999999</v>
      </c>
      <c r="G220" s="1355">
        <f t="shared" si="518"/>
        <v>17339.700000000001</v>
      </c>
      <c r="H220" s="1052">
        <f t="shared" si="518"/>
        <v>4681</v>
      </c>
      <c r="I220" s="1052">
        <f t="shared" si="518"/>
        <v>4627.70</v>
      </c>
      <c r="J220" s="1052">
        <f t="shared" si="518"/>
        <v>4732.2999999999993</v>
      </c>
      <c r="K220" s="1052">
        <f t="shared" si="518"/>
        <v>4613.5999999999985</v>
      </c>
      <c r="L220" s="1355">
        <f t="shared" si="518"/>
        <v>18654.60</v>
      </c>
      <c r="M220" s="1052">
        <f t="shared" si="518"/>
        <v>5066.80</v>
      </c>
      <c r="N220" s="1052">
        <f t="shared" si="518"/>
        <v>5246.10</v>
      </c>
      <c r="O220" s="1052">
        <f t="shared" si="518"/>
        <v>5412.60</v>
      </c>
      <c r="P220" s="1052">
        <f t="shared" si="518"/>
        <v>4838.5000000000009</v>
      </c>
      <c r="Q220" s="1355">
        <f t="shared" si="518"/>
        <v>20563.999999999996</v>
      </c>
      <c r="R220" s="1052">
        <f t="shared" si="518"/>
        <v>5818.40</v>
      </c>
      <c r="S220" s="1052">
        <f t="shared" si="518"/>
        <v>5934.60</v>
      </c>
      <c r="T220" s="1052">
        <f t="shared" si="518"/>
        <v>6049</v>
      </c>
      <c r="U220" s="1052">
        <f t="shared" si="518"/>
        <v>5551.50</v>
      </c>
      <c r="V220" s="1355">
        <f t="shared" si="518"/>
        <v>23353.50</v>
      </c>
      <c r="W220" s="1052">
        <f t="shared" si="518"/>
        <v>6490.9999999999991</v>
      </c>
      <c r="X220" s="1052">
        <f t="shared" si="518"/>
        <v>6746.10</v>
      </c>
      <c r="Y220" s="1052">
        <f t="shared" si="518"/>
        <v>7142.40</v>
      </c>
      <c r="Z220" s="1052">
        <f t="shared" si="518"/>
        <v>6752.5999999999985</v>
      </c>
      <c r="AA220" s="1355">
        <f t="shared" si="518"/>
        <v>27132.100000000002</v>
      </c>
      <c r="AB220" s="1052">
        <f t="shared" si="518"/>
        <v>7968.80</v>
      </c>
      <c r="AC220" s="1052">
        <f t="shared" si="518"/>
        <v>8095.2999999999993</v>
      </c>
      <c r="AD220" s="1052">
        <f t="shared" si="518"/>
        <v>8604</v>
      </c>
      <c r="AE220" s="1052">
        <f t="shared" si="518"/>
        <v>7941.7999999999984</v>
      </c>
      <c r="AF220" s="1355">
        <f t="shared" si="518"/>
        <v>32609.900000000001</v>
      </c>
      <c r="AG220" s="1052">
        <f t="shared" si="518"/>
        <v>9239.9000000000015</v>
      </c>
      <c r="AH220" s="1052">
        <f t="shared" si="518"/>
        <v>9126.50</v>
      </c>
      <c r="AI220" s="1052">
        <f t="shared" si="518"/>
        <v>9621.2000000000007</v>
      </c>
      <c r="AJ220" s="1052">
        <f t="shared" si="518"/>
        <v>9590.3000000000011</v>
      </c>
      <c r="AK220" s="1355">
        <f t="shared" si="518"/>
        <v>37577.900000000001</v>
      </c>
      <c r="AL220" s="1052">
        <f t="shared" si="518"/>
        <v>9871.2999999999993</v>
      </c>
      <c r="AM220" s="1052">
        <f t="shared" si="518"/>
        <v>10140</v>
      </c>
      <c r="AN220" s="1052">
        <f t="shared" si="519" ref="AN220:AU220">SUM(AN216:AN219)</f>
        <v>11015.10</v>
      </c>
      <c r="AO220" s="1052">
        <f t="shared" si="519"/>
        <v>9542.2999999999993</v>
      </c>
      <c r="AP220" s="1355">
        <f t="shared" si="519"/>
        <v>40568.700000000004</v>
      </c>
      <c r="AQ220" s="1052">
        <f t="shared" si="519"/>
        <v>11729.10</v>
      </c>
      <c r="AR220" s="1052">
        <f t="shared" si="519"/>
        <v>11480.299999999999</v>
      </c>
      <c r="AS220" s="1052">
        <f t="shared" si="519"/>
        <v>12446.499999999998</v>
      </c>
      <c r="AT220" s="1052">
        <f t="shared" si="519"/>
        <v>10749.300000000005</v>
      </c>
      <c r="AU220" s="1355">
        <f t="shared" si="519"/>
        <v>46405.200000000004</v>
      </c>
      <c r="AV220" s="1052">
        <f t="shared" si="520" ref="AV220:AZ220">SUM(AV216:AV219)</f>
        <v>13180.999999999998</v>
      </c>
      <c r="AW220" s="1052">
        <f t="shared" si="520"/>
        <v>12422.10</v>
      </c>
      <c r="AX220" s="1052">
        <f t="shared" si="520"/>
        <v>13017.80</v>
      </c>
      <c r="AY220" s="1052">
        <f t="shared" si="520"/>
        <v>12460.20</v>
      </c>
      <c r="AZ220" s="1355">
        <f t="shared" si="520"/>
        <v>51081.099999999999</v>
      </c>
      <c r="BA220" s="1052">
        <f t="shared" si="521" ref="BA220:BR220">SUM(BA216:BA219)</f>
        <v>16109.700000000001</v>
      </c>
      <c r="BB220" s="1052">
        <f t="shared" si="521"/>
        <v>14716.899999999998</v>
      </c>
      <c r="BC220" s="1052">
        <f t="shared" si="521"/>
        <v>15593.80</v>
      </c>
      <c r="BD220" s="1052">
        <f t="shared" si="521"/>
        <v>15129.80</v>
      </c>
      <c r="BE220" s="1320">
        <f t="shared" si="521"/>
        <v>61550.200000000004</v>
      </c>
      <c r="BF220" s="1052">
        <f>SUM(BF216:BF219)</f>
        <v>18962.200000000004</v>
      </c>
      <c r="BG220" s="1052">
        <f>SUM(BG216:BG219)</f>
        <v>17901.600000000002</v>
      </c>
      <c r="BH220" s="1053">
        <f>SUM(BH216:BH219)</f>
        <v>19455.599999999991</v>
      </c>
      <c r="BI220" s="1054">
        <f t="shared" si="521"/>
        <v>17848.346752108842</v>
      </c>
      <c r="BJ220" s="1356">
        <f t="shared" si="521"/>
        <v>74167.74675210884</v>
      </c>
      <c r="BK220" s="1054">
        <f t="shared" si="521"/>
        <v>21848.561852307739</v>
      </c>
      <c r="BL220" s="1054">
        <f t="shared" si="521"/>
        <v>20616.951566197455</v>
      </c>
      <c r="BM220" s="1054">
        <f t="shared" si="521"/>
        <v>21927.918709207253</v>
      </c>
      <c r="BN220" s="1054">
        <f t="shared" si="521"/>
        <v>20101.790216726593</v>
      </c>
      <c r="BO220" s="1356">
        <f t="shared" si="521"/>
        <v>84495.222344439026</v>
      </c>
      <c r="BP220" s="1356">
        <f t="shared" si="521"/>
        <v>90519.907650244175</v>
      </c>
      <c r="BQ220" s="1356">
        <f t="shared" si="521"/>
        <v>94176.911919314036</v>
      </c>
      <c r="BR220" s="1356">
        <f t="shared" si="521"/>
        <v>97981.659160854309</v>
      </c>
      <c r="BS220" s="648"/>
    </row>
    <row r="221" spans="1:71" s="665" customFormat="1" ht="15" hidden="1" outlineLevel="1">
      <c r="A221" s="999"/>
      <c r="B221" s="308"/>
      <c r="C221" s="1351"/>
      <c r="D221" s="1351"/>
      <c r="E221" s="1351"/>
      <c r="F221" s="1351"/>
      <c r="G221" s="1351"/>
      <c r="H221" s="1047"/>
      <c r="I221" s="1047"/>
      <c r="J221" s="1047"/>
      <c r="K221" s="1047"/>
      <c r="L221" s="1351"/>
      <c r="M221" s="1047"/>
      <c r="N221" s="1047"/>
      <c r="O221" s="1047"/>
      <c r="P221" s="1047"/>
      <c r="Q221" s="1351"/>
      <c r="R221" s="1047"/>
      <c r="S221" s="1047"/>
      <c r="T221" s="1047"/>
      <c r="U221" s="1047"/>
      <c r="V221" s="1351"/>
      <c r="W221" s="1047"/>
      <c r="X221" s="1047"/>
      <c r="Y221" s="1047"/>
      <c r="Z221" s="1047"/>
      <c r="AA221" s="1351"/>
      <c r="AB221" s="1047"/>
      <c r="AC221" s="1047"/>
      <c r="AD221" s="1047"/>
      <c r="AE221" s="1047"/>
      <c r="AF221" s="1351"/>
      <c r="AG221" s="1047"/>
      <c r="AH221" s="1047"/>
      <c r="AI221" s="1047"/>
      <c r="AJ221" s="1047"/>
      <c r="AK221" s="1351"/>
      <c r="AL221" s="1047"/>
      <c r="AM221" s="1047"/>
      <c r="AN221" s="1047"/>
      <c r="AO221" s="1047"/>
      <c r="AP221" s="1351"/>
      <c r="AQ221" s="1047"/>
      <c r="AR221" s="1047"/>
      <c r="AS221" s="1047"/>
      <c r="AT221" s="1047"/>
      <c r="AU221" s="1351"/>
      <c r="AV221" s="1047"/>
      <c r="AW221" s="1047"/>
      <c r="AX221" s="1047"/>
      <c r="AY221" s="1047"/>
      <c r="AZ221" s="1351"/>
      <c r="BA221" s="1047"/>
      <c r="BB221" s="1047"/>
      <c r="BC221" s="1047"/>
      <c r="BD221" s="1047"/>
      <c r="BE221" s="1351"/>
      <c r="BF221" s="1047"/>
      <c r="BG221" s="1047"/>
      <c r="BH221" s="1048"/>
      <c r="BI221" s="1044"/>
      <c r="BJ221" s="1350"/>
      <c r="BK221" s="1044"/>
      <c r="BL221" s="1044"/>
      <c r="BM221" s="1044"/>
      <c r="BN221" s="1044"/>
      <c r="BO221" s="1350"/>
      <c r="BP221" s="1351"/>
      <c r="BQ221" s="1351"/>
      <c r="BR221" s="1350"/>
      <c r="BS221" s="648"/>
    </row>
    <row r="222" spans="1:71" s="676" customFormat="1" ht="15" hidden="1" outlineLevel="1">
      <c r="A222" s="513" t="str">
        <f>A53</f>
        <v>Agency Auto - Percentage of Written Premiums Earned, %</v>
      </c>
      <c r="B222" s="397"/>
      <c r="C222" s="1339">
        <f t="shared" si="522" ref="C222:AH222">C230/C214</f>
        <v>1.0031929862539237</v>
      </c>
      <c r="D222" s="1339">
        <f t="shared" si="522"/>
        <v>0.99058770126298368</v>
      </c>
      <c r="E222" s="1339">
        <f t="shared" si="522"/>
        <v>0.98982584546705077</v>
      </c>
      <c r="F222" s="1339">
        <f t="shared" si="522"/>
        <v>0.98264823572208071</v>
      </c>
      <c r="G222" s="1339">
        <f t="shared" si="522"/>
        <v>0.98838278215705644</v>
      </c>
      <c r="H222" s="381">
        <f t="shared" si="522"/>
        <v>0.96100497252028261</v>
      </c>
      <c r="I222" s="381">
        <f t="shared" si="522"/>
        <v>0.978742907027499</v>
      </c>
      <c r="J222" s="381">
        <f t="shared" si="522"/>
        <v>0.97841978551105269</v>
      </c>
      <c r="K222" s="381">
        <f t="shared" si="522"/>
        <v>1.0767888307155329</v>
      </c>
      <c r="L222" s="1339">
        <f t="shared" si="522"/>
        <v>0.99826427033440268</v>
      </c>
      <c r="M222" s="381">
        <f t="shared" si="522"/>
        <v>0.95263358940622223</v>
      </c>
      <c r="N222" s="381">
        <f t="shared" si="522"/>
        <v>0.97045658012533587</v>
      </c>
      <c r="O222" s="381">
        <f t="shared" si="522"/>
        <v>0.95902946855847537</v>
      </c>
      <c r="P222" s="381">
        <f t="shared" si="522"/>
        <v>1.073155957317925</v>
      </c>
      <c r="Q222" s="1339">
        <f t="shared" si="522"/>
        <v>0.98683654564955958</v>
      </c>
      <c r="R222" s="381">
        <f t="shared" si="522"/>
        <v>0.94081583587113327</v>
      </c>
      <c r="S222" s="381">
        <f t="shared" si="522"/>
        <v>0.95311701081612599</v>
      </c>
      <c r="T222" s="381">
        <f t="shared" si="522"/>
        <v>0.95521754236960965</v>
      </c>
      <c r="U222" s="381">
        <f t="shared" si="522"/>
        <v>1.02702484672475</v>
      </c>
      <c r="V222" s="1339">
        <f t="shared" si="522"/>
        <v>0.96874628992045597</v>
      </c>
      <c r="W222" s="381">
        <f t="shared" si="522"/>
        <v>0.93292445137731772</v>
      </c>
      <c r="X222" s="381">
        <f t="shared" si="522"/>
        <v>0.94380057605266765</v>
      </c>
      <c r="Y222" s="381">
        <f t="shared" si="522"/>
        <v>0.93766508188061271</v>
      </c>
      <c r="Z222" s="381">
        <f t="shared" si="522"/>
        <v>1.0116800822058578</v>
      </c>
      <c r="AA222" s="1339">
        <f t="shared" si="522"/>
        <v>0.95654406353227106</v>
      </c>
      <c r="AB222" s="381">
        <f t="shared" si="522"/>
        <v>0.91859802716397321</v>
      </c>
      <c r="AC222" s="381">
        <f t="shared" si="522"/>
        <v>0.95305205932754233</v>
      </c>
      <c r="AD222" s="381">
        <f t="shared" si="522"/>
        <v>0.94689381616870694</v>
      </c>
      <c r="AE222" s="381">
        <f t="shared" si="522"/>
        <v>1.0213894131392114</v>
      </c>
      <c r="AF222" s="1339">
        <f t="shared" si="522"/>
        <v>0.95980770223339706</v>
      </c>
      <c r="AG222" s="381">
        <f t="shared" si="522"/>
        <v>0.93152612574341542</v>
      </c>
      <c r="AH222" s="381">
        <f t="shared" si="522"/>
        <v>0.96400476758045295</v>
      </c>
      <c r="AI222" s="381">
        <f t="shared" si="523" ref="AI222:AU222">AI230/AI214</f>
        <v>0.95539560921497302</v>
      </c>
      <c r="AJ222" s="381">
        <f t="shared" si="523"/>
        <v>1.0342750682694029</v>
      </c>
      <c r="AK222" s="1339">
        <f t="shared" si="523"/>
        <v>0.97180582271052718</v>
      </c>
      <c r="AL222" s="381">
        <f t="shared" si="523"/>
        <v>0.95087545014280384</v>
      </c>
      <c r="AM222" s="381">
        <f t="shared" si="523"/>
        <v>0.9547591785026921</v>
      </c>
      <c r="AN222" s="381">
        <f t="shared" si="523"/>
        <v>0.94117647058823528</v>
      </c>
      <c r="AO222" s="381">
        <f t="shared" si="523"/>
        <v>1.0771281559092487</v>
      </c>
      <c r="AP222" s="1339">
        <f t="shared" si="523"/>
        <v>0.97865970819025905</v>
      </c>
      <c r="AQ222" s="381">
        <f t="shared" si="523"/>
        <v>0.91914683652185614</v>
      </c>
      <c r="AR222" s="381">
        <f t="shared" si="523"/>
        <v>0.97554379233027455</v>
      </c>
      <c r="AS222" s="381">
        <f t="shared" si="523"/>
        <v>0.95431778542998968</v>
      </c>
      <c r="AT222" s="381">
        <f t="shared" si="523"/>
        <v>1.0734084830913042</v>
      </c>
      <c r="AU222" s="1339">
        <f t="shared" si="523"/>
        <v>0.97816072639197116</v>
      </c>
      <c r="AV222" s="381">
        <f t="shared" si="524" ref="AV222:AW226">AV230/AV214</f>
        <v>0.95724470817465246</v>
      </c>
      <c r="AW222" s="381">
        <f t="shared" si="524"/>
        <v>0.97171532846715303</v>
      </c>
      <c r="AX222" s="381">
        <f t="shared" si="525" ref="AX222:AX228">AX230/AX214</f>
        <v>0.93614196294969332</v>
      </c>
      <c r="AY222" s="381">
        <f t="shared" si="526" ref="AY222:AZ226">AY230/AY214</f>
        <v>1.0073592033716945</v>
      </c>
      <c r="AZ222" s="1339">
        <f t="shared" si="526"/>
        <v>0.96784697450665969</v>
      </c>
      <c r="BA222" s="381">
        <f t="shared" si="527" ref="BA222:BA228">BA230/BA214</f>
        <v>0.89764332151300241</v>
      </c>
      <c r="BB222" s="381">
        <f t="shared" si="528" ref="BB222:BB228">BB230/BB214</f>
        <v>0.94099788568227405</v>
      </c>
      <c r="BC222" s="381">
        <f t="shared" si="529" ref="BC222:BC228">BC230/BC214</f>
        <v>0.9571628096105228</v>
      </c>
      <c r="BD222" s="381">
        <f t="shared" si="530" ref="BD222:BI226">BD230/BD214</f>
        <v>1.0076319732087773</v>
      </c>
      <c r="BE222" s="1339">
        <f t="shared" si="530"/>
        <v>0.95153492923480221</v>
      </c>
      <c r="BF222" s="381">
        <f t="shared" si="531" ref="BF222:BF228">BF230/BF214</f>
        <v>0.91543726948802895</v>
      </c>
      <c r="BG222" s="381">
        <f t="shared" si="532" ref="BG222:BG228">BG230/BG214</f>
        <v>0.92270452486671917</v>
      </c>
      <c r="BH222" s="813">
        <f t="shared" si="533" ref="BH222:BH228">BH230/BH214</f>
        <v>0.93288855107958257</v>
      </c>
      <c r="BI222" s="909">
        <f t="shared" si="530"/>
        <v>0.97999999999999987</v>
      </c>
      <c r="BJ222" s="1340">
        <f t="shared" si="534" ref="BJ222:BJ226">BJ230/BJ214</f>
        <v>0.9376148845053901</v>
      </c>
      <c r="BK222" s="909">
        <f t="shared" si="535" ref="BK222:BR226">BK230/BK214</f>
        <v>0.98</v>
      </c>
      <c r="BL222" s="909">
        <f t="shared" si="535"/>
        <v>0.90</v>
      </c>
      <c r="BM222" s="909">
        <f t="shared" si="535"/>
        <v>0.90</v>
      </c>
      <c r="BN222" s="909">
        <f t="shared" si="535"/>
        <v>0.98</v>
      </c>
      <c r="BO222" s="1340">
        <f t="shared" si="535"/>
        <v>0.93853393206050717</v>
      </c>
      <c r="BP222" s="1339">
        <f t="shared" si="535"/>
        <v>0.98</v>
      </c>
      <c r="BQ222" s="1339">
        <f t="shared" si="535"/>
        <v>0.97999999999999987</v>
      </c>
      <c r="BR222" s="1340">
        <f t="shared" si="535"/>
        <v>0.98</v>
      </c>
      <c r="BS222" s="648"/>
    </row>
    <row r="223" spans="1:71" s="676" customFormat="1" ht="15" hidden="1" outlineLevel="1">
      <c r="A223" s="514" t="str">
        <f>A82</f>
        <v>Direct Auto - Percentage of Written Premiums Earned, %</v>
      </c>
      <c r="B223" s="398"/>
      <c r="C223" s="1366">
        <f t="shared" si="536" ref="C223:AH223">C231/C215</f>
        <v>0.97811098599340185</v>
      </c>
      <c r="D223" s="1366">
        <f t="shared" si="536"/>
        <v>0.97705178706949514</v>
      </c>
      <c r="E223" s="1366">
        <f t="shared" si="536"/>
        <v>0.9826120818095625</v>
      </c>
      <c r="F223" s="1366">
        <f t="shared" si="536"/>
        <v>0.98034367272841083</v>
      </c>
      <c r="G223" s="1366">
        <f t="shared" si="536"/>
        <v>0.98157749104360237</v>
      </c>
      <c r="H223" s="382">
        <f t="shared" si="536"/>
        <v>0.91466832762379324</v>
      </c>
      <c r="I223" s="382">
        <f t="shared" si="536"/>
        <v>0.99732079391984252</v>
      </c>
      <c r="J223" s="382">
        <f t="shared" si="536"/>
        <v>0.93171739568635359</v>
      </c>
      <c r="K223" s="382">
        <f t="shared" si="536"/>
        <v>1.0638664231672317</v>
      </c>
      <c r="L223" s="1366">
        <f t="shared" si="536"/>
        <v>0.97617679327098905</v>
      </c>
      <c r="M223" s="382">
        <f t="shared" si="536"/>
        <v>0.89713708937419723</v>
      </c>
      <c r="N223" s="382">
        <f t="shared" si="536"/>
        <v>0.99141212062066941</v>
      </c>
      <c r="O223" s="382">
        <f t="shared" si="536"/>
        <v>0.91859381241954807</v>
      </c>
      <c r="P223" s="382">
        <f t="shared" si="536"/>
        <v>1.069090178750753</v>
      </c>
      <c r="Q223" s="1366">
        <f t="shared" si="536"/>
        <v>0.96605888947896379</v>
      </c>
      <c r="R223" s="382">
        <f t="shared" si="536"/>
        <v>0.89177576098305356</v>
      </c>
      <c r="S223" s="382">
        <f t="shared" si="536"/>
        <v>0.98698004734528244</v>
      </c>
      <c r="T223" s="382">
        <f t="shared" si="536"/>
        <v>0.93927252729986632</v>
      </c>
      <c r="U223" s="382">
        <f t="shared" si="536"/>
        <v>1.0603817686014803</v>
      </c>
      <c r="V223" s="1366">
        <f t="shared" si="536"/>
        <v>0.96752437731031005</v>
      </c>
      <c r="W223" s="382">
        <f t="shared" si="536"/>
        <v>0.9037098044832772</v>
      </c>
      <c r="X223" s="382">
        <f t="shared" si="536"/>
        <v>0.98817914009769925</v>
      </c>
      <c r="Y223" s="382">
        <f t="shared" si="536"/>
        <v>0.91550615961435466</v>
      </c>
      <c r="Z223" s="382">
        <f t="shared" si="536"/>
        <v>1.0286176523458568</v>
      </c>
      <c r="AA223" s="1366">
        <f t="shared" si="536"/>
        <v>0.957893800587032</v>
      </c>
      <c r="AB223" s="382">
        <f t="shared" si="536"/>
        <v>0.88467517231265591</v>
      </c>
      <c r="AC223" s="382">
        <f t="shared" si="536"/>
        <v>0.98271272527001807</v>
      </c>
      <c r="AD223" s="382">
        <f t="shared" si="536"/>
        <v>0.92233707368304685</v>
      </c>
      <c r="AE223" s="382">
        <f t="shared" si="536"/>
        <v>1.0463431637013916</v>
      </c>
      <c r="AF223" s="1366">
        <f t="shared" si="536"/>
        <v>0.95750001838870791</v>
      </c>
      <c r="AG223" s="382">
        <f t="shared" si="536"/>
        <v>0.90399636005156603</v>
      </c>
      <c r="AH223" s="382">
        <f t="shared" si="536"/>
        <v>1.006361528923392</v>
      </c>
      <c r="AI223" s="382">
        <f t="shared" si="537" ref="AI223:AU223">AI231/AI215</f>
        <v>0.93230723984118424</v>
      </c>
      <c r="AJ223" s="382">
        <f t="shared" si="537"/>
        <v>1.0429395959796985</v>
      </c>
      <c r="AK223" s="1366">
        <f t="shared" si="537"/>
        <v>0.97083542119918553</v>
      </c>
      <c r="AL223" s="382">
        <f t="shared" si="537"/>
        <v>0.9290268534462699</v>
      </c>
      <c r="AM223" s="382">
        <f t="shared" si="537"/>
        <v>0.96327539983359489</v>
      </c>
      <c r="AN223" s="382">
        <f t="shared" si="537"/>
        <v>0.93023958558169662</v>
      </c>
      <c r="AO223" s="382">
        <f t="shared" si="537"/>
        <v>1.1034770725781966</v>
      </c>
      <c r="AP223" s="1366">
        <f t="shared" si="537"/>
        <v>0.97802287201896698</v>
      </c>
      <c r="AQ223" s="382">
        <f t="shared" si="537"/>
        <v>0.88586163471725266</v>
      </c>
      <c r="AR223" s="382">
        <f t="shared" si="537"/>
        <v>1.0130736101090927</v>
      </c>
      <c r="AS223" s="382">
        <f t="shared" si="537"/>
        <v>0.93899777773328796</v>
      </c>
      <c r="AT223" s="382">
        <f t="shared" si="537"/>
        <v>1.0915606563421822</v>
      </c>
      <c r="AU223" s="1366">
        <f t="shared" si="537"/>
        <v>0.97786461776012767</v>
      </c>
      <c r="AV223" s="382">
        <f t="shared" si="524"/>
        <v>0.92140317155213847</v>
      </c>
      <c r="AW223" s="382">
        <f t="shared" si="524"/>
        <v>0.98533812689549904</v>
      </c>
      <c r="AX223" s="382">
        <f t="shared" si="525"/>
        <v>0.90926022098458115</v>
      </c>
      <c r="AY223" s="382">
        <f t="shared" si="526"/>
        <v>1.0347184675986718</v>
      </c>
      <c r="AZ223" s="1366">
        <f t="shared" si="526"/>
        <v>0.96138328805450646</v>
      </c>
      <c r="BA223" s="382">
        <f t="shared" si="527"/>
        <v>0.85349614856392186</v>
      </c>
      <c r="BB223" s="382">
        <f t="shared" si="528"/>
        <v>1.0188414875379137</v>
      </c>
      <c r="BC223" s="382">
        <f t="shared" si="529"/>
        <v>0.90917925485544426</v>
      </c>
      <c r="BD223" s="382">
        <f t="shared" si="530"/>
        <v>1.0328104455248757</v>
      </c>
      <c r="BE223" s="1366">
        <f t="shared" si="530"/>
        <v>0.95103238781740551</v>
      </c>
      <c r="BF223" s="382">
        <f t="shared" si="531"/>
        <v>0.86864799990101582</v>
      </c>
      <c r="BG223" s="382">
        <f t="shared" si="532"/>
        <v>0.97028653185319547</v>
      </c>
      <c r="BH223" s="818">
        <f t="shared" si="533"/>
        <v>0.89060424605334809</v>
      </c>
      <c r="BI223" s="382">
        <f t="shared" si="530"/>
        <v>1.02</v>
      </c>
      <c r="BJ223" s="1366">
        <f t="shared" si="534"/>
        <v>0.9356878314475876</v>
      </c>
      <c r="BK223" s="382">
        <f t="shared" si="535"/>
        <v>1.02</v>
      </c>
      <c r="BL223" s="382">
        <f t="shared" si="535"/>
        <v>1.02</v>
      </c>
      <c r="BM223" s="382">
        <f t="shared" si="535"/>
        <v>1.02</v>
      </c>
      <c r="BN223" s="382">
        <f t="shared" si="535"/>
        <v>1.02</v>
      </c>
      <c r="BO223" s="1366">
        <f t="shared" si="535"/>
        <v>1.02</v>
      </c>
      <c r="BP223" s="1366">
        <f t="shared" si="535"/>
        <v>0.98000000000000009</v>
      </c>
      <c r="BQ223" s="1366">
        <f t="shared" si="535"/>
        <v>0.9800000000000002</v>
      </c>
      <c r="BR223" s="1366">
        <f t="shared" si="535"/>
        <v>0.98000000000000009</v>
      </c>
      <c r="BS223" s="648"/>
    </row>
    <row r="224" spans="1:71" s="676" customFormat="1" ht="15" hidden="1" outlineLevel="1">
      <c r="A224" s="925" t="str">
        <f>A111</f>
        <v>Total Personal Lines - Percentage of Written Premiums Earned, %</v>
      </c>
      <c r="B224" s="397"/>
      <c r="C224" s="1339">
        <f t="shared" si="538" ref="C224:AH224">C232/C216</f>
        <v>0.9929977274734807</v>
      </c>
      <c r="D224" s="1339">
        <f t="shared" si="538"/>
        <v>0.98483615368078381</v>
      </c>
      <c r="E224" s="1339">
        <f t="shared" si="538"/>
        <v>0.98669575821689348</v>
      </c>
      <c r="F224" s="1339">
        <f t="shared" si="538"/>
        <v>0.98164216222125045</v>
      </c>
      <c r="G224" s="1339">
        <f t="shared" si="538"/>
        <v>0.98538139403437552</v>
      </c>
      <c r="H224" s="381">
        <f t="shared" si="538"/>
        <v>0.93984641638225253</v>
      </c>
      <c r="I224" s="381">
        <f t="shared" si="538"/>
        <v>0.98698997548484202</v>
      </c>
      <c r="J224" s="381">
        <f t="shared" si="538"/>
        <v>0.95671015952587324</v>
      </c>
      <c r="K224" s="381">
        <f t="shared" si="538"/>
        <v>1.0708228945846987</v>
      </c>
      <c r="L224" s="1339">
        <f t="shared" si="538"/>
        <v>0.98817365984056538</v>
      </c>
      <c r="M224" s="381">
        <f t="shared" si="538"/>
        <v>0.92596512114998786</v>
      </c>
      <c r="N224" s="381">
        <f t="shared" si="538"/>
        <v>0.98022798116083809</v>
      </c>
      <c r="O224" s="381">
        <f t="shared" si="538"/>
        <v>0.93937563375115962</v>
      </c>
      <c r="P224" s="381">
        <f t="shared" si="538"/>
        <v>1.0711989752761193</v>
      </c>
      <c r="Q224" s="1339">
        <f t="shared" si="538"/>
        <v>0.9768917056417904</v>
      </c>
      <c r="R224" s="381">
        <f t="shared" si="538"/>
        <v>0.91632235548959062</v>
      </c>
      <c r="S224" s="381">
        <f t="shared" si="538"/>
        <v>0.96943827550375905</v>
      </c>
      <c r="T224" s="381">
        <f t="shared" si="538"/>
        <v>0.9473141099277661</v>
      </c>
      <c r="U224" s="381">
        <f t="shared" si="538"/>
        <v>1.0431151477189686</v>
      </c>
      <c r="V224" s="1339">
        <f t="shared" si="538"/>
        <v>0.96814753147153065</v>
      </c>
      <c r="W224" s="381">
        <f t="shared" si="538"/>
        <v>0.91839025172358513</v>
      </c>
      <c r="X224" s="381">
        <f t="shared" si="538"/>
        <v>0.96505957378396234</v>
      </c>
      <c r="Y224" s="381">
        <f t="shared" si="538"/>
        <v>0.92666223404255321</v>
      </c>
      <c r="Z224" s="381">
        <f t="shared" si="538"/>
        <v>1.0199438694965799</v>
      </c>
      <c r="AA224" s="1339">
        <f t="shared" si="538"/>
        <v>0.95720591057378623</v>
      </c>
      <c r="AB224" s="381">
        <f t="shared" si="538"/>
        <v>0.90145000593049462</v>
      </c>
      <c r="AC224" s="381">
        <f t="shared" si="538"/>
        <v>0.96762314178779185</v>
      </c>
      <c r="AD224" s="381">
        <f t="shared" si="538"/>
        <v>0.93441909441909432</v>
      </c>
      <c r="AE224" s="381">
        <f t="shared" si="538"/>
        <v>1.0337933528188754</v>
      </c>
      <c r="AF224" s="1339">
        <f t="shared" si="538"/>
        <v>0.95865245824373291</v>
      </c>
      <c r="AG224" s="381">
        <f t="shared" si="538"/>
        <v>0.91742311427646495</v>
      </c>
      <c r="AH224" s="381">
        <f t="shared" si="538"/>
        <v>0.98499726129881227</v>
      </c>
      <c r="AI224" s="381">
        <f t="shared" si="539" ref="AI224:AU224">AI232/AI216</f>
        <v>0.94355558348520074</v>
      </c>
      <c r="AJ224" s="381">
        <f t="shared" si="539"/>
        <v>1.0386626185767014</v>
      </c>
      <c r="AK224" s="1339">
        <f t="shared" si="539"/>
        <v>0.97131392634604619</v>
      </c>
      <c r="AL224" s="381">
        <f t="shared" si="539"/>
        <v>0.93959562224438076</v>
      </c>
      <c r="AM224" s="381">
        <f t="shared" si="539"/>
        <v>0.95912945501986591</v>
      </c>
      <c r="AN224" s="381">
        <f t="shared" si="539"/>
        <v>0.935473341812329</v>
      </c>
      <c r="AO224" s="381">
        <f t="shared" si="539"/>
        <v>1.0906458941901984</v>
      </c>
      <c r="AP224" s="1339">
        <f t="shared" si="539"/>
        <v>0.97833102397533489</v>
      </c>
      <c r="AQ224" s="381">
        <f t="shared" si="539"/>
        <v>0.90154733971716661</v>
      </c>
      <c r="AR224" s="381">
        <f t="shared" si="539"/>
        <v>0.99483157681849865</v>
      </c>
      <c r="AS224" s="381">
        <f t="shared" si="539"/>
        <v>0.94623485544675767</v>
      </c>
      <c r="AT224" s="381">
        <f t="shared" si="539"/>
        <v>1.0828527235884458</v>
      </c>
      <c r="AU224" s="1339">
        <f t="shared" si="539"/>
        <v>0.97800590564243217</v>
      </c>
      <c r="AV224" s="381">
        <f t="shared" si="524"/>
        <v>0.93805883381864219</v>
      </c>
      <c r="AW224" s="381">
        <f t="shared" si="524"/>
        <v>0.97887569279493247</v>
      </c>
      <c r="AX224" s="381">
        <f t="shared" si="525"/>
        <v>0.92160906186465286</v>
      </c>
      <c r="AY224" s="381">
        <f t="shared" si="526"/>
        <v>1.0218792592820325</v>
      </c>
      <c r="AZ224" s="1339">
        <f t="shared" si="526"/>
        <v>0.96440037170462201</v>
      </c>
      <c r="BA224" s="381">
        <f t="shared" si="527"/>
        <v>0.87322920450417707</v>
      </c>
      <c r="BB224" s="381">
        <f t="shared" si="528"/>
        <v>0.98170705424953242</v>
      </c>
      <c r="BC224" s="381">
        <f t="shared" si="529"/>
        <v>0.93062843775684378</v>
      </c>
      <c r="BD224" s="381">
        <f t="shared" si="530"/>
        <v>1.0211149409289264</v>
      </c>
      <c r="BE224" s="1339">
        <f t="shared" si="530"/>
        <v>0.95126283938165135</v>
      </c>
      <c r="BF224" s="381">
        <f t="shared" si="531"/>
        <v>0.88932317742681732</v>
      </c>
      <c r="BG224" s="381">
        <f t="shared" si="532"/>
        <v>0.9482832028567505</v>
      </c>
      <c r="BH224" s="813">
        <f t="shared" si="533"/>
        <v>0.90904626264610577</v>
      </c>
      <c r="BI224" s="909">
        <f t="shared" si="530"/>
        <v>1.002208765749306</v>
      </c>
      <c r="BJ224" s="1340">
        <f t="shared" si="534"/>
        <v>0.9365473344928521</v>
      </c>
      <c r="BK224" s="909">
        <f t="shared" si="535"/>
        <v>1.0029705025897995</v>
      </c>
      <c r="BL224" s="909">
        <f t="shared" si="535"/>
        <v>0.96593190465728784</v>
      </c>
      <c r="BM224" s="909">
        <f t="shared" si="535"/>
        <v>0.96869148320795073</v>
      </c>
      <c r="BN224" s="909">
        <f t="shared" si="535"/>
        <v>1.0024946280326712</v>
      </c>
      <c r="BO224" s="1340">
        <f t="shared" si="535"/>
        <v>0.98454865341725684</v>
      </c>
      <c r="BP224" s="1339">
        <f t="shared" si="535"/>
        <v>0.98</v>
      </c>
      <c r="BQ224" s="1339">
        <f t="shared" si="535"/>
        <v>0.98000000000000009</v>
      </c>
      <c r="BR224" s="1340">
        <f t="shared" si="535"/>
        <v>0.9800000000000002</v>
      </c>
      <c r="BS224" s="648"/>
    </row>
    <row r="225" spans="1:71" s="676" customFormat="1" ht="15" hidden="1" outlineLevel="1">
      <c r="A225" s="925" t="str">
        <f>A146</f>
        <v>Commercial Lines - Percentage of Written Premiums Earned, %</v>
      </c>
      <c r="B225" s="397"/>
      <c r="C225" s="1339">
        <f t="shared" si="540" ref="C225:AH225">C233/C217</f>
        <v>1.0582828085272833</v>
      </c>
      <c r="D225" s="1339">
        <f t="shared" si="540"/>
        <v>1.0170403587443946</v>
      </c>
      <c r="E225" s="1339">
        <f t="shared" si="540"/>
        <v>0.9562015251254643</v>
      </c>
      <c r="F225" s="1339">
        <f t="shared" si="540"/>
        <v>0.94993951264473753</v>
      </c>
      <c r="G225" s="1339">
        <f t="shared" si="540"/>
        <v>0.99497317142050268</v>
      </c>
      <c r="H225" s="381">
        <f t="shared" si="540"/>
        <v>0.94608055435253346</v>
      </c>
      <c r="I225" s="381">
        <f t="shared" si="540"/>
        <v>0.88066167782591565</v>
      </c>
      <c r="J225" s="381">
        <f t="shared" si="540"/>
        <v>0.98403107466551576</v>
      </c>
      <c r="K225" s="381">
        <f t="shared" si="540"/>
        <v>1.0756920415224913</v>
      </c>
      <c r="L225" s="1339">
        <f t="shared" si="540"/>
        <v>0.96945235834124721</v>
      </c>
      <c r="M225" s="381">
        <f t="shared" si="540"/>
        <v>0.87817736772735822</v>
      </c>
      <c r="N225" s="381">
        <f t="shared" si="540"/>
        <v>0.84551581130119224</v>
      </c>
      <c r="O225" s="381">
        <f t="shared" si="540"/>
        <v>0.92309081061563469</v>
      </c>
      <c r="P225" s="381">
        <f t="shared" si="540"/>
        <v>1.0421674876847302</v>
      </c>
      <c r="Q225" s="1339">
        <f t="shared" si="540"/>
        <v>0.91926123802505544</v>
      </c>
      <c r="R225" s="381">
        <f t="shared" si="540"/>
        <v>0.82962962962962961</v>
      </c>
      <c r="S225" s="381">
        <f t="shared" si="540"/>
        <v>0.81950006905123596</v>
      </c>
      <c r="T225" s="381">
        <f t="shared" si="540"/>
        <v>0.94073742349604428</v>
      </c>
      <c r="U225" s="381">
        <f t="shared" si="540"/>
        <v>1.1954679439941047</v>
      </c>
      <c r="V225" s="1339">
        <f t="shared" si="540"/>
        <v>0.93187853596582382</v>
      </c>
      <c r="W225" s="381">
        <f t="shared" si="540"/>
        <v>0.97669844151914065</v>
      </c>
      <c r="X225" s="381">
        <f t="shared" si="540"/>
        <v>0.78368918445922298</v>
      </c>
      <c r="Y225" s="381">
        <f t="shared" si="540"/>
        <v>0.86472084292115781</v>
      </c>
      <c r="Z225" s="381">
        <f t="shared" si="540"/>
        <v>0.99180754226267887</v>
      </c>
      <c r="AA225" s="1339">
        <f t="shared" si="540"/>
        <v>0.89758087833713507</v>
      </c>
      <c r="AB225" s="381">
        <f t="shared" si="540"/>
        <v>0.87237026647966343</v>
      </c>
      <c r="AC225" s="381">
        <f t="shared" si="540"/>
        <v>0.8460581706850363</v>
      </c>
      <c r="AD225" s="381">
        <f t="shared" si="540"/>
        <v>0.86702962074374823</v>
      </c>
      <c r="AE225" s="381">
        <f t="shared" si="540"/>
        <v>1.0401871146076973</v>
      </c>
      <c r="AF225" s="1339">
        <f t="shared" si="540"/>
        <v>0.90353818436592936</v>
      </c>
      <c r="AG225" s="381">
        <f t="shared" si="540"/>
        <v>0.86937864744249915</v>
      </c>
      <c r="AH225" s="381">
        <f t="shared" si="540"/>
        <v>0.90513232434260582</v>
      </c>
      <c r="AI225" s="381">
        <f t="shared" si="541" ref="AI225:AU225">AI233/AI217</f>
        <v>0.91889423875145293</v>
      </c>
      <c r="AJ225" s="381">
        <f t="shared" si="541"/>
        <v>0.99830549503752131</v>
      </c>
      <c r="AK225" s="1339">
        <f t="shared" si="541"/>
        <v>0.92399515839559254</v>
      </c>
      <c r="AL225" s="381">
        <f t="shared" si="541"/>
        <v>1.0392448212568832</v>
      </c>
      <c r="AM225" s="381">
        <f t="shared" si="541"/>
        <v>0.94469082085181166</v>
      </c>
      <c r="AN225" s="381">
        <f t="shared" si="541"/>
        <v>0.75458102987763209</v>
      </c>
      <c r="AO225" s="381">
        <f t="shared" si="541"/>
        <v>0.98301859171424366</v>
      </c>
      <c r="AP225" s="1339">
        <f t="shared" si="541"/>
        <v>0.91731416853235004</v>
      </c>
      <c r="AQ225" s="381">
        <f t="shared" si="541"/>
        <v>0.79025695334708213</v>
      </c>
      <c r="AR225" s="381">
        <f t="shared" si="541"/>
        <v>0.81649297689170808</v>
      </c>
      <c r="AS225" s="381">
        <f t="shared" si="541"/>
        <v>0.79078387599511402</v>
      </c>
      <c r="AT225" s="381">
        <f t="shared" si="541"/>
        <v>1.0896099709895779</v>
      </c>
      <c r="AU225" s="1339">
        <f t="shared" si="541"/>
        <v>0.86642797440087826</v>
      </c>
      <c r="AV225" s="381">
        <f t="shared" si="524"/>
        <v>0.72707386266534502</v>
      </c>
      <c r="AW225" s="381">
        <f t="shared" si="524"/>
        <v>0.99809424809424829</v>
      </c>
      <c r="AX225" s="381">
        <f t="shared" si="525"/>
        <v>1.1230679780997141</v>
      </c>
      <c r="AY225" s="381">
        <f t="shared" si="526"/>
        <v>1.1135021900590363</v>
      </c>
      <c r="AZ225" s="1339">
        <f t="shared" si="526"/>
        <v>0.96696386772779508</v>
      </c>
      <c r="BA225" s="381">
        <f t="shared" si="527"/>
        <v>0.69978318334372858</v>
      </c>
      <c r="BB225" s="381">
        <f t="shared" si="528"/>
        <v>1.0370605138607165</v>
      </c>
      <c r="BC225" s="381">
        <f t="shared" si="529"/>
        <v>1.1226691949975167</v>
      </c>
      <c r="BD225" s="381">
        <f t="shared" si="530"/>
        <v>1.1880279439295023</v>
      </c>
      <c r="BE225" s="1339">
        <f t="shared" si="530"/>
        <v>0.97636684651272909</v>
      </c>
      <c r="BF225" s="381">
        <f t="shared" si="531"/>
        <v>0.68239186701176724</v>
      </c>
      <c r="BG225" s="381">
        <f t="shared" si="532"/>
        <v>1.0621885588997406</v>
      </c>
      <c r="BH225" s="813">
        <f t="shared" si="533"/>
        <v>1.1464911911869824</v>
      </c>
      <c r="BI225" s="909">
        <f t="shared" si="530"/>
        <v>0.90000000000000013</v>
      </c>
      <c r="BJ225" s="1340">
        <f t="shared" si="534"/>
        <v>0.91613285057776273</v>
      </c>
      <c r="BK225" s="909">
        <f t="shared" si="535"/>
        <v>0.90</v>
      </c>
      <c r="BL225" s="909">
        <f t="shared" si="535"/>
        <v>0.90</v>
      </c>
      <c r="BM225" s="909">
        <f t="shared" si="535"/>
        <v>0.89999999999999991</v>
      </c>
      <c r="BN225" s="909">
        <f t="shared" si="535"/>
        <v>0.89999999999999991</v>
      </c>
      <c r="BO225" s="1340">
        <f t="shared" si="535"/>
        <v>0.89999999999999991</v>
      </c>
      <c r="BP225" s="1339">
        <f t="shared" si="535"/>
        <v>0.92</v>
      </c>
      <c r="BQ225" s="1339">
        <f t="shared" si="535"/>
        <v>0.92</v>
      </c>
      <c r="BR225" s="1340">
        <f t="shared" si="535"/>
        <v>0.92</v>
      </c>
      <c r="BS225" s="648"/>
    </row>
    <row r="226" spans="1:71" s="676" customFormat="1" ht="15" hidden="1" outlineLevel="1">
      <c r="A226" s="925" t="str">
        <f>A181</f>
        <v>Property Business - Percentage of Written Premiums Earned, %</v>
      </c>
      <c r="B226" s="397"/>
      <c r="C226" s="1339"/>
      <c r="D226" s="1339"/>
      <c r="E226" s="1339"/>
      <c r="F226" s="1339"/>
      <c r="G226" s="1339"/>
      <c r="H226" s="381"/>
      <c r="I226" s="381"/>
      <c r="J226" s="381"/>
      <c r="K226" s="381"/>
      <c r="L226" s="1339"/>
      <c r="M226" s="381"/>
      <c r="N226" s="381">
        <f t="shared" si="542" ref="N226:AU226">N234/N218</f>
        <v>0.72863953061972864</v>
      </c>
      <c r="O226" s="381">
        <f t="shared" si="542"/>
        <v>0.91771019677996424</v>
      </c>
      <c r="P226" s="381">
        <f t="shared" si="542"/>
        <v>1.0615623383341954</v>
      </c>
      <c r="Q226" s="1339">
        <f t="shared" si="542"/>
        <v>0.88326566125290018</v>
      </c>
      <c r="R226" s="381">
        <f t="shared" si="542"/>
        <v>1.168907071887785</v>
      </c>
      <c r="S226" s="381">
        <f t="shared" si="542"/>
        <v>0.69543650793650802</v>
      </c>
      <c r="T226" s="381">
        <f t="shared" si="542"/>
        <v>0.937037037037037</v>
      </c>
      <c r="U226" s="381">
        <f t="shared" si="542"/>
        <v>1.033302919708029</v>
      </c>
      <c r="V226" s="1339">
        <f t="shared" si="542"/>
        <v>0.92390723522496521</v>
      </c>
      <c r="W226" s="381">
        <f t="shared" si="542"/>
        <v>1.0424354243542435</v>
      </c>
      <c r="X226" s="381">
        <f t="shared" si="542"/>
        <v>0.82193193537298048</v>
      </c>
      <c r="Y226" s="381">
        <f t="shared" si="542"/>
        <v>0.84868639840372462</v>
      </c>
      <c r="Z226" s="381">
        <f t="shared" si="542"/>
        <v>0.95010615711252644</v>
      </c>
      <c r="AA226" s="1339">
        <f t="shared" si="542"/>
        <v>0.9063244729605866</v>
      </c>
      <c r="AB226" s="381">
        <f t="shared" si="542"/>
        <v>0.9602827330865028</v>
      </c>
      <c r="AC226" s="381">
        <f t="shared" si="542"/>
        <v>0.78650553877139973</v>
      </c>
      <c r="AD226" s="381">
        <f t="shared" si="542"/>
        <v>0.84338863750628457</v>
      </c>
      <c r="AE226" s="381">
        <f t="shared" si="542"/>
        <v>0.97443650357339151</v>
      </c>
      <c r="AF226" s="1339">
        <f t="shared" si="542"/>
        <v>0.88447008723126586</v>
      </c>
      <c r="AG226" s="381">
        <f t="shared" si="542"/>
        <v>1.027825099375355</v>
      </c>
      <c r="AH226" s="381">
        <f t="shared" si="542"/>
        <v>0.83140676117775347</v>
      </c>
      <c r="AI226" s="381">
        <f t="shared" si="542"/>
        <v>0.8648119973918712</v>
      </c>
      <c r="AJ226" s="381">
        <f t="shared" si="542"/>
        <v>1.0014524328249821</v>
      </c>
      <c r="AK226" s="1339">
        <f t="shared" si="542"/>
        <v>0.92333273947384042</v>
      </c>
      <c r="AL226" s="381">
        <f t="shared" si="542"/>
        <v>1.0428961071162905</v>
      </c>
      <c r="AM226" s="381">
        <f t="shared" si="542"/>
        <v>0.84281262173743643</v>
      </c>
      <c r="AN226" s="381">
        <f t="shared" si="542"/>
        <v>0.8593659942363111</v>
      </c>
      <c r="AO226" s="381">
        <f t="shared" si="542"/>
        <v>0.98205236486486536</v>
      </c>
      <c r="AP226" s="1339">
        <f t="shared" si="542"/>
        <v>0.92406321959388737</v>
      </c>
      <c r="AQ226" s="381">
        <f t="shared" si="542"/>
        <v>0.9976773648648648</v>
      </c>
      <c r="AR226" s="381">
        <f t="shared" si="542"/>
        <v>0.85005923168048736</v>
      </c>
      <c r="AS226" s="381">
        <f t="shared" si="542"/>
        <v>0.87168874172185429</v>
      </c>
      <c r="AT226" s="381">
        <f t="shared" si="542"/>
        <v>0.98813218915464707</v>
      </c>
      <c r="AU226" s="1339">
        <f t="shared" si="542"/>
        <v>0.92162259723851647</v>
      </c>
      <c r="AV226" s="381">
        <f t="shared" si="524"/>
        <v>1.0410371199403097</v>
      </c>
      <c r="AW226" s="381">
        <f t="shared" si="524"/>
        <v>0.89196372732958074</v>
      </c>
      <c r="AX226" s="381">
        <f t="shared" si="525"/>
        <v>0.89831865492393914</v>
      </c>
      <c r="AY226" s="381">
        <f t="shared" si="526"/>
        <v>0.96492103075644275</v>
      </c>
      <c r="AZ226" s="1339">
        <f t="shared" si="526"/>
        <v>0.94516384227838623</v>
      </c>
      <c r="BA226" s="381">
        <f t="shared" si="527"/>
        <v>0.95122338735303469</v>
      </c>
      <c r="BB226" s="381">
        <f t="shared" si="528"/>
        <v>0.82940157270425163</v>
      </c>
      <c r="BC226" s="381">
        <f t="shared" si="529"/>
        <v>0.87120794263651391</v>
      </c>
      <c r="BD226" s="381">
        <f t="shared" si="530"/>
        <v>0.96265674521151978</v>
      </c>
      <c r="BE226" s="1339">
        <f t="shared" si="530"/>
        <v>0.9013636684801809</v>
      </c>
      <c r="BF226" s="381">
        <f t="shared" si="531"/>
        <v>0.971911644395964</v>
      </c>
      <c r="BG226" s="381">
        <f t="shared" si="532"/>
        <v>0.88566614514382014</v>
      </c>
      <c r="BH226" s="813">
        <f t="shared" si="533"/>
        <v>0.96724225495175209</v>
      </c>
      <c r="BI226" s="909">
        <f t="shared" si="530"/>
        <v>0.90</v>
      </c>
      <c r="BJ226" s="1340">
        <f t="shared" si="534"/>
        <v>0.9293588950792252</v>
      </c>
      <c r="BK226" s="909">
        <f t="shared" si="535"/>
        <v>0.89999999999999991</v>
      </c>
      <c r="BL226" s="909">
        <f t="shared" si="535"/>
        <v>0.90</v>
      </c>
      <c r="BM226" s="909">
        <f t="shared" si="535"/>
        <v>0.90</v>
      </c>
      <c r="BN226" s="909">
        <f t="shared" si="535"/>
        <v>0.90</v>
      </c>
      <c r="BO226" s="1340">
        <f t="shared" si="535"/>
        <v>0.90</v>
      </c>
      <c r="BP226" s="1339">
        <f t="shared" si="535"/>
        <v>0.92</v>
      </c>
      <c r="BQ226" s="1339">
        <f t="shared" si="535"/>
        <v>0.92</v>
      </c>
      <c r="BR226" s="1340">
        <f t="shared" si="535"/>
        <v>0.92</v>
      </c>
      <c r="BS226" s="648"/>
    </row>
    <row r="227" spans="1:71" s="676" customFormat="1" ht="15" hidden="1" outlineLevel="1">
      <c r="A227" s="484" t="s">
        <v>572</v>
      </c>
      <c r="B227" s="398"/>
      <c r="C227" s="1366">
        <f t="shared" si="543" ref="C227:E228">C235/C219</f>
        <v>1.4842767295597485</v>
      </c>
      <c r="D227" s="1366">
        <f t="shared" si="543"/>
        <v>4.7241379310344831</v>
      </c>
      <c r="E227" s="1366">
        <f t="shared" si="543"/>
        <v>45.999999999999993</v>
      </c>
      <c r="F227" s="1366"/>
      <c r="G227" s="1366"/>
      <c r="H227" s="382"/>
      <c r="I227" s="382"/>
      <c r="J227" s="382"/>
      <c r="K227" s="382"/>
      <c r="L227" s="1366"/>
      <c r="M227" s="382"/>
      <c r="N227" s="382">
        <f>N235/N219</f>
        <v>1</v>
      </c>
      <c r="O227" s="382"/>
      <c r="P227" s="382"/>
      <c r="Q227" s="1366">
        <f>Q235/Q219</f>
        <v>1</v>
      </c>
      <c r="R227" s="382"/>
      <c r="S227" s="382"/>
      <c r="T227" s="382"/>
      <c r="U227" s="382"/>
      <c r="V227" s="1366"/>
      <c r="W227" s="382"/>
      <c r="X227" s="382"/>
      <c r="Y227" s="382"/>
      <c r="Z227" s="382"/>
      <c r="AA227" s="1366"/>
      <c r="AB227" s="382"/>
      <c r="AC227" s="382"/>
      <c r="AD227" s="382"/>
      <c r="AE227" s="382"/>
      <c r="AF227" s="1366"/>
      <c r="AG227" s="382"/>
      <c r="AH227" s="382"/>
      <c r="AI227" s="382"/>
      <c r="AJ227" s="382"/>
      <c r="AK227" s="1366"/>
      <c r="AL227" s="382"/>
      <c r="AM227" s="382"/>
      <c r="AN227" s="382"/>
      <c r="AO227" s="382"/>
      <c r="AP227" s="1366"/>
      <c r="AQ227" s="382"/>
      <c r="AR227" s="382">
        <f t="shared" si="544" ref="AR227:AV228">AR235/AR219</f>
        <v>1.3793103448275863</v>
      </c>
      <c r="AS227" s="382">
        <f t="shared" si="544"/>
        <v>2.1538461538461537</v>
      </c>
      <c r="AT227" s="382">
        <f t="shared" si="544"/>
        <v>9.0000000000000355</v>
      </c>
      <c r="AU227" s="1366">
        <f t="shared" si="544"/>
        <v>1.7906976744186047</v>
      </c>
      <c r="AV227" s="382">
        <f t="shared" si="544"/>
        <v>2.3333333333333335</v>
      </c>
      <c r="AW227" s="382">
        <f>AW235/AW219</f>
        <v>0.50</v>
      </c>
      <c r="AX227" s="382">
        <f t="shared" si="525"/>
        <v>1.7499999999999998</v>
      </c>
      <c r="AY227" s="382">
        <f>AY235/AY219</f>
        <v>3.4999999999999991</v>
      </c>
      <c r="AZ227" s="1366">
        <f>AZ235/AZ219</f>
        <v>1.2857142857142858</v>
      </c>
      <c r="BA227" s="382">
        <f t="shared" si="527"/>
        <v>3.4999999999999996</v>
      </c>
      <c r="BB227" s="382">
        <f t="shared" si="528"/>
        <v>1</v>
      </c>
      <c r="BC227" s="382">
        <f t="shared" si="529"/>
        <v>1</v>
      </c>
      <c r="BD227" s="382">
        <f>BD235/BD219</f>
        <v>-1.0000000000000004</v>
      </c>
      <c r="BE227" s="1366">
        <f>BE235/BE219</f>
        <v>3.3333333333333335</v>
      </c>
      <c r="BF227" s="382">
        <f t="shared" si="531"/>
        <v>1</v>
      </c>
      <c r="BG227" s="382">
        <f>IFERROR(BG235/BG219,"N/A")</f>
        <v>1</v>
      </c>
      <c r="BH227" s="818">
        <f t="shared" si="533"/>
        <v>2</v>
      </c>
      <c r="BI227" s="1230">
        <v>0</v>
      </c>
      <c r="BJ227" s="1366">
        <f>IFERROR(BJ235/BJ219,"N/A")</f>
        <v>1.2000000000000002</v>
      </c>
      <c r="BK227" s="1230">
        <v>0</v>
      </c>
      <c r="BL227" s="1230">
        <v>0</v>
      </c>
      <c r="BM227" s="1230">
        <v>0</v>
      </c>
      <c r="BN227" s="1230">
        <v>0</v>
      </c>
      <c r="BO227" s="1366" t="str">
        <f>IFERROR(BO235/BO219,"N/A")</f>
        <v>N/A</v>
      </c>
      <c r="BP227" s="1367">
        <v>0</v>
      </c>
      <c r="BQ227" s="1367">
        <v>0</v>
      </c>
      <c r="BR227" s="1367">
        <v>0</v>
      </c>
      <c r="BS227" s="648"/>
    </row>
    <row r="228" spans="1:71" s="671" customFormat="1" ht="15" hidden="1" outlineLevel="1">
      <c r="A228" s="58" t="s">
        <v>20</v>
      </c>
      <c r="B228" s="399"/>
      <c r="C228" s="1368">
        <f t="shared" si="543"/>
        <v>1.0007069964078872</v>
      </c>
      <c r="D228" s="1357">
        <f t="shared" si="543"/>
        <v>0.98880968169761285</v>
      </c>
      <c r="E228" s="1357">
        <f t="shared" si="543"/>
        <v>0.98390397845060928</v>
      </c>
      <c r="F228" s="1357">
        <f t="shared" si="545" ref="F228:M228">F236/F220</f>
        <v>0.97833588839959196</v>
      </c>
      <c r="G228" s="1357">
        <f t="shared" si="545"/>
        <v>0.98637231324648067</v>
      </c>
      <c r="H228" s="559">
        <f t="shared" si="545"/>
        <v>0.9404614398632769</v>
      </c>
      <c r="I228" s="559">
        <f t="shared" si="545"/>
        <v>0.97532251442401197</v>
      </c>
      <c r="J228" s="559">
        <f t="shared" si="545"/>
        <v>0.95938549965133257</v>
      </c>
      <c r="K228" s="559">
        <f t="shared" si="545"/>
        <v>1.0713109068839957</v>
      </c>
      <c r="L228" s="1357">
        <f t="shared" si="545"/>
        <v>0.98627148263699038</v>
      </c>
      <c r="M228" s="559">
        <f t="shared" si="545"/>
        <v>0.92095602747296101</v>
      </c>
      <c r="N228" s="559">
        <f>N236/N220</f>
        <v>0.95228836659613803</v>
      </c>
      <c r="O228" s="559">
        <f>O236/O220</f>
        <v>0.9368141004323246</v>
      </c>
      <c r="P228" s="559">
        <f>P236/P220</f>
        <v>1.0677689366539216</v>
      </c>
      <c r="Q228" s="1357">
        <f>Q236/Q220</f>
        <v>0.96766679634312402</v>
      </c>
      <c r="R228" s="559">
        <f t="shared" si="546" ref="R228:AQ228">R236/R220</f>
        <v>0.91389385398047585</v>
      </c>
      <c r="S228" s="559">
        <f t="shared" si="546"/>
        <v>0.93718194992080339</v>
      </c>
      <c r="T228" s="559">
        <f t="shared" si="546"/>
        <v>0.94617292114399065</v>
      </c>
      <c r="U228" s="559">
        <f t="shared" si="546"/>
        <v>1.0576240655678646</v>
      </c>
      <c r="V228" s="1357">
        <f t="shared" si="546"/>
        <v>0.96233969212323633</v>
      </c>
      <c r="W228" s="559">
        <f t="shared" si="546"/>
        <v>0.92847018949314442</v>
      </c>
      <c r="X228" s="559">
        <f t="shared" si="546"/>
        <v>0.93584441380946026</v>
      </c>
      <c r="Y228" s="559">
        <f t="shared" si="546"/>
        <v>0.91621863799283154</v>
      </c>
      <c r="Z228" s="559">
        <f t="shared" si="546"/>
        <v>1.0138169001569768</v>
      </c>
      <c r="AA228" s="1357">
        <f t="shared" si="546"/>
        <v>0.94831951820905858</v>
      </c>
      <c r="AB228" s="559">
        <f t="shared" si="546"/>
        <v>0.9002610179700834</v>
      </c>
      <c r="AC228" s="559">
        <f t="shared" si="546"/>
        <v>0.94304102380393573</v>
      </c>
      <c r="AD228" s="559">
        <f t="shared" si="546"/>
        <v>0.92172245467224545</v>
      </c>
      <c r="AE228" s="559">
        <f t="shared" si="546"/>
        <v>1.0318315747059863</v>
      </c>
      <c r="AF228" s="1357">
        <f t="shared" si="546"/>
        <v>0.94858616555095232</v>
      </c>
      <c r="AG228" s="559">
        <f t="shared" si="546"/>
        <v>0.91557267935800146</v>
      </c>
      <c r="AH228" s="559">
        <f t="shared" si="546"/>
        <v>0.96693146332109803</v>
      </c>
      <c r="AI228" s="559">
        <f t="shared" si="546"/>
        <v>0.93670228245956821</v>
      </c>
      <c r="AJ228" s="559">
        <f t="shared" si="546"/>
        <v>1.0318446763917708</v>
      </c>
      <c r="AK228" s="1357">
        <f t="shared" si="546"/>
        <v>0.9631299247696119</v>
      </c>
      <c r="AL228" s="559">
        <f t="shared" si="546"/>
        <v>0.95536555468884554</v>
      </c>
      <c r="AM228" s="559">
        <f t="shared" si="546"/>
        <v>0.95153846153846156</v>
      </c>
      <c r="AN228" s="559">
        <f t="shared" si="546"/>
        <v>0.90543889751341322</v>
      </c>
      <c r="AO228" s="559">
        <f t="shared" si="546"/>
        <v>1.0698468922586799</v>
      </c>
      <c r="AP228" s="1357">
        <f t="shared" si="546"/>
        <v>0.96778057960940311</v>
      </c>
      <c r="AQ228" s="559">
        <f t="shared" si="546"/>
        <v>0.88840576003273897</v>
      </c>
      <c r="AR228" s="559">
        <f t="shared" si="544"/>
        <v>0.95662134264784016</v>
      </c>
      <c r="AS228" s="559">
        <f t="shared" si="544"/>
        <v>0.91309203390511384</v>
      </c>
      <c r="AT228" s="559">
        <f t="shared" si="544"/>
        <v>1.0792702780646177</v>
      </c>
      <c r="AU228" s="1357">
        <f t="shared" si="544"/>
        <v>0.95611483195848723</v>
      </c>
      <c r="AV228" s="559">
        <f>AV236/AV220</f>
        <v>0.89544799332372393</v>
      </c>
      <c r="AW228" s="559">
        <f>AW236/AW220</f>
        <v>0.97792643755886677</v>
      </c>
      <c r="AX228" s="559">
        <f t="shared" si="525"/>
        <v>0.95245740447694693</v>
      </c>
      <c r="AY228" s="559">
        <f>AY236/AY220</f>
        <v>1.0346142116498933</v>
      </c>
      <c r="AZ228" s="1357">
        <f>AZ236/AZ220</f>
        <v>0.96398080699123545</v>
      </c>
      <c r="BA228" s="559">
        <f t="shared" si="527"/>
        <v>0.84005909483106445</v>
      </c>
      <c r="BB228" s="559">
        <f t="shared" si="528"/>
        <v>0.98284285413368322</v>
      </c>
      <c r="BC228" s="559">
        <f t="shared" si="529"/>
        <v>0.95514242840103103</v>
      </c>
      <c r="BD228" s="559">
        <f>BD236/BD220</f>
        <v>1.0424856904916127</v>
      </c>
      <c r="BE228" s="1357">
        <f>BE236/BE220</f>
        <v>0.9531146933722392</v>
      </c>
      <c r="BF228" s="559">
        <f t="shared" si="531"/>
        <v>0.85162059254727807</v>
      </c>
      <c r="BG228" s="559">
        <f t="shared" si="532"/>
        <v>0.96133865129373919</v>
      </c>
      <c r="BH228" s="816">
        <f t="shared" si="533"/>
        <v>0.94043360266452891</v>
      </c>
      <c r="BI228" s="560">
        <f t="shared" si="547" ref="BI228:BR228">BI236/BI220</f>
        <v>0.98380549173696086</v>
      </c>
      <c r="BJ228" s="1358">
        <f t="shared" si="547"/>
        <v>0.93321025087205101</v>
      </c>
      <c r="BK228" s="560">
        <f t="shared" si="547"/>
        <v>0.9813938454749801</v>
      </c>
      <c r="BL228" s="560">
        <f t="shared" si="547"/>
        <v>0.95472993434425446</v>
      </c>
      <c r="BM228" s="560">
        <f t="shared" si="547"/>
        <v>0.95828831341812803</v>
      </c>
      <c r="BN228" s="560">
        <f t="shared" si="547"/>
        <v>0.98396001568920644</v>
      </c>
      <c r="BO228" s="1358">
        <f t="shared" si="547"/>
        <v>0.96950204674557494</v>
      </c>
      <c r="BP228" s="1358">
        <f t="shared" si="547"/>
        <v>0.96932216701494334</v>
      </c>
      <c r="BQ228" s="1358">
        <f t="shared" si="547"/>
        <v>0.96932216701494334</v>
      </c>
      <c r="BR228" s="1358">
        <f t="shared" si="547"/>
        <v>0.96932216701494345</v>
      </c>
      <c r="BS228" s="648"/>
    </row>
    <row r="229" spans="1:71" s="671" customFormat="1" ht="15" hidden="1" outlineLevel="1">
      <c r="A229" s="573"/>
      <c r="B229" s="401"/>
      <c r="C229" s="1369"/>
      <c r="D229" s="1331"/>
      <c r="E229" s="1331"/>
      <c r="F229" s="1331"/>
      <c r="G229" s="1331"/>
      <c r="H229" s="289"/>
      <c r="I229" s="289"/>
      <c r="J229" s="289"/>
      <c r="K229" s="289"/>
      <c r="L229" s="1331"/>
      <c r="M229" s="289"/>
      <c r="N229" s="289"/>
      <c r="O229" s="289"/>
      <c r="P229" s="289"/>
      <c r="Q229" s="1331"/>
      <c r="R229" s="289"/>
      <c r="S229" s="289"/>
      <c r="T229" s="289"/>
      <c r="U229" s="289"/>
      <c r="V229" s="1331"/>
      <c r="W229" s="289"/>
      <c r="X229" s="289"/>
      <c r="Y229" s="289"/>
      <c r="Z229" s="289"/>
      <c r="AA229" s="1331"/>
      <c r="AB229" s="289"/>
      <c r="AC229" s="289"/>
      <c r="AD229" s="289"/>
      <c r="AE229" s="289"/>
      <c r="AF229" s="1331"/>
      <c r="AG229" s="289"/>
      <c r="AH229" s="289"/>
      <c r="AI229" s="289"/>
      <c r="AJ229" s="289"/>
      <c r="AK229" s="1331"/>
      <c r="AL229" s="289"/>
      <c r="AM229" s="289"/>
      <c r="AN229" s="289"/>
      <c r="AO229" s="289"/>
      <c r="AP229" s="1331"/>
      <c r="AQ229" s="289"/>
      <c r="AR229" s="289"/>
      <c r="AS229" s="289"/>
      <c r="AT229" s="289"/>
      <c r="AU229" s="1331"/>
      <c r="AV229" s="289"/>
      <c r="AW229" s="289"/>
      <c r="AX229" s="289"/>
      <c r="AY229" s="289"/>
      <c r="AZ229" s="1331"/>
      <c r="BA229" s="289"/>
      <c r="BB229" s="289"/>
      <c r="BC229" s="289"/>
      <c r="BD229" s="289"/>
      <c r="BE229" s="1331"/>
      <c r="BF229" s="289"/>
      <c r="BG229" s="289"/>
      <c r="BH229" s="819"/>
      <c r="BI229" s="289"/>
      <c r="BJ229" s="1331"/>
      <c r="BK229" s="289"/>
      <c r="BL229" s="289"/>
      <c r="BM229" s="289"/>
      <c r="BN229" s="289"/>
      <c r="BO229" s="1331"/>
      <c r="BP229" s="1331"/>
      <c r="BQ229" s="1331"/>
      <c r="BR229" s="1331"/>
      <c r="BS229" s="648"/>
    </row>
    <row r="230" spans="1:71" s="665" customFormat="1" ht="15" hidden="1" outlineLevel="1">
      <c r="A230" s="31" t="str">
        <f>A55</f>
        <v>Agency Auto - Net Earned Premiums, mm</v>
      </c>
      <c r="B230" s="308"/>
      <c r="C230" s="1364">
        <v>7414.80</v>
      </c>
      <c r="D230" s="1364">
        <v>7419.70</v>
      </c>
      <c r="E230" s="1364">
        <v>7627.40</v>
      </c>
      <c r="F230" s="1364">
        <v>8103.90</v>
      </c>
      <c r="G230" s="1364">
        <v>8601.50</v>
      </c>
      <c r="H230" s="1225">
        <v>2203.1999999999998</v>
      </c>
      <c r="I230" s="1225">
        <v>2242.3000000000002</v>
      </c>
      <c r="J230" s="1225">
        <v>2235.1999999999998</v>
      </c>
      <c r="K230" s="1225">
        <v>2406.3000000000002</v>
      </c>
      <c r="L230" s="1364">
        <v>9087</v>
      </c>
      <c r="M230" s="1225">
        <v>2244.50</v>
      </c>
      <c r="N230" s="1225">
        <v>2276.40</v>
      </c>
      <c r="O230" s="1225">
        <v>2284.60</v>
      </c>
      <c r="P230" s="1225">
        <v>2303.1000000000004</v>
      </c>
      <c r="Q230" s="1364">
        <v>9108.60</v>
      </c>
      <c r="R230" s="1225">
        <v>2347.90</v>
      </c>
      <c r="S230" s="1225">
        <v>2423.3000000000002</v>
      </c>
      <c r="T230" s="1225">
        <v>2474.3000000000002</v>
      </c>
      <c r="U230" s="1225">
        <v>2546.1999999999998</v>
      </c>
      <c r="V230" s="1364">
        <v>9791.7000000000007</v>
      </c>
      <c r="W230" s="1225">
        <v>2631.50</v>
      </c>
      <c r="X230" s="1225">
        <v>2752.50</v>
      </c>
      <c r="Y230" s="1225">
        <v>2840</v>
      </c>
      <c r="Z230" s="1225">
        <v>2953.6000000000004</v>
      </c>
      <c r="AA230" s="1364">
        <v>11177.60</v>
      </c>
      <c r="AB230" s="1225">
        <v>3063.80</v>
      </c>
      <c r="AC230" s="1225">
        <v>3225.70</v>
      </c>
      <c r="AD230" s="1225">
        <v>3318.20</v>
      </c>
      <c r="AE230" s="1225">
        <v>3409.50</v>
      </c>
      <c r="AF230" s="1364">
        <v>13017.20</v>
      </c>
      <c r="AG230" s="1225">
        <v>3508.50</v>
      </c>
      <c r="AH230" s="1225">
        <v>3639.60</v>
      </c>
      <c r="AI230" s="1225">
        <v>3703.40</v>
      </c>
      <c r="AJ230" s="1225">
        <v>4052.6000000000004</v>
      </c>
      <c r="AK230" s="1364">
        <v>14904.10</v>
      </c>
      <c r="AL230" s="1225">
        <v>3828.70</v>
      </c>
      <c r="AM230" s="1225">
        <v>3919</v>
      </c>
      <c r="AN230" s="1225">
        <v>4001.60</v>
      </c>
      <c r="AO230" s="1225">
        <v>4040.2000000000007</v>
      </c>
      <c r="AP230" s="1364">
        <v>15789.50</v>
      </c>
      <c r="AQ230" s="1225">
        <v>4098.20</v>
      </c>
      <c r="AR230" s="1225">
        <v>4220.30</v>
      </c>
      <c r="AS230" s="1225">
        <v>4267.8999999999996</v>
      </c>
      <c r="AT230" s="1225">
        <v>4294.6000000000004</v>
      </c>
      <c r="AU230" s="1364">
        <v>16881</v>
      </c>
      <c r="AV230" s="1225">
        <v>4323.30</v>
      </c>
      <c r="AW230" s="1042">
        <f>8689.8-AV230</f>
        <v>4366.4999999999991</v>
      </c>
      <c r="AX230" s="1225">
        <v>4441.8999999999996</v>
      </c>
      <c r="AY230" s="1042">
        <f>AZ230-SUM(AV230,AW230,AX230)</f>
        <v>4613.0000000000018</v>
      </c>
      <c r="AZ230" s="1364">
        <v>17744.700000000001</v>
      </c>
      <c r="BA230" s="1225">
        <v>4860.20</v>
      </c>
      <c r="BB230" s="1225">
        <v>5207.20</v>
      </c>
      <c r="BC230" s="1225">
        <v>5414</v>
      </c>
      <c r="BD230" s="1042">
        <f>BE230-SUM(BA230,BB230,BC230)</f>
        <v>5716.8000000000011</v>
      </c>
      <c r="BE230" s="1364">
        <v>21198.200000000001</v>
      </c>
      <c r="BF230" s="1225">
        <v>5857.70</v>
      </c>
      <c r="BG230" s="1042">
        <f>12071.1-BF230</f>
        <v>6213.40</v>
      </c>
      <c r="BH230" s="1043">
        <f>18698.9-BG230-BF230</f>
        <v>6627.80</v>
      </c>
      <c r="BI230" s="1044">
        <f t="shared" si="548" ref="BI230:BR230">BI55</f>
        <v>6379.0277554226595</v>
      </c>
      <c r="BJ230" s="1350">
        <f t="shared" si="548"/>
        <v>25077.927755422661</v>
      </c>
      <c r="BK230" s="1044">
        <f t="shared" si="548"/>
        <v>7205.589311920462</v>
      </c>
      <c r="BL230" s="1044">
        <f t="shared" si="548"/>
        <v>6939.9459844490275</v>
      </c>
      <c r="BM230" s="1044">
        <f t="shared" si="548"/>
        <v>7160.2260210635586</v>
      </c>
      <c r="BN230" s="1044">
        <f t="shared" si="548"/>
        <v>7062.2578743841759</v>
      </c>
      <c r="BO230" s="1350">
        <f t="shared" si="548"/>
        <v>28368.019191817224</v>
      </c>
      <c r="BP230" s="1351">
        <f t="shared" si="548"/>
        <v>31733.433023170091</v>
      </c>
      <c r="BQ230" s="1351">
        <f t="shared" si="548"/>
        <v>33015.463717306171</v>
      </c>
      <c r="BR230" s="1350">
        <f t="shared" si="548"/>
        <v>34349.288451485336</v>
      </c>
      <c r="BS230" s="648"/>
    </row>
    <row r="231" spans="1:71" s="665" customFormat="1" ht="15" hidden="1" outlineLevel="1">
      <c r="A231" s="46" t="str">
        <f>A84</f>
        <v>Direct Auto - Net Earned Premiums, mm</v>
      </c>
      <c r="B231" s="260"/>
      <c r="C231" s="1365">
        <v>4951.1000000000004</v>
      </c>
      <c r="D231" s="1365">
        <v>5407.20</v>
      </c>
      <c r="E231" s="1365">
        <v>5803.70</v>
      </c>
      <c r="F231" s="1365">
        <v>6264.20</v>
      </c>
      <c r="G231" s="1365">
        <v>6740.10</v>
      </c>
      <c r="H231" s="1228">
        <v>1762.20</v>
      </c>
      <c r="I231" s="1228">
        <v>1824</v>
      </c>
      <c r="J231" s="1228">
        <v>1848.90</v>
      </c>
      <c r="K231" s="1228">
        <v>2038.8999999999996</v>
      </c>
      <c r="L231" s="1365">
        <v>7474</v>
      </c>
      <c r="M231" s="1228">
        <v>1955.40</v>
      </c>
      <c r="N231" s="1228">
        <v>2031.80</v>
      </c>
      <c r="O231" s="1228">
        <v>2069.50</v>
      </c>
      <c r="P231" s="1228">
        <v>2129.1999999999998</v>
      </c>
      <c r="Q231" s="1365">
        <v>8185.90</v>
      </c>
      <c r="R231" s="1228">
        <v>2220.6999999999998</v>
      </c>
      <c r="S231" s="1228">
        <v>2334.8000000000002</v>
      </c>
      <c r="T231" s="1228">
        <v>2391.1999999999998</v>
      </c>
      <c r="U231" s="1228">
        <v>2449.8000000000002</v>
      </c>
      <c r="V231" s="1365">
        <v>9396.50</v>
      </c>
      <c r="W231" s="1228">
        <v>2523.6999999999998</v>
      </c>
      <c r="X231" s="1228">
        <v>2650</v>
      </c>
      <c r="Y231" s="1228">
        <v>2734.80</v>
      </c>
      <c r="Z231" s="1228">
        <v>2861.1000000000004</v>
      </c>
      <c r="AA231" s="1365">
        <v>10769.60</v>
      </c>
      <c r="AB231" s="1228">
        <v>3016.30</v>
      </c>
      <c r="AC231" s="1228">
        <v>3211.80</v>
      </c>
      <c r="AD231" s="1228">
        <v>3337.20</v>
      </c>
      <c r="AE231" s="1228">
        <v>3452.2000000000007</v>
      </c>
      <c r="AF231" s="1365">
        <v>13017.50</v>
      </c>
      <c r="AG231" s="1228">
        <v>3576.30</v>
      </c>
      <c r="AH231" s="1228">
        <v>3733.40</v>
      </c>
      <c r="AI231" s="1228">
        <v>3804</v>
      </c>
      <c r="AJ231" s="1228">
        <v>4192.1999999999989</v>
      </c>
      <c r="AK231" s="1365">
        <v>15305.90</v>
      </c>
      <c r="AL231" s="1228">
        <v>3992.40</v>
      </c>
      <c r="AM231" s="1228">
        <v>4167.8999999999996</v>
      </c>
      <c r="AN231" s="1228">
        <v>4309.80</v>
      </c>
      <c r="AO231" s="1228">
        <v>4360.50</v>
      </c>
      <c r="AP231" s="1365">
        <v>16830.60</v>
      </c>
      <c r="AQ231" s="1228">
        <v>4431.70</v>
      </c>
      <c r="AR231" s="1228">
        <v>4633.9000000000005</v>
      </c>
      <c r="AS231" s="1228">
        <v>4690.20</v>
      </c>
      <c r="AT231" s="1228">
        <v>4736.50</v>
      </c>
      <c r="AU231" s="1365">
        <v>18492.299999999999</v>
      </c>
      <c r="AV231" s="1228">
        <v>4793.6000000000004</v>
      </c>
      <c r="AW231" s="1027">
        <f>9699.5-AV231</f>
        <v>4905.8999999999996</v>
      </c>
      <c r="AX231" s="1228">
        <v>5077.3999999999996</v>
      </c>
      <c r="AY231" s="1027">
        <f>AZ231-SUM(AV231,AW231,AX231)</f>
        <v>5358.60</v>
      </c>
      <c r="AZ231" s="1365">
        <v>20135.50</v>
      </c>
      <c r="BA231" s="1228">
        <v>5717.40</v>
      </c>
      <c r="BB231" s="1228">
        <v>6180.70</v>
      </c>
      <c r="BC231" s="1228">
        <v>6361.80</v>
      </c>
      <c r="BD231" s="1027">
        <f>BE231-SUM(BA231,BB231,BC231)</f>
        <v>6755.2000000000007</v>
      </c>
      <c r="BE231" s="1365">
        <v>25015.099999999999</v>
      </c>
      <c r="BF231" s="1228">
        <v>7020.50</v>
      </c>
      <c r="BG231" s="1027">
        <f>14616-BF231</f>
        <v>7595.50</v>
      </c>
      <c r="BH231" s="1028">
        <f>22796.2-BG231-BF231</f>
        <v>8180.2000000000007</v>
      </c>
      <c r="BI231" s="1029">
        <f t="shared" si="549" ref="BI231:BR231">BI84</f>
        <v>8287.9463913203945</v>
      </c>
      <c r="BJ231" s="1324">
        <f t="shared" si="549"/>
        <v>31084.146391320395</v>
      </c>
      <c r="BK231" s="1029">
        <f t="shared" si="549"/>
        <v>10116.08030627269</v>
      </c>
      <c r="BL231" s="1029">
        <f t="shared" si="549"/>
        <v>9591.0974475715866</v>
      </c>
      <c r="BM231" s="1029">
        <f t="shared" si="549"/>
        <v>10864.201885800785</v>
      </c>
      <c r="BN231" s="1029">
        <f t="shared" si="549"/>
        <v>9445.5040882564772</v>
      </c>
      <c r="BO231" s="1324">
        <f t="shared" si="549"/>
        <v>40016.883727901542</v>
      </c>
      <c r="BP231" s="1324">
        <f t="shared" si="549"/>
        <v>41188.987697438766</v>
      </c>
      <c r="BQ231" s="1324">
        <f t="shared" si="549"/>
        <v>42853.022800415303</v>
      </c>
      <c r="BR231" s="1324">
        <f t="shared" si="549"/>
        <v>44584.284921552069</v>
      </c>
      <c r="BS231" s="648"/>
    </row>
    <row r="232" spans="1:71" s="665" customFormat="1" ht="15" hidden="1" outlineLevel="1">
      <c r="A232" s="371" t="s">
        <v>544</v>
      </c>
      <c r="B232" s="1003"/>
      <c r="C232" s="1370">
        <f t="shared" si="550" ref="C232:AM232">SUM(C230:C231)</f>
        <v>12365.900000000001</v>
      </c>
      <c r="D232" s="1370">
        <f t="shared" si="550"/>
        <v>12826.90</v>
      </c>
      <c r="E232" s="1370">
        <f t="shared" si="550"/>
        <v>13431.099999999999</v>
      </c>
      <c r="F232" s="1370">
        <f t="shared" si="550"/>
        <v>14368.099999999999</v>
      </c>
      <c r="G232" s="1370">
        <f t="shared" si="550"/>
        <v>15341.60</v>
      </c>
      <c r="H232" s="1066">
        <f t="shared" si="550"/>
        <v>3965.3999999999996</v>
      </c>
      <c r="I232" s="1066">
        <f t="shared" si="550"/>
        <v>4066.30</v>
      </c>
      <c r="J232" s="1066">
        <f t="shared" si="550"/>
        <v>4084.10</v>
      </c>
      <c r="K232" s="1066">
        <f t="shared" si="550"/>
        <v>4445.20</v>
      </c>
      <c r="L232" s="1370">
        <f t="shared" si="550"/>
        <v>16561</v>
      </c>
      <c r="M232" s="1066">
        <f t="shared" si="550"/>
        <v>4199.8999999999996</v>
      </c>
      <c r="N232" s="1066">
        <f t="shared" si="550"/>
        <v>4308.20</v>
      </c>
      <c r="O232" s="1066">
        <f t="shared" si="550"/>
        <v>4354.1000000000004</v>
      </c>
      <c r="P232" s="1066">
        <f t="shared" si="550"/>
        <v>4432.30</v>
      </c>
      <c r="Q232" s="1370">
        <f t="shared" si="550"/>
        <v>17294.50</v>
      </c>
      <c r="R232" s="1066">
        <f t="shared" si="550"/>
        <v>4568.6000000000004</v>
      </c>
      <c r="S232" s="1066">
        <f t="shared" si="550"/>
        <v>4758.1000000000004</v>
      </c>
      <c r="T232" s="1066">
        <f t="shared" si="550"/>
        <v>4865.50</v>
      </c>
      <c r="U232" s="1066">
        <f t="shared" si="550"/>
        <v>4996</v>
      </c>
      <c r="V232" s="1370">
        <f t="shared" si="550"/>
        <v>19188.20</v>
      </c>
      <c r="W232" s="1066">
        <f t="shared" si="550"/>
        <v>5155.20</v>
      </c>
      <c r="X232" s="1066">
        <f t="shared" si="550"/>
        <v>5402.50</v>
      </c>
      <c r="Y232" s="1066">
        <f t="shared" si="550"/>
        <v>5574.80</v>
      </c>
      <c r="Z232" s="1066">
        <f t="shared" si="550"/>
        <v>5814.7000000000007</v>
      </c>
      <c r="AA232" s="1370">
        <f t="shared" si="550"/>
        <v>21947.20</v>
      </c>
      <c r="AB232" s="1066">
        <f t="shared" si="550"/>
        <v>6080.10</v>
      </c>
      <c r="AC232" s="1066">
        <f t="shared" si="550"/>
        <v>6437.50</v>
      </c>
      <c r="AD232" s="1066">
        <f t="shared" si="550"/>
        <v>6655.40</v>
      </c>
      <c r="AE232" s="1066">
        <f t="shared" si="550"/>
        <v>6861.7000000000007</v>
      </c>
      <c r="AF232" s="1370">
        <f t="shared" si="550"/>
        <v>26034.700000000001</v>
      </c>
      <c r="AG232" s="1066">
        <f t="shared" si="550"/>
        <v>7084.80</v>
      </c>
      <c r="AH232" s="1066">
        <f t="shared" si="550"/>
        <v>7373</v>
      </c>
      <c r="AI232" s="1066">
        <f t="shared" si="550"/>
        <v>7507.40</v>
      </c>
      <c r="AJ232" s="1066">
        <f t="shared" si="550"/>
        <v>8244.7999999999993</v>
      </c>
      <c r="AK232" s="1370">
        <f t="shared" si="550"/>
        <v>30210</v>
      </c>
      <c r="AL232" s="1066">
        <f t="shared" si="550"/>
        <v>7821.10</v>
      </c>
      <c r="AM232" s="1066">
        <f t="shared" si="550"/>
        <v>8086.90</v>
      </c>
      <c r="AN232" s="1066">
        <f t="shared" si="551" ref="AN232:AU232">SUM(AN230:AN231)</f>
        <v>8311.40</v>
      </c>
      <c r="AO232" s="1066">
        <f t="shared" si="551"/>
        <v>8400.7000000000007</v>
      </c>
      <c r="AP232" s="1370">
        <f t="shared" si="551"/>
        <v>32620.099999999999</v>
      </c>
      <c r="AQ232" s="1066">
        <f t="shared" si="551"/>
        <v>8529.90</v>
      </c>
      <c r="AR232" s="1066">
        <f t="shared" si="551"/>
        <v>8854.2000000000007</v>
      </c>
      <c r="AS232" s="1066">
        <f t="shared" si="551"/>
        <v>8958.0999999999985</v>
      </c>
      <c r="AT232" s="1066">
        <f t="shared" si="551"/>
        <v>9031.10</v>
      </c>
      <c r="AU232" s="1370">
        <f t="shared" si="551"/>
        <v>35373.300000000003</v>
      </c>
      <c r="AV232" s="1066">
        <f t="shared" si="552" ref="AV232:AZ232">SUM(AV230:AV231)</f>
        <v>9116.9000000000015</v>
      </c>
      <c r="AW232" s="1066">
        <f t="shared" si="552"/>
        <v>9272.3999999999978</v>
      </c>
      <c r="AX232" s="1066">
        <f t="shared" si="552"/>
        <v>9519.2999999999993</v>
      </c>
      <c r="AY232" s="1066">
        <f t="shared" si="552"/>
        <v>9971.6000000000022</v>
      </c>
      <c r="AZ232" s="1370">
        <f t="shared" si="552"/>
        <v>37880.199999999997</v>
      </c>
      <c r="BA232" s="1066">
        <f t="shared" si="553" ref="BA232:BR232">SUM(BA230:BA231)</f>
        <v>10577.60</v>
      </c>
      <c r="BB232" s="1066">
        <f t="shared" si="553"/>
        <v>11387.90</v>
      </c>
      <c r="BC232" s="1066">
        <f t="shared" si="553"/>
        <v>11775.80</v>
      </c>
      <c r="BD232" s="1066">
        <f t="shared" si="553"/>
        <v>12472.000000000002</v>
      </c>
      <c r="BE232" s="1370">
        <f t="shared" si="553"/>
        <v>46213.300000000003</v>
      </c>
      <c r="BF232" s="1066">
        <f>SUM(BF230:BF231)</f>
        <v>12878.20</v>
      </c>
      <c r="BG232" s="1066">
        <f>SUM(BG230:BG231)</f>
        <v>13808.900000000001</v>
      </c>
      <c r="BH232" s="1067">
        <f>SUM(BH230:BH231)</f>
        <v>14808</v>
      </c>
      <c r="BI232" s="1068">
        <f t="shared" si="553"/>
        <v>14666.974146743054</v>
      </c>
      <c r="BJ232" s="1371">
        <f t="shared" si="553"/>
        <v>56162.074146743056</v>
      </c>
      <c r="BK232" s="1068">
        <f t="shared" si="553"/>
        <v>17321.669618193151</v>
      </c>
      <c r="BL232" s="1068">
        <f t="shared" si="553"/>
        <v>16531.043432020615</v>
      </c>
      <c r="BM232" s="1068">
        <f t="shared" si="553"/>
        <v>18024.427906864345</v>
      </c>
      <c r="BN232" s="1068">
        <f t="shared" si="553"/>
        <v>16507.761962640652</v>
      </c>
      <c r="BO232" s="1371">
        <f t="shared" si="553"/>
        <v>68384.902919718763</v>
      </c>
      <c r="BP232" s="1372">
        <f t="shared" si="553"/>
        <v>72922.420720608861</v>
      </c>
      <c r="BQ232" s="1372">
        <f t="shared" si="553"/>
        <v>75868.486517721467</v>
      </c>
      <c r="BR232" s="1371">
        <f t="shared" si="553"/>
        <v>78933.573373037405</v>
      </c>
      <c r="BS232" s="648"/>
    </row>
    <row r="233" spans="1:71" s="665" customFormat="1" ht="15" hidden="1" outlineLevel="1">
      <c r="A233" s="371" t="str">
        <f>A148</f>
        <v>Commercial Lines - Net Earned Premiums, mm</v>
      </c>
      <c r="B233" s="1003"/>
      <c r="C233" s="1373">
        <v>1623.30</v>
      </c>
      <c r="D233" s="1373">
        <v>1474.20</v>
      </c>
      <c r="E233" s="1373">
        <v>1467.10</v>
      </c>
      <c r="F233" s="1373">
        <v>1649</v>
      </c>
      <c r="G233" s="1373">
        <v>1761.60</v>
      </c>
      <c r="H233" s="1233">
        <v>436.90</v>
      </c>
      <c r="I233" s="1233">
        <v>447.20</v>
      </c>
      <c r="J233" s="1233">
        <v>456</v>
      </c>
      <c r="K233" s="1066">
        <f>L233-SUM(H233,I233,J233)</f>
        <v>497.40000000000009</v>
      </c>
      <c r="L233" s="1373">
        <v>1837.50</v>
      </c>
      <c r="M233" s="1233">
        <v>466.40</v>
      </c>
      <c r="N233" s="1233">
        <v>489.30</v>
      </c>
      <c r="O233" s="1233">
        <v>511.30</v>
      </c>
      <c r="P233" s="1066">
        <f>Q233-SUM(M233,N233,O233)</f>
        <v>528.90000000000009</v>
      </c>
      <c r="Q233" s="1373">
        <v>1995.90</v>
      </c>
      <c r="R233" s="1233">
        <v>548.79999999999995</v>
      </c>
      <c r="S233" s="1233">
        <v>593.40</v>
      </c>
      <c r="T233" s="1233">
        <v>630.20000000000005</v>
      </c>
      <c r="U233" s="1066">
        <f>V233-SUM(R233,S233,T233)</f>
        <v>648.90000000000032</v>
      </c>
      <c r="V233" s="1373">
        <v>2421.3000000000002</v>
      </c>
      <c r="W233" s="1233">
        <v>645.50</v>
      </c>
      <c r="X233" s="1233">
        <v>671.70</v>
      </c>
      <c r="Y233" s="1233">
        <v>714</v>
      </c>
      <c r="Z233" s="1066">
        <f>AA233-SUM(W233,X233,Y233)</f>
        <v>762.70</v>
      </c>
      <c r="AA233" s="1373">
        <v>2793.90</v>
      </c>
      <c r="AB233" s="1233">
        <v>808.60</v>
      </c>
      <c r="AC233" s="1233">
        <v>884.30</v>
      </c>
      <c r="AD233" s="1233">
        <v>939.60</v>
      </c>
      <c r="AE233" s="1066">
        <f>AF233-SUM(AB233,AC233,AD233)</f>
        <v>978.40000000000009</v>
      </c>
      <c r="AF233" s="1373">
        <v>3610.90</v>
      </c>
      <c r="AG233" s="1233">
        <v>1013</v>
      </c>
      <c r="AH233" s="1233">
        <v>1070.50</v>
      </c>
      <c r="AI233" s="1233">
        <v>1106.9000000000001</v>
      </c>
      <c r="AJ233" s="1066">
        <f>AK233-SUM(AG233,AH233,AI233)</f>
        <v>1237.2000000000003</v>
      </c>
      <c r="AK233" s="1373">
        <v>4427.6000000000004</v>
      </c>
      <c r="AL233" s="1233">
        <v>1189</v>
      </c>
      <c r="AM233" s="1233">
        <v>1129</v>
      </c>
      <c r="AN233" s="1233">
        <v>1214.80</v>
      </c>
      <c r="AO233" s="1066">
        <f>AP233-SUM(AL233,AM233,AN233)</f>
        <v>1343</v>
      </c>
      <c r="AP233" s="1373">
        <v>4875.80</v>
      </c>
      <c r="AQ233" s="1233">
        <v>1417.80</v>
      </c>
      <c r="AR233" s="1233">
        <v>1621.80</v>
      </c>
      <c r="AS233" s="1233">
        <v>1877.40</v>
      </c>
      <c r="AT233" s="1066">
        <f>AU233-SUM(AQ233,AR233,AS233)</f>
        <v>2028.1999999999998</v>
      </c>
      <c r="AU233" s="1373">
        <v>6945.20</v>
      </c>
      <c r="AV233" s="1233">
        <v>2127.1999999999998</v>
      </c>
      <c r="AW233" s="1066">
        <f>4431.6-AV233</f>
        <v>2304.4000000000005</v>
      </c>
      <c r="AX233" s="1233">
        <v>2317.90</v>
      </c>
      <c r="AY233" s="1066">
        <f>AZ233-SUM(AV233,AW233,AX233)</f>
        <v>2338.7999999999993</v>
      </c>
      <c r="AZ233" s="1373">
        <v>9088.2999999999993</v>
      </c>
      <c r="BA233" s="1233">
        <v>2356.10</v>
      </c>
      <c r="BB233" s="1233">
        <v>2454.10</v>
      </c>
      <c r="BC233" s="1233">
        <v>2486.60</v>
      </c>
      <c r="BD233" s="1066">
        <f>BE233-SUM(BA233,BB233,BC233)</f>
        <v>2601.9000000000015</v>
      </c>
      <c r="BE233" s="1373">
        <v>9898.7000000000007</v>
      </c>
      <c r="BF233" s="1233">
        <v>2557.40</v>
      </c>
      <c r="BG233" s="1066">
        <f>5221.9-BF233</f>
        <v>2664.4999999999995</v>
      </c>
      <c r="BH233" s="1067">
        <f>7948.6-BG233-BF233</f>
        <v>2726.7000000000003</v>
      </c>
      <c r="BI233" s="1068">
        <f t="shared" si="554" ref="BI233:BR233">BI148</f>
        <v>2133.8951446764158</v>
      </c>
      <c r="BJ233" s="1371">
        <f t="shared" si="554"/>
        <v>10082.495144676417</v>
      </c>
      <c r="BK233" s="1068">
        <f t="shared" si="554"/>
        <v>3365.5643998998776</v>
      </c>
      <c r="BL233" s="1068">
        <f t="shared" si="554"/>
        <v>2303.3018908047948</v>
      </c>
      <c r="BM233" s="1068">
        <f t="shared" si="554"/>
        <v>2198.0005529010268</v>
      </c>
      <c r="BN233" s="1068">
        <f t="shared" si="554"/>
        <v>2431.931187930938</v>
      </c>
      <c r="BO233" s="1371">
        <f t="shared" si="554"/>
        <v>10298.798031536637</v>
      </c>
      <c r="BP233" s="1372">
        <f t="shared" si="554"/>
        <v>11278.304305763473</v>
      </c>
      <c r="BQ233" s="1372">
        <f t="shared" si="554"/>
        <v>11733.947799716316</v>
      </c>
      <c r="BR233" s="1371">
        <f t="shared" si="554"/>
        <v>12207.999290824859</v>
      </c>
      <c r="BS233" s="648"/>
    </row>
    <row r="234" spans="1:71" s="665" customFormat="1" ht="15" hidden="1" outlineLevel="1">
      <c r="A234" s="371" t="str">
        <f>A183</f>
        <v>Property  Business - Net Earned Premiums, mm</v>
      </c>
      <c r="B234" s="1003"/>
      <c r="C234" s="1373">
        <v>0</v>
      </c>
      <c r="D234" s="1373">
        <v>0</v>
      </c>
      <c r="E234" s="1373">
        <v>0</v>
      </c>
      <c r="F234" s="1373">
        <v>0</v>
      </c>
      <c r="G234" s="1373">
        <v>0</v>
      </c>
      <c r="H234" s="1233">
        <v>0</v>
      </c>
      <c r="I234" s="1233">
        <v>0</v>
      </c>
      <c r="J234" s="1233">
        <v>0</v>
      </c>
      <c r="K234" s="1233">
        <v>0</v>
      </c>
      <c r="L234" s="1373">
        <v>0</v>
      </c>
      <c r="M234" s="1233">
        <v>0</v>
      </c>
      <c r="N234" s="1233">
        <v>198.70</v>
      </c>
      <c r="O234" s="1233">
        <v>205.20</v>
      </c>
      <c r="P234" s="1233">
        <v>205.20000000000005</v>
      </c>
      <c r="Q234" s="1373">
        <v>609.10</v>
      </c>
      <c r="R234" s="1233">
        <v>200</v>
      </c>
      <c r="S234" s="1233">
        <v>210.30</v>
      </c>
      <c r="T234" s="1233">
        <v>227.70</v>
      </c>
      <c r="U234" s="1233">
        <v>226.50</v>
      </c>
      <c r="V234" s="1373">
        <v>864.50</v>
      </c>
      <c r="W234" s="1233">
        <v>226</v>
      </c>
      <c r="X234" s="1233">
        <v>239.10</v>
      </c>
      <c r="Y234" s="1233">
        <v>255.20</v>
      </c>
      <c r="Z234" s="1233">
        <v>268.50</v>
      </c>
      <c r="AA234" s="1373">
        <v>988.80</v>
      </c>
      <c r="AB234" s="1233">
        <v>285.30</v>
      </c>
      <c r="AC234" s="1233">
        <v>312.39999999999998</v>
      </c>
      <c r="AD234" s="1233">
        <v>335.50</v>
      </c>
      <c r="AE234" s="1233">
        <v>354.50</v>
      </c>
      <c r="AF234" s="1373">
        <v>1287.70</v>
      </c>
      <c r="AG234" s="1233">
        <v>362</v>
      </c>
      <c r="AH234" s="1233">
        <v>381.20</v>
      </c>
      <c r="AI234" s="1233">
        <v>397.90</v>
      </c>
      <c r="AJ234" s="1233">
        <v>413.70000000000005</v>
      </c>
      <c r="AK234" s="1373">
        <v>1554.80</v>
      </c>
      <c r="AL234" s="1233">
        <v>420.60</v>
      </c>
      <c r="AM234" s="1233">
        <v>432.69999999999993</v>
      </c>
      <c r="AN234" s="1233">
        <v>447.29999999999995</v>
      </c>
      <c r="AO234" s="1233">
        <v>465.10000000000014</v>
      </c>
      <c r="AP234" s="1373">
        <v>1765.70</v>
      </c>
      <c r="AQ234" s="1233">
        <v>472.50</v>
      </c>
      <c r="AR234" s="1233">
        <v>502.29999999999995</v>
      </c>
      <c r="AS234" s="1233">
        <v>526.50</v>
      </c>
      <c r="AT234" s="1233">
        <v>541.20000000000005</v>
      </c>
      <c r="AU234" s="1373">
        <v>2042.50</v>
      </c>
      <c r="AV234" s="1233">
        <v>558.10</v>
      </c>
      <c r="AW234" s="1066">
        <f>1128.6-AV234</f>
        <v>570.49999999999989</v>
      </c>
      <c r="AX234" s="1233">
        <v>561</v>
      </c>
      <c r="AY234" s="1066">
        <f>AZ234-SUM(AV234,AW234,AX234)</f>
        <v>580.40000000000009</v>
      </c>
      <c r="AZ234" s="1373">
        <v>2270</v>
      </c>
      <c r="BA234" s="1233">
        <v>598.70000000000005</v>
      </c>
      <c r="BB234" s="1233">
        <v>622.29999999999995</v>
      </c>
      <c r="BC234" s="1233">
        <v>631.79999999999995</v>
      </c>
      <c r="BD234" s="1066">
        <f>BE234-SUM(BA234,BB234,BC234)</f>
        <v>698.60000000000014</v>
      </c>
      <c r="BE234" s="1373">
        <v>2551.40</v>
      </c>
      <c r="BF234" s="1233">
        <v>712.80</v>
      </c>
      <c r="BG234" s="1066">
        <f>1448.7-BF234</f>
        <v>735.90000000000009</v>
      </c>
      <c r="BH234" s="1067">
        <f>2210.5-BG234-BF234</f>
        <v>761.80</v>
      </c>
      <c r="BI234" s="1068">
        <f t="shared" si="555" ref="BI234:BR234">BI183</f>
        <v>758.43226173075811</v>
      </c>
      <c r="BJ234" s="1371">
        <f t="shared" si="555"/>
        <v>2968.932261730758</v>
      </c>
      <c r="BK234" s="1068">
        <f t="shared" si="555"/>
        <v>754.81011624121584</v>
      </c>
      <c r="BL234" s="1068">
        <f t="shared" si="555"/>
        <v>849.2754923489581</v>
      </c>
      <c r="BM234" s="1068">
        <f t="shared" si="555"/>
        <v>790.83977685066156</v>
      </c>
      <c r="BN234" s="1068">
        <f t="shared" si="555"/>
        <v>839.66466645984292</v>
      </c>
      <c r="BO234" s="1371">
        <f t="shared" si="555"/>
        <v>3234.5900519006782</v>
      </c>
      <c r="BP234" s="1372">
        <f t="shared" si="555"/>
        <v>3542.2280151548898</v>
      </c>
      <c r="BQ234" s="1372">
        <f t="shared" si="555"/>
        <v>3685.3340269671476</v>
      </c>
      <c r="BR234" s="1371">
        <f t="shared" si="555"/>
        <v>3834.221521656621</v>
      </c>
      <c r="BS234" s="648"/>
    </row>
    <row r="235" spans="1:71" s="665" customFormat="1" ht="15" hidden="1" outlineLevel="1">
      <c r="A235" s="1001" t="s">
        <v>366</v>
      </c>
      <c r="B235" s="1004"/>
      <c r="C235" s="1374">
        <v>23.60</v>
      </c>
      <c r="D235" s="1374">
        <v>13.70</v>
      </c>
      <c r="E235" s="1374">
        <v>4.5999999999999996</v>
      </c>
      <c r="F235" s="1374">
        <v>0.90</v>
      </c>
      <c r="G235" s="1374">
        <v>0.20</v>
      </c>
      <c r="H235" s="1235">
        <v>0</v>
      </c>
      <c r="I235" s="1235">
        <v>0</v>
      </c>
      <c r="J235" s="1235">
        <v>0</v>
      </c>
      <c r="K235" s="1072">
        <f>L235-SUM(H235,I235,J235)</f>
        <v>0</v>
      </c>
      <c r="L235" s="1375"/>
      <c r="M235" s="1235">
        <v>0</v>
      </c>
      <c r="N235" s="1235">
        <v>-0.40</v>
      </c>
      <c r="O235" s="1072"/>
      <c r="P235" s="1072">
        <f>Q235-SUM(M235,N235,O235)</f>
        <v>0</v>
      </c>
      <c r="Q235" s="1374">
        <v>-0.40</v>
      </c>
      <c r="R235" s="1072"/>
      <c r="S235" s="1072"/>
      <c r="T235" s="1072"/>
      <c r="U235" s="1072">
        <f>V235-SUM(R235,S235,T235)</f>
        <v>0</v>
      </c>
      <c r="V235" s="1374">
        <v>0</v>
      </c>
      <c r="W235" s="1072"/>
      <c r="X235" s="1235">
        <v>0</v>
      </c>
      <c r="Y235" s="1235">
        <v>0</v>
      </c>
      <c r="Z235" s="1072">
        <f>AA235-SUM(W235,X235,Y235)</f>
        <v>0</v>
      </c>
      <c r="AA235" s="1375"/>
      <c r="AB235" s="1072"/>
      <c r="AC235" s="1072"/>
      <c r="AD235" s="1235">
        <v>0</v>
      </c>
      <c r="AE235" s="1072">
        <f>AF235-SUM(AB235,AC235,AD235)</f>
        <v>0</v>
      </c>
      <c r="AF235" s="1375"/>
      <c r="AG235" s="1072"/>
      <c r="AH235" s="1072"/>
      <c r="AI235" s="1072"/>
      <c r="AJ235" s="1072">
        <f>AK235-SUM(AG235,AH235,AI235)</f>
        <v>0</v>
      </c>
      <c r="AK235" s="1375"/>
      <c r="AL235" s="1072"/>
      <c r="AM235" s="1072"/>
      <c r="AN235" s="1072"/>
      <c r="AO235" s="1072">
        <f>AP235-SUM(AL235,AM235,AN235)</f>
        <v>0</v>
      </c>
      <c r="AP235" s="1375"/>
      <c r="AQ235" s="1072"/>
      <c r="AR235" s="1235">
        <v>4</v>
      </c>
      <c r="AS235" s="1235">
        <v>2.80</v>
      </c>
      <c r="AT235" s="1072">
        <f>AU235-SUM(AQ235,AR235,AS235)</f>
        <v>0.90000000000000036</v>
      </c>
      <c r="AU235" s="1374">
        <v>7.70</v>
      </c>
      <c r="AV235" s="1235">
        <v>0.70</v>
      </c>
      <c r="AW235" s="1235">
        <v>0.60</v>
      </c>
      <c r="AX235" s="1235">
        <v>0.70</v>
      </c>
      <c r="AY235" s="1072">
        <f>AZ235-SUM(AV235,AW235,AX235)</f>
        <v>0.7000000000000004</v>
      </c>
      <c r="AZ235" s="1374">
        <v>2.70</v>
      </c>
      <c r="BA235" s="1235">
        <v>0.70</v>
      </c>
      <c r="BB235" s="1235">
        <v>0.10000000000000001</v>
      </c>
      <c r="BC235" s="1235">
        <v>0.10000000000000001</v>
      </c>
      <c r="BD235" s="1072">
        <f>BE235-SUM(BA235,BB235,BC235)</f>
        <v>0.10000000000000009</v>
      </c>
      <c r="BE235" s="1375">
        <f>58664.4-BE234-BE233-BE232</f>
        <v>1</v>
      </c>
      <c r="BF235" s="1235">
        <v>0.20</v>
      </c>
      <c r="BG235" s="1235">
        <v>0.20</v>
      </c>
      <c r="BH235" s="1236">
        <v>0.20</v>
      </c>
      <c r="BI235" s="1072">
        <f>BI227*BI219</f>
        <v>0</v>
      </c>
      <c r="BJ235" s="1375">
        <f>SUM(BF235,BG235,BH235,BI235)</f>
        <v>0.60000000000000009</v>
      </c>
      <c r="BK235" s="1072">
        <f>BK227*BK219</f>
        <v>0</v>
      </c>
      <c r="BL235" s="1072">
        <f>BL227*BL219</f>
        <v>0</v>
      </c>
      <c r="BM235" s="1072">
        <f>BM227*BM219</f>
        <v>0</v>
      </c>
      <c r="BN235" s="1072">
        <f>BN227*BN219</f>
        <v>0</v>
      </c>
      <c r="BO235" s="1375">
        <f>SUM(BK235,BL235,BM235,BN235)</f>
        <v>0</v>
      </c>
      <c r="BP235" s="1375">
        <f>BP227*BP219</f>
        <v>0</v>
      </c>
      <c r="BQ235" s="1375">
        <f>BQ227*BQ219</f>
        <v>0</v>
      </c>
      <c r="BR235" s="1375">
        <f>BR227*BR219</f>
        <v>0</v>
      </c>
      <c r="BS235" s="648"/>
    </row>
    <row r="236" spans="1:71" s="668" customFormat="1" ht="15" hidden="1" outlineLevel="1">
      <c r="A236" s="42" t="s">
        <v>14</v>
      </c>
      <c r="B236" s="391"/>
      <c r="C236" s="1376">
        <f t="shared" si="556" ref="C236:U236">SUM(C232:C235)</f>
        <v>14012.80</v>
      </c>
      <c r="D236" s="1376">
        <f t="shared" si="556"/>
        <v>14314.80</v>
      </c>
      <c r="E236" s="1376">
        <f t="shared" si="556"/>
        <v>14902.80</v>
      </c>
      <c r="F236" s="1376">
        <f t="shared" si="556"/>
        <v>16017.999999999998</v>
      </c>
      <c r="G236" s="1376">
        <f t="shared" si="556"/>
        <v>17103.40</v>
      </c>
      <c r="H236" s="1076">
        <f t="shared" si="556"/>
        <v>4402.2999999999993</v>
      </c>
      <c r="I236" s="1076">
        <f t="shared" si="556"/>
        <v>4513.50</v>
      </c>
      <c r="J236" s="1076">
        <f t="shared" si="556"/>
        <v>4540.1000000000004</v>
      </c>
      <c r="K236" s="1076">
        <f t="shared" si="556"/>
        <v>4942.6000000000004</v>
      </c>
      <c r="L236" s="1376">
        <f t="shared" si="556"/>
        <v>18398.50</v>
      </c>
      <c r="M236" s="1076">
        <f t="shared" si="556"/>
        <v>4666.2999999999993</v>
      </c>
      <c r="N236" s="1076">
        <f t="shared" si="556"/>
        <v>4995.80</v>
      </c>
      <c r="O236" s="1076">
        <f t="shared" si="556"/>
        <v>5070.6000000000004</v>
      </c>
      <c r="P236" s="1076">
        <f t="shared" si="556"/>
        <v>5166.4000000000005</v>
      </c>
      <c r="Q236" s="1376">
        <f t="shared" si="556"/>
        <v>19899.099999999999</v>
      </c>
      <c r="R236" s="1076">
        <f t="shared" si="556"/>
        <v>5317.40</v>
      </c>
      <c r="S236" s="1076">
        <f t="shared" si="556"/>
        <v>5561.80</v>
      </c>
      <c r="T236" s="1076">
        <f t="shared" si="556"/>
        <v>5723.40</v>
      </c>
      <c r="U236" s="1076">
        <f t="shared" si="556"/>
        <v>5871.40</v>
      </c>
      <c r="V236" s="1376">
        <f>IFERROR(SUM(V232:V235),"N/A")</f>
        <v>22474</v>
      </c>
      <c r="W236" s="1076">
        <f t="shared" si="557" ref="W236:AM236">SUM(W232:W235)</f>
        <v>6026.70</v>
      </c>
      <c r="X236" s="1076">
        <f t="shared" si="557"/>
        <v>6313.30</v>
      </c>
      <c r="Y236" s="1076">
        <f t="shared" si="557"/>
        <v>6544</v>
      </c>
      <c r="Z236" s="1076">
        <f t="shared" si="557"/>
        <v>6845.90</v>
      </c>
      <c r="AA236" s="1376">
        <f t="shared" si="557"/>
        <v>25729.900000000001</v>
      </c>
      <c r="AB236" s="1076">
        <f t="shared" si="557"/>
        <v>7174.0000000000009</v>
      </c>
      <c r="AC236" s="1076">
        <f t="shared" si="557"/>
        <v>7634.20</v>
      </c>
      <c r="AD236" s="1076">
        <f t="shared" si="557"/>
        <v>7930.50</v>
      </c>
      <c r="AE236" s="1076">
        <f t="shared" si="557"/>
        <v>8194.60</v>
      </c>
      <c r="AF236" s="1376">
        <f t="shared" si="557"/>
        <v>30933.300000000003</v>
      </c>
      <c r="AG236" s="1076">
        <f t="shared" si="557"/>
        <v>8459.7999999999993</v>
      </c>
      <c r="AH236" s="1076">
        <f t="shared" si="557"/>
        <v>8824.7000000000007</v>
      </c>
      <c r="AI236" s="1076">
        <f t="shared" si="557"/>
        <v>9012.1999999999989</v>
      </c>
      <c r="AJ236" s="1076">
        <f t="shared" si="557"/>
        <v>9895.7000000000007</v>
      </c>
      <c r="AK236" s="1376">
        <f t="shared" si="557"/>
        <v>36192.40</v>
      </c>
      <c r="AL236" s="1076">
        <f t="shared" si="557"/>
        <v>9430.7000000000007</v>
      </c>
      <c r="AM236" s="1076">
        <f t="shared" si="557"/>
        <v>9648.60</v>
      </c>
      <c r="AN236" s="1076">
        <f t="shared" si="558" ref="AN236:AU236">SUM(AN232:AN235)</f>
        <v>9973.4999999999982</v>
      </c>
      <c r="AO236" s="1076">
        <f t="shared" si="558"/>
        <v>10208.800000000001</v>
      </c>
      <c r="AP236" s="1376">
        <f t="shared" si="558"/>
        <v>39261.60</v>
      </c>
      <c r="AQ236" s="1076">
        <f t="shared" si="558"/>
        <v>10420.199999999999</v>
      </c>
      <c r="AR236" s="1076">
        <f t="shared" si="558"/>
        <v>10982.299999999999</v>
      </c>
      <c r="AS236" s="1076">
        <f t="shared" si="558"/>
        <v>11364.799999999997</v>
      </c>
      <c r="AT236" s="1076">
        <f t="shared" si="558"/>
        <v>11601.40</v>
      </c>
      <c r="AU236" s="1376">
        <f t="shared" si="558"/>
        <v>44368.699999999997</v>
      </c>
      <c r="AV236" s="1076">
        <f t="shared" si="559" ref="AV236:BJ236">SUM(AV232:AV235)</f>
        <v>11802.900000000003</v>
      </c>
      <c r="AW236" s="1076">
        <f t="shared" si="559"/>
        <v>12147.90</v>
      </c>
      <c r="AX236" s="1076">
        <f t="shared" si="559"/>
        <v>12398.90</v>
      </c>
      <c r="AY236" s="1076">
        <f t="shared" si="559"/>
        <v>12891.500000000002</v>
      </c>
      <c r="AZ236" s="1376">
        <f t="shared" si="559"/>
        <v>49241.199999999997</v>
      </c>
      <c r="BA236" s="1076">
        <f t="shared" si="560" ref="BA236:BI236">SUM(BA232:BA235)</f>
        <v>13533.10</v>
      </c>
      <c r="BB236" s="1076">
        <f t="shared" si="560"/>
        <v>14464.40</v>
      </c>
      <c r="BC236" s="1076">
        <f t="shared" si="560"/>
        <v>14894.299999999999</v>
      </c>
      <c r="BD236" s="1076">
        <f t="shared" si="560"/>
        <v>15772.600000000004</v>
      </c>
      <c r="BE236" s="1376">
        <f t="shared" si="560"/>
        <v>58664.400000000001</v>
      </c>
      <c r="BF236" s="1076">
        <f>SUM(BF232:BF235)</f>
        <v>16148.60</v>
      </c>
      <c r="BG236" s="1076">
        <f>SUM(BG232:BG235)</f>
        <v>17209.500000000004</v>
      </c>
      <c r="BH236" s="1077">
        <f>SUM(BH232:BH235)</f>
        <v>18296.700000000001</v>
      </c>
      <c r="BI236" s="1078">
        <f t="shared" si="560"/>
        <v>17559.301553150228</v>
      </c>
      <c r="BJ236" s="1377">
        <f t="shared" si="559"/>
        <v>69214.101553150234</v>
      </c>
      <c r="BK236" s="1078">
        <f t="shared" si="561" ref="BK236:BR236">SUM(BK232:BK235)</f>
        <v>21442.044134334246</v>
      </c>
      <c r="BL236" s="1078">
        <f t="shared" si="561"/>
        <v>19683.62081517437</v>
      </c>
      <c r="BM236" s="1078">
        <f t="shared" si="561"/>
        <v>21013.268236616033</v>
      </c>
      <c r="BN236" s="1078">
        <f t="shared" si="561"/>
        <v>19779.357817031436</v>
      </c>
      <c r="BO236" s="1377">
        <f t="shared" si="561"/>
        <v>81918.291003156075</v>
      </c>
      <c r="BP236" s="1377">
        <f t="shared" si="561"/>
        <v>87742.953041527231</v>
      </c>
      <c r="BQ236" s="1377">
        <f t="shared" si="561"/>
        <v>91287.768344404933</v>
      </c>
      <c r="BR236" s="1377">
        <f t="shared" si="561"/>
        <v>94975.794185518884</v>
      </c>
      <c r="BS236" s="648"/>
    </row>
    <row r="237" spans="1:71" s="677" customFormat="1" ht="15" hidden="1" outlineLevel="1">
      <c r="A237" s="1175" t="str">
        <f>CONCATENATE("Consensus Estimates - ",IFERROR(LEFT(A236,FIND("(",A236)-1),A236))</f>
        <v>Consensus Estimates - Total Net Earned Premiums, mm</v>
      </c>
      <c r="B237" s="1176"/>
      <c r="C237" s="1378"/>
      <c r="D237" s="1378"/>
      <c r="E237" s="1378"/>
      <c r="F237" s="1378"/>
      <c r="G237" s="1378"/>
      <c r="H237" s="1081"/>
      <c r="I237" s="1081"/>
      <c r="J237" s="1081"/>
      <c r="K237" s="1081"/>
      <c r="L237" s="1378"/>
      <c r="M237" s="1081"/>
      <c r="N237" s="1081"/>
      <c r="O237" s="1081"/>
      <c r="P237" s="1081"/>
      <c r="Q237" s="1378"/>
      <c r="R237" s="1081"/>
      <c r="S237" s="1082"/>
      <c r="T237" s="1081"/>
      <c r="U237" s="1081"/>
      <c r="V237" s="1378"/>
      <c r="W237" s="1081"/>
      <c r="X237" s="1082"/>
      <c r="Y237" s="1081"/>
      <c r="Z237" s="1081"/>
      <c r="AA237" s="1378"/>
      <c r="AB237" s="1081"/>
      <c r="AC237" s="1082"/>
      <c r="AD237" s="1081"/>
      <c r="AE237" s="1081"/>
      <c r="AF237" s="1378"/>
      <c r="AG237" s="1081"/>
      <c r="AH237" s="1082"/>
      <c r="AI237" s="1081"/>
      <c r="AJ237" s="1081"/>
      <c r="AK237" s="1378"/>
      <c r="AL237" s="1081"/>
      <c r="AM237" s="1082"/>
      <c r="AN237" s="1081"/>
      <c r="AO237" s="1081"/>
      <c r="AP237" s="1378"/>
      <c r="AQ237" s="1081"/>
      <c r="AR237" s="1082"/>
      <c r="AS237" s="1081"/>
      <c r="AT237" s="1081"/>
      <c r="AU237" s="1378"/>
      <c r="AV237" s="1081"/>
      <c r="AW237" s="1082"/>
      <c r="AX237" s="1081"/>
      <c r="AY237" s="1081"/>
      <c r="AZ237" s="1378"/>
      <c r="BA237" s="1081"/>
      <c r="BB237" s="1082"/>
      <c r="BC237" s="1081"/>
      <c r="BD237" s="1081"/>
      <c r="BE237" s="1378"/>
      <c r="BF237" s="1081"/>
      <c r="BG237" s="1082"/>
      <c r="BH237" s="1083"/>
      <c r="BI237" s="1084" t="str">
        <f ca="1" t="shared" si="562" ref="BI237:BO237">IFERROR(VLOOKUP($A237,tb_ConsensusEstimate,MATCH(BI$5,OFFSET(tb_ConsensusEstimate,0,0,1,COLUMNS(tb_ConsensusEstimate)),0),FALSE),"-")</f>
        <v>N/A</v>
      </c>
      <c r="BJ237" s="1379" t="str">
        <f t="shared" ca="1" si="562"/>
        <v>N/A</v>
      </c>
      <c r="BK237" s="1084" t="str">
        <f t="shared" ca="1" si="562"/>
        <v>N/A</v>
      </c>
      <c r="BL237" s="1084" t="str">
        <f t="shared" ca="1" si="562"/>
        <v>N/A</v>
      </c>
      <c r="BM237" s="1084" t="str">
        <f t="shared" ca="1" si="562"/>
        <v>N/A</v>
      </c>
      <c r="BN237" s="1084" t="str">
        <f t="shared" ca="1" si="562"/>
        <v>N/A</v>
      </c>
      <c r="BO237" s="1379" t="str">
        <f t="shared" ca="1" si="562"/>
        <v>N/A</v>
      </c>
      <c r="BP237" s="1328" t="str">
        <f ca="1">IFERROR(VLOOKUP($A237,tb_ConsensusEstimate,MATCH(BP5,OFFSET(tb_ConsensusEstimate,0,0,1,COLUMNS(tb_ConsensusEstimate)),0),FALSE),"-")</f>
        <v>N/A</v>
      </c>
      <c r="BQ237" s="1328" t="str">
        <f ca="1">IFERROR(VLOOKUP($A237,tb_ConsensusEstimate,MATCH(BQ5,OFFSET(tb_ConsensusEstimate,0,0,1,COLUMNS(tb_ConsensusEstimate)),0),FALSE),"-")</f>
        <v>N/A</v>
      </c>
      <c r="BR237" s="1379" t="str">
        <f ca="1">IFERROR(VLOOKUP($A237,tb_ConsensusEstimate,MATCH(BR5,OFFSET(tb_ConsensusEstimate,0,0,1,COLUMNS(tb_ConsensusEstimate)),0),FALSE),"-")</f>
        <v>N/A</v>
      </c>
      <c r="BS237" s="648"/>
    </row>
    <row r="238" spans="1:71" s="665" customFormat="1" ht="15" hidden="1" outlineLevel="2">
      <c r="A238" s="999"/>
      <c r="B238" s="308"/>
      <c r="C238" s="1351"/>
      <c r="D238" s="1351"/>
      <c r="E238" s="1351"/>
      <c r="F238" s="1351"/>
      <c r="G238" s="1351"/>
      <c r="H238" s="1047"/>
      <c r="I238" s="1047"/>
      <c r="J238" s="1047"/>
      <c r="K238" s="1047"/>
      <c r="L238" s="1351"/>
      <c r="M238" s="1047"/>
      <c r="N238" s="1047"/>
      <c r="O238" s="1047"/>
      <c r="P238" s="1047"/>
      <c r="Q238" s="1351"/>
      <c r="R238" s="1047"/>
      <c r="S238" s="1047"/>
      <c r="T238" s="1047"/>
      <c r="U238" s="1047"/>
      <c r="V238" s="1351"/>
      <c r="W238" s="1047"/>
      <c r="X238" s="1047"/>
      <c r="Y238" s="1047"/>
      <c r="Z238" s="1047"/>
      <c r="AA238" s="1351"/>
      <c r="AB238" s="1047"/>
      <c r="AC238" s="1047"/>
      <c r="AD238" s="1047"/>
      <c r="AE238" s="1047"/>
      <c r="AF238" s="1351"/>
      <c r="AG238" s="1047"/>
      <c r="AH238" s="1047"/>
      <c r="AI238" s="1047"/>
      <c r="AJ238" s="1047"/>
      <c r="AK238" s="1351"/>
      <c r="AL238" s="1047"/>
      <c r="AM238" s="1047"/>
      <c r="AN238" s="1047"/>
      <c r="AO238" s="1047"/>
      <c r="AP238" s="1351"/>
      <c r="AQ238" s="1047"/>
      <c r="AR238" s="1047"/>
      <c r="AS238" s="1047"/>
      <c r="AT238" s="1047"/>
      <c r="AU238" s="1351"/>
      <c r="AV238" s="1047"/>
      <c r="AW238" s="1047"/>
      <c r="AX238" s="1047"/>
      <c r="AY238" s="1047"/>
      <c r="AZ238" s="1351"/>
      <c r="BA238" s="1047"/>
      <c r="BB238" s="1047"/>
      <c r="BC238" s="1047"/>
      <c r="BD238" s="1047"/>
      <c r="BE238" s="1351"/>
      <c r="BF238" s="1047"/>
      <c r="BG238" s="1047"/>
      <c r="BH238" s="1048"/>
      <c r="BI238" s="1044"/>
      <c r="BJ238" s="1350"/>
      <c r="BK238" s="1044"/>
      <c r="BL238" s="1044"/>
      <c r="BM238" s="1044"/>
      <c r="BN238" s="1044"/>
      <c r="BO238" s="1350"/>
      <c r="BP238" s="1351"/>
      <c r="BQ238" s="1351"/>
      <c r="BR238" s="1350"/>
      <c r="BS238" s="648"/>
    </row>
    <row r="239" spans="1:71" s="672" customFormat="1" ht="15" hidden="1" outlineLevel="2">
      <c r="A239" s="541" t="s">
        <v>694</v>
      </c>
      <c r="B239" s="424"/>
      <c r="C239" s="1325">
        <f t="shared" si="563" ref="C239:AH239">C230/C$236</f>
        <v>0.52914478191367886</v>
      </c>
      <c r="D239" s="1325">
        <f t="shared" si="563"/>
        <v>0.51832369296113112</v>
      </c>
      <c r="E239" s="1325">
        <f t="shared" si="563"/>
        <v>0.51180986123413053</v>
      </c>
      <c r="F239" s="1325">
        <f t="shared" si="563"/>
        <v>0.50592458484205272</v>
      </c>
      <c r="G239" s="1325">
        <f t="shared" si="563"/>
        <v>0.50291170176690014</v>
      </c>
      <c r="H239" s="726">
        <f t="shared" si="563"/>
        <v>0.50046566567476092</v>
      </c>
      <c r="I239" s="726">
        <f t="shared" si="563"/>
        <v>0.49679849340866294</v>
      </c>
      <c r="J239" s="726">
        <f t="shared" si="563"/>
        <v>0.49232395762207876</v>
      </c>
      <c r="K239" s="726">
        <f t="shared" si="563"/>
        <v>0.48684902682798525</v>
      </c>
      <c r="L239" s="1325">
        <f t="shared" si="563"/>
        <v>0.49389895915427889</v>
      </c>
      <c r="M239" s="726">
        <f t="shared" si="563"/>
        <v>0.48100207873475781</v>
      </c>
      <c r="N239" s="726">
        <f t="shared" si="563"/>
        <v>0.45566275671564116</v>
      </c>
      <c r="O239" s="726">
        <f t="shared" si="563"/>
        <v>0.45055811935471141</v>
      </c>
      <c r="P239" s="726">
        <f t="shared" si="563"/>
        <v>0.44578429854444102</v>
      </c>
      <c r="Q239" s="1325">
        <f t="shared" si="563"/>
        <v>0.45773929474197328</v>
      </c>
      <c r="R239" s="726">
        <f t="shared" si="563"/>
        <v>0.44155038176552447</v>
      </c>
      <c r="S239" s="529">
        <f t="shared" si="563"/>
        <v>0.4357042684023158</v>
      </c>
      <c r="T239" s="726">
        <f t="shared" si="563"/>
        <v>0.43231296082748022</v>
      </c>
      <c r="U239" s="726">
        <f t="shared" si="563"/>
        <v>0.4336614776714241</v>
      </c>
      <c r="V239" s="1325">
        <f t="shared" si="563"/>
        <v>0.43569013081783398</v>
      </c>
      <c r="W239" s="726">
        <f t="shared" si="563"/>
        <v>0.43664028406922528</v>
      </c>
      <c r="X239" s="529">
        <f t="shared" si="563"/>
        <v>0.43598435049815465</v>
      </c>
      <c r="Y239" s="726">
        <f t="shared" si="563"/>
        <v>0.43398533007334961</v>
      </c>
      <c r="Z239" s="726">
        <f t="shared" si="563"/>
        <v>0.43144071634116771</v>
      </c>
      <c r="AA239" s="1325">
        <f t="shared" si="563"/>
        <v>0.43442065456919771</v>
      </c>
      <c r="AB239" s="726">
        <f t="shared" si="563"/>
        <v>0.42706997490939502</v>
      </c>
      <c r="AC239" s="529">
        <f t="shared" si="563"/>
        <v>0.42253281286840794</v>
      </c>
      <c r="AD239" s="726">
        <f t="shared" si="563"/>
        <v>0.41840993632179557</v>
      </c>
      <c r="AE239" s="726">
        <f t="shared" si="563"/>
        <v>0.41606667805628095</v>
      </c>
      <c r="AF239" s="1325">
        <f t="shared" si="563"/>
        <v>0.42081510863697053</v>
      </c>
      <c r="AG239" s="726">
        <f t="shared" si="563"/>
        <v>0.41472611645665386</v>
      </c>
      <c r="AH239" s="529">
        <f t="shared" si="563"/>
        <v>0.41243328385100908</v>
      </c>
      <c r="AI239" s="726">
        <f t="shared" si="564" ref="AI239:AU239">AI230/AI$236</f>
        <v>0.41093184793945992</v>
      </c>
      <c r="AJ239" s="726">
        <f t="shared" si="564"/>
        <v>0.40953141263377024</v>
      </c>
      <c r="AK239" s="1325">
        <f t="shared" si="564"/>
        <v>0.41180192526607795</v>
      </c>
      <c r="AL239" s="726">
        <f t="shared" si="564"/>
        <v>0.40598258877919979</v>
      </c>
      <c r="AM239" s="529">
        <f t="shared" si="564"/>
        <v>0.40617291627800922</v>
      </c>
      <c r="AN239" s="726">
        <f t="shared" si="564"/>
        <v>0.40122324159021411</v>
      </c>
      <c r="AO239" s="726">
        <f t="shared" si="564"/>
        <v>0.39575660214716718</v>
      </c>
      <c r="AP239" s="1325">
        <f t="shared" si="564"/>
        <v>0.40216139943354323</v>
      </c>
      <c r="AQ239" s="726">
        <f t="shared" si="564"/>
        <v>0.39329379474482257</v>
      </c>
      <c r="AR239" s="529">
        <f t="shared" si="564"/>
        <v>0.3842819810058003</v>
      </c>
      <c r="AS239" s="726">
        <f t="shared" si="564"/>
        <v>0.37553674503730822</v>
      </c>
      <c r="AT239" s="726">
        <f t="shared" si="564"/>
        <v>0.37017946109952249</v>
      </c>
      <c r="AU239" s="1325">
        <f t="shared" si="564"/>
        <v>0.38047091756125379</v>
      </c>
      <c r="AV239" s="726">
        <f t="shared" si="565" ref="AV239:AV245">AV230/AV$236</f>
        <v>0.36629133518033696</v>
      </c>
      <c r="AW239" s="529">
        <f t="shared" si="566" ref="AW239:AW245">AW230/AW$236</f>
        <v>0.35944484231842533</v>
      </c>
      <c r="AX239" s="726">
        <f t="shared" si="567" ref="AX239:AX245">AX230/AX$236</f>
        <v>0.35824952213502809</v>
      </c>
      <c r="AY239" s="726">
        <f t="shared" si="568" ref="AY239:AZ245">AY230/AY$236</f>
        <v>0.35783268044835753</v>
      </c>
      <c r="AZ239" s="1325">
        <f t="shared" si="568"/>
        <v>0.36036286686758245</v>
      </c>
      <c r="BA239" s="726">
        <f t="shared" si="569" ref="BA239:BA245">BA230/BA$236</f>
        <v>0.35913427078791998</v>
      </c>
      <c r="BB239" s="529">
        <f t="shared" si="570" ref="BB239:BB245">BB230/BB$236</f>
        <v>0.36000110616409942</v>
      </c>
      <c r="BC239" s="726">
        <f t="shared" si="571" ref="BC239:BC245">BC230/BC$236</f>
        <v>0.36349475974030337</v>
      </c>
      <c r="BD239" s="726">
        <f t="shared" si="572" ref="BD239:BI245">BD230/BD$236</f>
        <v>0.3624513396649886</v>
      </c>
      <c r="BE239" s="1325">
        <f t="shared" si="572"/>
        <v>0.36134691567628752</v>
      </c>
      <c r="BF239" s="726">
        <f t="shared" si="573" ref="BF239:BF245">BF230/BF$236</f>
        <v>0.36273732707479284</v>
      </c>
      <c r="BG239" s="529">
        <f t="shared" si="574" ref="BG239:BG245">BG230/BG$236</f>
        <v>0.3610447717830268</v>
      </c>
      <c r="BH239" s="808">
        <f t="shared" si="575" ref="BH239:BH245">BH230/BH$236</f>
        <v>0.36224018538862196</v>
      </c>
      <c r="BI239" s="98">
        <f t="shared" si="572"/>
        <v>0.3632848229249887</v>
      </c>
      <c r="BJ239" s="1380">
        <f t="shared" si="576" ref="BJ239:BJ245">BJ230/BJ$236</f>
        <v>0.36232396567576708</v>
      </c>
      <c r="BK239" s="98">
        <f t="shared" si="577" ref="BK239:BR245">BK230/BK$236</f>
        <v>0.33604955137567571</v>
      </c>
      <c r="BL239" s="98">
        <f t="shared" si="577"/>
        <v>0.35257466345312488</v>
      </c>
      <c r="BM239" s="98">
        <f t="shared" si="577"/>
        <v>0.34074785228252708</v>
      </c>
      <c r="BN239" s="98">
        <f t="shared" si="577"/>
        <v>0.35705192957796988</v>
      </c>
      <c r="BO239" s="1380">
        <f t="shared" si="577"/>
        <v>0.34629652113621712</v>
      </c>
      <c r="BP239" s="1381">
        <f t="shared" si="577"/>
        <v>0.36166360856525087</v>
      </c>
      <c r="BQ239" s="1381">
        <f t="shared" si="577"/>
        <v>0.36166360856525093</v>
      </c>
      <c r="BR239" s="1380">
        <f t="shared" si="577"/>
        <v>0.36166360856525093</v>
      </c>
      <c r="BS239" s="648"/>
    </row>
    <row r="240" spans="1:71" s="672" customFormat="1" ht="15" hidden="1" outlineLevel="2">
      <c r="A240" s="542" t="s">
        <v>693</v>
      </c>
      <c r="B240" s="424"/>
      <c r="C240" s="1325">
        <f t="shared" si="578" ref="C240:AH240">C231/C$236</f>
        <v>0.35332695820963689</v>
      </c>
      <c r="D240" s="1325">
        <f t="shared" si="578"/>
        <v>0.37773493167910133</v>
      </c>
      <c r="E240" s="1325">
        <f t="shared" si="578"/>
        <v>0.38943688434388168</v>
      </c>
      <c r="F240" s="1325">
        <f t="shared" si="578"/>
        <v>0.39107254338868774</v>
      </c>
      <c r="G240" s="1325">
        <f t="shared" si="578"/>
        <v>0.39407953974063636</v>
      </c>
      <c r="H240" s="726">
        <f t="shared" si="578"/>
        <v>0.40029075710424106</v>
      </c>
      <c r="I240" s="726">
        <f t="shared" si="578"/>
        <v>0.40412097042206713</v>
      </c>
      <c r="J240" s="726">
        <f t="shared" si="578"/>
        <v>0.40723772604127662</v>
      </c>
      <c r="K240" s="726">
        <f t="shared" si="578"/>
        <v>0.41251568000647421</v>
      </c>
      <c r="L240" s="1325">
        <f t="shared" si="578"/>
        <v>0.40622876864961815</v>
      </c>
      <c r="M240" s="726">
        <f t="shared" si="578"/>
        <v>0.41904721085228136</v>
      </c>
      <c r="N240" s="726">
        <f t="shared" si="578"/>
        <v>0.40670162936866966</v>
      </c>
      <c r="O240" s="726">
        <f t="shared" si="578"/>
        <v>0.40813710409024573</v>
      </c>
      <c r="P240" s="726">
        <f t="shared" si="578"/>
        <v>0.41212449674821916</v>
      </c>
      <c r="Q240" s="1325">
        <f t="shared" si="578"/>
        <v>0.41137036348377565</v>
      </c>
      <c r="R240" s="726">
        <f t="shared" si="578"/>
        <v>0.41762891638770822</v>
      </c>
      <c r="S240" s="529">
        <f t="shared" si="578"/>
        <v>0.41979215361933186</v>
      </c>
      <c r="T240" s="726">
        <f t="shared" si="578"/>
        <v>0.41779361917741203</v>
      </c>
      <c r="U240" s="726">
        <f t="shared" si="578"/>
        <v>0.41724290629151478</v>
      </c>
      <c r="V240" s="1325">
        <f t="shared" si="578"/>
        <v>0.4181053662009433</v>
      </c>
      <c r="W240" s="726">
        <f t="shared" si="578"/>
        <v>0.41875321486053724</v>
      </c>
      <c r="X240" s="529">
        <f t="shared" si="578"/>
        <v>0.41974878431248314</v>
      </c>
      <c r="Y240" s="726">
        <f t="shared" si="578"/>
        <v>0.41790953545232279</v>
      </c>
      <c r="Z240" s="726">
        <f t="shared" si="578"/>
        <v>0.41792897938912343</v>
      </c>
      <c r="AA240" s="1325">
        <f t="shared" si="578"/>
        <v>0.41856361664833519</v>
      </c>
      <c r="AB240" s="726">
        <f t="shared" si="578"/>
        <v>0.42044884304432673</v>
      </c>
      <c r="AC240" s="529">
        <f t="shared" si="578"/>
        <v>0.42071205889287683</v>
      </c>
      <c r="AD240" s="726">
        <f t="shared" si="578"/>
        <v>0.42080574995271419</v>
      </c>
      <c r="AE240" s="726">
        <f t="shared" si="578"/>
        <v>0.42127742659800366</v>
      </c>
      <c r="AF240" s="1325">
        <f t="shared" si="578"/>
        <v>0.42082480692328328</v>
      </c>
      <c r="AG240" s="726">
        <f t="shared" si="578"/>
        <v>0.42274049031892014</v>
      </c>
      <c r="AH240" s="529">
        <f t="shared" si="578"/>
        <v>0.42306254036964425</v>
      </c>
      <c r="AI240" s="726">
        <f t="shared" si="579" ref="AI240:AU240">AI231/AI$236</f>
        <v>0.42209449413017913</v>
      </c>
      <c r="AJ240" s="726">
        <f t="shared" si="579"/>
        <v>0.42363855007730616</v>
      </c>
      <c r="AK240" s="1325">
        <f t="shared" si="579"/>
        <v>0.4229037035399697</v>
      </c>
      <c r="AL240" s="726">
        <f t="shared" si="579"/>
        <v>0.42334079124561269</v>
      </c>
      <c r="AM240" s="529">
        <f t="shared" si="579"/>
        <v>0.4319694048877557</v>
      </c>
      <c r="AN240" s="726">
        <f t="shared" si="579"/>
        <v>0.43212513159873672</v>
      </c>
      <c r="AO240" s="726">
        <f t="shared" si="579"/>
        <v>0.42713149439699077</v>
      </c>
      <c r="AP240" s="1325">
        <f t="shared" si="579"/>
        <v>0.42867840332538659</v>
      </c>
      <c r="AQ240" s="726">
        <f t="shared" si="579"/>
        <v>0.42529893860002688</v>
      </c>
      <c r="AR240" s="529">
        <f t="shared" si="579"/>
        <v>0.42194258033380994</v>
      </c>
      <c r="AS240" s="726">
        <f t="shared" si="579"/>
        <v>0.41269533999718438</v>
      </c>
      <c r="AT240" s="726">
        <f t="shared" si="579"/>
        <v>0.40826969158894616</v>
      </c>
      <c r="AU240" s="1325">
        <f t="shared" si="579"/>
        <v>0.41678705934589022</v>
      </c>
      <c r="AV240" s="726">
        <f t="shared" si="565"/>
        <v>0.40613747468842393</v>
      </c>
      <c r="AW240" s="529">
        <f t="shared" si="566"/>
        <v>0.40384757859383102</v>
      </c>
      <c r="AX240" s="726">
        <f t="shared" si="567"/>
        <v>0.40950406890933871</v>
      </c>
      <c r="AY240" s="726">
        <f t="shared" si="568"/>
        <v>0.41566923942132411</v>
      </c>
      <c r="AZ240" s="1325">
        <f t="shared" si="568"/>
        <v>0.40891570473505928</v>
      </c>
      <c r="BA240" s="726">
        <f t="shared" si="569"/>
        <v>0.4224752643518484</v>
      </c>
      <c r="BB240" s="529">
        <f t="shared" si="570"/>
        <v>0.4273042780896546</v>
      </c>
      <c r="BC240" s="726">
        <f t="shared" si="571"/>
        <v>0.42712984161726303</v>
      </c>
      <c r="BD240" s="726">
        <f t="shared" si="572"/>
        <v>0.42828702940542451</v>
      </c>
      <c r="BE240" s="1325">
        <f t="shared" si="572"/>
        <v>0.42641022494050901</v>
      </c>
      <c r="BF240" s="726">
        <f t="shared" si="573"/>
        <v>0.43474356910196549</v>
      </c>
      <c r="BG240" s="529">
        <f t="shared" si="574"/>
        <v>0.44135506551613923</v>
      </c>
      <c r="BH240" s="808">
        <f t="shared" si="575"/>
        <v>0.44708608656205767</v>
      </c>
      <c r="BI240" s="98">
        <f t="shared" si="572"/>
        <v>0.47199749752196124</v>
      </c>
      <c r="BJ240" s="1380">
        <f t="shared" si="576"/>
        <v>0.44910134920194772</v>
      </c>
      <c r="BK240" s="98">
        <f t="shared" si="577"/>
        <v>0.47178712266869344</v>
      </c>
      <c r="BL240" s="98">
        <f t="shared" si="577"/>
        <v>0.4872628637601919</v>
      </c>
      <c r="BM240" s="98">
        <f t="shared" si="577"/>
        <v>0.51701628530442967</v>
      </c>
      <c r="BN240" s="98">
        <f t="shared" si="577"/>
        <v>0.47754351661120287</v>
      </c>
      <c r="BO240" s="1380">
        <f t="shared" si="577"/>
        <v>0.48849754112130839</v>
      </c>
      <c r="BP240" s="1381">
        <f t="shared" si="577"/>
        <v>0.46942787163710714</v>
      </c>
      <c r="BQ240" s="1381">
        <f t="shared" si="577"/>
        <v>0.46942787163710725</v>
      </c>
      <c r="BR240" s="1380">
        <f t="shared" si="577"/>
        <v>0.4694278716371072</v>
      </c>
      <c r="BS240" s="648"/>
    </row>
    <row r="241" spans="1:71" s="672" customFormat="1" ht="15" hidden="1" outlineLevel="2">
      <c r="A241" s="543" t="s">
        <v>695</v>
      </c>
      <c r="B241" s="530"/>
      <c r="C241" s="1382">
        <f t="shared" si="580" ref="C241:AH241">C232/C$236</f>
        <v>0.88247174012331586</v>
      </c>
      <c r="D241" s="1382">
        <f t="shared" si="580"/>
        <v>0.89605862464023245</v>
      </c>
      <c r="E241" s="1382">
        <f t="shared" si="580"/>
        <v>0.9012467455780121</v>
      </c>
      <c r="F241" s="1382">
        <f t="shared" si="580"/>
        <v>0.8969971282307404</v>
      </c>
      <c r="G241" s="1382">
        <f t="shared" si="580"/>
        <v>0.89699124150753651</v>
      </c>
      <c r="H241" s="532">
        <f t="shared" si="580"/>
        <v>0.90075642277900192</v>
      </c>
      <c r="I241" s="532">
        <f t="shared" si="580"/>
        <v>0.90091946383073007</v>
      </c>
      <c r="J241" s="532">
        <f t="shared" si="580"/>
        <v>0.89956168366335532</v>
      </c>
      <c r="K241" s="532">
        <f t="shared" si="580"/>
        <v>0.89936470683445946</v>
      </c>
      <c r="L241" s="1382">
        <f t="shared" si="580"/>
        <v>0.90012772780389705</v>
      </c>
      <c r="M241" s="532">
        <f t="shared" si="580"/>
        <v>0.900049289587039</v>
      </c>
      <c r="N241" s="532">
        <f t="shared" si="580"/>
        <v>0.86236438608431076</v>
      </c>
      <c r="O241" s="532">
        <f t="shared" si="580"/>
        <v>0.85869522344495719</v>
      </c>
      <c r="P241" s="532">
        <f t="shared" si="580"/>
        <v>0.85790879529266018</v>
      </c>
      <c r="Q241" s="1382">
        <f t="shared" si="580"/>
        <v>0.86910965822574893</v>
      </c>
      <c r="R241" s="532">
        <f t="shared" si="580"/>
        <v>0.8591792981532328</v>
      </c>
      <c r="S241" s="533">
        <f t="shared" si="580"/>
        <v>0.85549642202164766</v>
      </c>
      <c r="T241" s="532">
        <f t="shared" si="580"/>
        <v>0.85010658000489225</v>
      </c>
      <c r="U241" s="532">
        <f t="shared" si="580"/>
        <v>0.85090438396293888</v>
      </c>
      <c r="V241" s="1382">
        <f t="shared" si="580"/>
        <v>0.85379549701877733</v>
      </c>
      <c r="W241" s="532">
        <f t="shared" si="580"/>
        <v>0.85539349892976257</v>
      </c>
      <c r="X241" s="533">
        <f t="shared" si="580"/>
        <v>0.85573313481063784</v>
      </c>
      <c r="Y241" s="532">
        <f t="shared" si="580"/>
        <v>0.8518948655256724</v>
      </c>
      <c r="Z241" s="532">
        <f t="shared" si="580"/>
        <v>0.8493696957302912</v>
      </c>
      <c r="AA241" s="1382">
        <f t="shared" si="580"/>
        <v>0.85298427121753284</v>
      </c>
      <c r="AB241" s="532">
        <f t="shared" si="580"/>
        <v>0.84751881795372175</v>
      </c>
      <c r="AC241" s="533">
        <f t="shared" si="580"/>
        <v>0.84324487176128482</v>
      </c>
      <c r="AD241" s="532">
        <f t="shared" si="580"/>
        <v>0.83921568627450971</v>
      </c>
      <c r="AE241" s="532">
        <f t="shared" si="580"/>
        <v>0.83734410465428455</v>
      </c>
      <c r="AF241" s="1382">
        <f t="shared" si="580"/>
        <v>0.84163991556025375</v>
      </c>
      <c r="AG241" s="532">
        <f t="shared" si="580"/>
        <v>0.83746660677557394</v>
      </c>
      <c r="AH241" s="533">
        <f t="shared" si="580"/>
        <v>0.83549582422065327</v>
      </c>
      <c r="AI241" s="532">
        <f t="shared" si="581" ref="AI241:AU241">AI232/AI$236</f>
        <v>0.83302634206963899</v>
      </c>
      <c r="AJ241" s="532">
        <f t="shared" si="581"/>
        <v>0.83316996271107635</v>
      </c>
      <c r="AK241" s="1382">
        <f t="shared" si="581"/>
        <v>0.83470562880604759</v>
      </c>
      <c r="AL241" s="532">
        <f t="shared" si="581"/>
        <v>0.82932338002481254</v>
      </c>
      <c r="AM241" s="533">
        <f t="shared" si="581"/>
        <v>0.83814232116576493</v>
      </c>
      <c r="AN241" s="532">
        <f t="shared" si="581"/>
        <v>0.83334837318895083</v>
      </c>
      <c r="AO241" s="532">
        <f t="shared" si="581"/>
        <v>0.82288809654415795</v>
      </c>
      <c r="AP241" s="1382">
        <f t="shared" si="581"/>
        <v>0.83083980275892988</v>
      </c>
      <c r="AQ241" s="532">
        <f t="shared" si="581"/>
        <v>0.8185927333448495</v>
      </c>
      <c r="AR241" s="533">
        <f t="shared" si="581"/>
        <v>0.80622456133961018</v>
      </c>
      <c r="AS241" s="532">
        <f t="shared" si="581"/>
        <v>0.78823208503449249</v>
      </c>
      <c r="AT241" s="532">
        <f t="shared" si="581"/>
        <v>0.7784491526884687</v>
      </c>
      <c r="AU241" s="1382">
        <f t="shared" si="581"/>
        <v>0.79725797690714417</v>
      </c>
      <c r="AV241" s="532">
        <f t="shared" si="565"/>
        <v>0.77242880986876095</v>
      </c>
      <c r="AW241" s="533">
        <f t="shared" si="566"/>
        <v>0.76329242091225624</v>
      </c>
      <c r="AX241" s="532">
        <f t="shared" si="567"/>
        <v>0.7677535910443668</v>
      </c>
      <c r="AY241" s="532">
        <f t="shared" si="568"/>
        <v>0.77350191986968164</v>
      </c>
      <c r="AZ241" s="1382">
        <f t="shared" si="568"/>
        <v>0.76927857160264168</v>
      </c>
      <c r="BA241" s="532">
        <f t="shared" si="569"/>
        <v>0.78160953513976827</v>
      </c>
      <c r="BB241" s="533">
        <f t="shared" si="570"/>
        <v>0.78730538425375407</v>
      </c>
      <c r="BC241" s="532">
        <f t="shared" si="571"/>
        <v>0.79062460135756629</v>
      </c>
      <c r="BD241" s="532">
        <f t="shared" si="572"/>
        <v>0.79073836907041317</v>
      </c>
      <c r="BE241" s="1382">
        <f t="shared" si="572"/>
        <v>0.78775714061679658</v>
      </c>
      <c r="BF241" s="532">
        <f t="shared" si="573"/>
        <v>0.79748089617675844</v>
      </c>
      <c r="BG241" s="533">
        <f t="shared" si="574"/>
        <v>0.80239983729916609</v>
      </c>
      <c r="BH241" s="979">
        <f t="shared" si="575"/>
        <v>0.80932627195067963</v>
      </c>
      <c r="BI241" s="532">
        <f t="shared" si="572"/>
        <v>0.83528232044694994</v>
      </c>
      <c r="BJ241" s="1383">
        <f t="shared" si="576"/>
        <v>0.81142531487771474</v>
      </c>
      <c r="BK241" s="532">
        <f t="shared" si="577"/>
        <v>0.8078366740443691</v>
      </c>
      <c r="BL241" s="532">
        <f t="shared" si="577"/>
        <v>0.83983752721331684</v>
      </c>
      <c r="BM241" s="532">
        <f t="shared" si="577"/>
        <v>0.8577641375869568</v>
      </c>
      <c r="BN241" s="532">
        <f t="shared" si="577"/>
        <v>0.8345954461891727</v>
      </c>
      <c r="BO241" s="1383">
        <f t="shared" si="577"/>
        <v>0.8347940622575255</v>
      </c>
      <c r="BP241" s="1383">
        <f t="shared" si="577"/>
        <v>0.83109148020235801</v>
      </c>
      <c r="BQ241" s="1383">
        <f t="shared" si="577"/>
        <v>0.83109148020235812</v>
      </c>
      <c r="BR241" s="1383">
        <f t="shared" si="577"/>
        <v>0.83109148020235812</v>
      </c>
      <c r="BS241" s="648"/>
    </row>
    <row r="242" spans="1:71" s="672" customFormat="1" ht="15" hidden="1" outlineLevel="2">
      <c r="A242" s="22" t="s">
        <v>697</v>
      </c>
      <c r="B242" s="424"/>
      <c r="C242" s="1325">
        <f t="shared" si="582" ref="C242:AH242">C233/C$236</f>
        <v>0.11584408540762731</v>
      </c>
      <c r="D242" s="1325">
        <f t="shared" si="582"/>
        <v>0.10298432391650598</v>
      </c>
      <c r="E242" s="1325">
        <f t="shared" si="582"/>
        <v>0.098444587594277586</v>
      </c>
      <c r="F242" s="1325">
        <f t="shared" si="582"/>
        <v>0.10294668497939818</v>
      </c>
      <c r="G242" s="1325">
        <f t="shared" si="582"/>
        <v>0.1029970649110703</v>
      </c>
      <c r="H242" s="726">
        <f t="shared" si="582"/>
        <v>0.099243577220998122</v>
      </c>
      <c r="I242" s="726">
        <f t="shared" si="582"/>
        <v>0.09908053616926997</v>
      </c>
      <c r="J242" s="726">
        <f t="shared" si="582"/>
        <v>0.10043831633664456</v>
      </c>
      <c r="K242" s="726">
        <f t="shared" si="582"/>
        <v>0.10063529316554042</v>
      </c>
      <c r="L242" s="1325">
        <f t="shared" si="582"/>
        <v>0.099872272196102937</v>
      </c>
      <c r="M242" s="726">
        <f t="shared" si="582"/>
        <v>0.099950710412961025</v>
      </c>
      <c r="N242" s="726">
        <f t="shared" si="582"/>
        <v>0.097942271508066781</v>
      </c>
      <c r="O242" s="726">
        <f t="shared" si="582"/>
        <v>0.10083619295546878</v>
      </c>
      <c r="P242" s="726">
        <f t="shared" si="582"/>
        <v>0.10237302570455251</v>
      </c>
      <c r="Q242" s="1325">
        <f t="shared" si="582"/>
        <v>0.10030101863903394</v>
      </c>
      <c r="R242" s="726">
        <f t="shared" si="582"/>
        <v>0.10320833490051527</v>
      </c>
      <c r="S242" s="529">
        <f t="shared" si="582"/>
        <v>0.10669207810421086</v>
      </c>
      <c r="T242" s="726">
        <f t="shared" si="582"/>
        <v>0.11010937554600414</v>
      </c>
      <c r="U242" s="726">
        <f t="shared" si="582"/>
        <v>0.11051878597949386</v>
      </c>
      <c r="V242" s="1325">
        <f t="shared" si="582"/>
        <v>0.10773783038177451</v>
      </c>
      <c r="W242" s="726">
        <f t="shared" si="582"/>
        <v>0.10710670848059468</v>
      </c>
      <c r="X242" s="529">
        <f t="shared" si="582"/>
        <v>0.10639443714063961</v>
      </c>
      <c r="Y242" s="726">
        <f t="shared" si="582"/>
        <v>0.10910757946210269</v>
      </c>
      <c r="Z242" s="726">
        <f t="shared" si="582"/>
        <v>0.11140974890080194</v>
      </c>
      <c r="AA242" s="1325">
        <f t="shared" si="582"/>
        <v>0.10858573099778857</v>
      </c>
      <c r="AB242" s="726">
        <f t="shared" si="582"/>
        <v>0.11271257318093113</v>
      </c>
      <c r="AC242" s="529">
        <f t="shared" si="582"/>
        <v>0.11583401011238899</v>
      </c>
      <c r="AD242" s="726">
        <f t="shared" si="582"/>
        <v>0.11847928882163798</v>
      </c>
      <c r="AE242" s="726">
        <f t="shared" si="582"/>
        <v>0.11939569960705831</v>
      </c>
      <c r="AF242" s="1325">
        <f t="shared" si="582"/>
        <v>0.11673180682306769</v>
      </c>
      <c r="AG242" s="726">
        <f t="shared" si="582"/>
        <v>0.11974278351734084</v>
      </c>
      <c r="AH242" s="529">
        <f t="shared" si="582"/>
        <v>0.12130723990617244</v>
      </c>
      <c r="AI242" s="726">
        <f t="shared" si="583" ref="AI242:AU242">AI233/AI$236</f>
        <v>0.12282239630722801</v>
      </c>
      <c r="AJ242" s="726">
        <f t="shared" si="583"/>
        <v>0.1250240003233728</v>
      </c>
      <c r="AK242" s="1325">
        <f t="shared" si="583"/>
        <v>0.12233507587228258</v>
      </c>
      <c r="AL242" s="726">
        <f t="shared" si="583"/>
        <v>0.12607759763326157</v>
      </c>
      <c r="AM242" s="529">
        <f t="shared" si="583"/>
        <v>0.11701179445722695</v>
      </c>
      <c r="AN242" s="726">
        <f t="shared" si="583"/>
        <v>0.12180277736000403</v>
      </c>
      <c r="AO242" s="726">
        <f t="shared" si="583"/>
        <v>0.13155316981427786</v>
      </c>
      <c r="AP242" s="1325">
        <f t="shared" si="583"/>
        <v>0.12418750127350899</v>
      </c>
      <c r="AQ242" s="726">
        <f t="shared" si="583"/>
        <v>0.13606264754995107</v>
      </c>
      <c r="AR242" s="529">
        <f t="shared" si="583"/>
        <v>0.14767398450233557</v>
      </c>
      <c r="AS242" s="726">
        <f t="shared" si="583"/>
        <v>0.16519428410530765</v>
      </c>
      <c r="AT242" s="726">
        <f t="shared" si="583"/>
        <v>0.17482372817073799</v>
      </c>
      <c r="AU242" s="1325">
        <f t="shared" si="583"/>
        <v>0.15653377268209345</v>
      </c>
      <c r="AV242" s="726">
        <f t="shared" si="565"/>
        <v>0.18022689339060732</v>
      </c>
      <c r="AW242" s="529">
        <f t="shared" si="566"/>
        <v>0.1896953382889224</v>
      </c>
      <c r="AX242" s="726">
        <f t="shared" si="567"/>
        <v>0.18694400309704895</v>
      </c>
      <c r="AY242" s="726">
        <f t="shared" si="568"/>
        <v>0.18142186712174679</v>
      </c>
      <c r="AZ242" s="1325">
        <f t="shared" si="568"/>
        <v>0.18456698861928628</v>
      </c>
      <c r="BA242" s="726">
        <f t="shared" si="569"/>
        <v>0.17409906082124568</v>
      </c>
      <c r="BB242" s="529">
        <f t="shared" si="570"/>
        <v>0.16966483227786841</v>
      </c>
      <c r="BC242" s="726">
        <f t="shared" si="571"/>
        <v>0.16694977273185044</v>
      </c>
      <c r="BD242" s="726">
        <f t="shared" si="572"/>
        <v>0.16496329077006966</v>
      </c>
      <c r="BE242" s="1325">
        <f t="shared" si="572"/>
        <v>0.1687343601911892</v>
      </c>
      <c r="BF242" s="726">
        <f t="shared" si="573"/>
        <v>0.15836666955649406</v>
      </c>
      <c r="BG242" s="529">
        <f t="shared" si="574"/>
        <v>0.1548272756326447</v>
      </c>
      <c r="BH242" s="808">
        <f t="shared" si="575"/>
        <v>0.14902687369853582</v>
      </c>
      <c r="BI242" s="98">
        <f t="shared" si="572"/>
        <v>0.12152505828419947</v>
      </c>
      <c r="BJ242" s="1380">
        <f t="shared" si="576"/>
        <v>0.14567111207726888</v>
      </c>
      <c r="BK242" s="98">
        <f t="shared" si="577"/>
        <v>0.15696098649991772</v>
      </c>
      <c r="BL242" s="98">
        <f t="shared" si="577"/>
        <v>0.11701616854096011</v>
      </c>
      <c r="BM242" s="98">
        <f t="shared" si="577"/>
        <v>0.10460060415880323</v>
      </c>
      <c r="BN242" s="98">
        <f t="shared" si="577"/>
        <v>0.12295299020460979</v>
      </c>
      <c r="BO242" s="1380">
        <f t="shared" si="577"/>
        <v>0.12572037215888518</v>
      </c>
      <c r="BP242" s="1381">
        <f t="shared" si="577"/>
        <v>0.12853800692604506</v>
      </c>
      <c r="BQ242" s="1381">
        <f t="shared" si="577"/>
        <v>0.12853800692604503</v>
      </c>
      <c r="BR242" s="1380">
        <f t="shared" si="577"/>
        <v>0.12853800692604508</v>
      </c>
      <c r="BS242" s="648"/>
    </row>
    <row r="243" spans="1:71" s="672" customFormat="1" ht="15" hidden="1" outlineLevel="2">
      <c r="A243" s="22" t="s">
        <v>696</v>
      </c>
      <c r="B243" s="424"/>
      <c r="C243" s="1325">
        <f t="shared" si="584" ref="C243:AH243">C234/C$236</f>
        <v>0</v>
      </c>
      <c r="D243" s="1325">
        <f t="shared" si="584"/>
        <v>0</v>
      </c>
      <c r="E243" s="1325">
        <f t="shared" si="584"/>
        <v>0</v>
      </c>
      <c r="F243" s="1325">
        <f t="shared" si="584"/>
        <v>0</v>
      </c>
      <c r="G243" s="1325">
        <f t="shared" si="584"/>
        <v>0</v>
      </c>
      <c r="H243" s="726">
        <f t="shared" si="584"/>
        <v>0</v>
      </c>
      <c r="I243" s="726">
        <f t="shared" si="584"/>
        <v>0</v>
      </c>
      <c r="J243" s="726">
        <f t="shared" si="584"/>
        <v>0</v>
      </c>
      <c r="K243" s="726">
        <f t="shared" si="584"/>
        <v>0</v>
      </c>
      <c r="L243" s="1325">
        <f t="shared" si="584"/>
        <v>0</v>
      </c>
      <c r="M243" s="726">
        <f t="shared" si="584"/>
        <v>0</v>
      </c>
      <c r="N243" s="726">
        <f t="shared" si="584"/>
        <v>0.039773409664117854</v>
      </c>
      <c r="O243" s="726">
        <f t="shared" si="584"/>
        <v>0.040468583599574011</v>
      </c>
      <c r="P243" s="726">
        <f t="shared" si="584"/>
        <v>0.039718179002787242</v>
      </c>
      <c r="Q243" s="1325">
        <f t="shared" si="584"/>
        <v>0.030609424546838807</v>
      </c>
      <c r="R243" s="726">
        <f t="shared" si="584"/>
        <v>0.037612366946251925</v>
      </c>
      <c r="S243" s="529">
        <f t="shared" si="584"/>
        <v>0.037811499874141466</v>
      </c>
      <c r="T243" s="726">
        <f t="shared" si="584"/>
        <v>0.039784044449103682</v>
      </c>
      <c r="U243" s="726">
        <f t="shared" si="584"/>
        <v>0.038576830057567187</v>
      </c>
      <c r="V243" s="1325">
        <f t="shared" si="584"/>
        <v>0.038466672599448248</v>
      </c>
      <c r="W243" s="726">
        <f t="shared" si="584"/>
        <v>0.037499792589642755</v>
      </c>
      <c r="X243" s="529">
        <f t="shared" si="584"/>
        <v>0.03787242804872254</v>
      </c>
      <c r="Y243" s="726">
        <f t="shared" si="584"/>
        <v>0.03899755501222494</v>
      </c>
      <c r="Z243" s="726">
        <f t="shared" si="584"/>
        <v>0.039220555368906937</v>
      </c>
      <c r="AA243" s="1325">
        <f t="shared" si="584"/>
        <v>0.038429997784678524</v>
      </c>
      <c r="AB243" s="726">
        <f t="shared" si="584"/>
        <v>0.039768608865347083</v>
      </c>
      <c r="AC243" s="529">
        <f t="shared" si="584"/>
        <v>0.040921118126326268</v>
      </c>
      <c r="AD243" s="726">
        <f t="shared" si="584"/>
        <v>0.042305024903852219</v>
      </c>
      <c r="AE243" s="726">
        <f t="shared" si="584"/>
        <v>0.043260195738657164</v>
      </c>
      <c r="AF243" s="1325">
        <f t="shared" si="584"/>
        <v>0.041628277616678463</v>
      </c>
      <c r="AG243" s="726">
        <f t="shared" si="584"/>
        <v>0.04279060970708528</v>
      </c>
      <c r="AH243" s="529">
        <f t="shared" si="584"/>
        <v>0.043196935873174157</v>
      </c>
      <c r="AI243" s="726">
        <f t="shared" si="585" ref="AI243:AU243">AI234/AI$236</f>
        <v>0.044151261623133091</v>
      </c>
      <c r="AJ243" s="726">
        <f t="shared" si="585"/>
        <v>0.041806036965550693</v>
      </c>
      <c r="AK243" s="1325">
        <f t="shared" si="585"/>
        <v>0.042959295321669741</v>
      </c>
      <c r="AL243" s="726">
        <f t="shared" si="585"/>
        <v>0.044599022341925837</v>
      </c>
      <c r="AM243" s="529">
        <f t="shared" si="585"/>
        <v>0.044845884377008052</v>
      </c>
      <c r="AN243" s="726">
        <f t="shared" si="585"/>
        <v>0.044848849451045274</v>
      </c>
      <c r="AO243" s="726">
        <f t="shared" si="585"/>
        <v>0.045558733641564146</v>
      </c>
      <c r="AP243" s="1325">
        <f t="shared" si="585"/>
        <v>0.044972695967561184</v>
      </c>
      <c r="AQ243" s="726">
        <f t="shared" si="585"/>
        <v>0.045344619105199518</v>
      </c>
      <c r="AR243" s="529">
        <f t="shared" si="585"/>
        <v>0.045737231727415929</v>
      </c>
      <c r="AS243" s="726">
        <f t="shared" si="585"/>
        <v>0.046327256088976497</v>
      </c>
      <c r="AT243" s="726">
        <f t="shared" si="585"/>
        <v>0.046649542296619377</v>
      </c>
      <c r="AU243" s="1325">
        <f t="shared" si="585"/>
        <v>0.046034704645391909</v>
      </c>
      <c r="AV243" s="726">
        <f t="shared" si="565"/>
        <v>0.04728498928229502</v>
      </c>
      <c r="AW243" s="529">
        <f t="shared" si="566"/>
        <v>0.046962849546012063</v>
      </c>
      <c r="AX243" s="726">
        <f t="shared" si="567"/>
        <v>0.045245949237432352</v>
      </c>
      <c r="AY243" s="726">
        <f t="shared" si="568"/>
        <v>0.0450219136640422</v>
      </c>
      <c r="AZ243" s="1325">
        <f t="shared" si="568"/>
        <v>0.046099607645630085</v>
      </c>
      <c r="BA243" s="726">
        <f t="shared" si="569"/>
        <v>0.044239679009244005</v>
      </c>
      <c r="BB243" s="529">
        <f t="shared" si="570"/>
        <v>0.043022869942756004</v>
      </c>
      <c r="BC243" s="726">
        <f t="shared" si="571"/>
        <v>0.042418911932752795</v>
      </c>
      <c r="BD243" s="726">
        <f t="shared" si="572"/>
        <v>0.04429200005072087</v>
      </c>
      <c r="BE243" s="1325">
        <f t="shared" si="572"/>
        <v>0.043491453078868959</v>
      </c>
      <c r="BF243" s="726">
        <f t="shared" si="573"/>
        <v>0.044140049292198703</v>
      </c>
      <c r="BG243" s="529">
        <f t="shared" si="574"/>
        <v>0.042761265580057523</v>
      </c>
      <c r="BH243" s="808">
        <f t="shared" si="575"/>
        <v>0.041635923417884094</v>
      </c>
      <c r="BI243" s="98">
        <f t="shared" si="572"/>
        <v>0.043192621268850609</v>
      </c>
      <c r="BJ243" s="1380">
        <f t="shared" si="576"/>
        <v>0.04289490429130087</v>
      </c>
      <c r="BK243" s="98">
        <f t="shared" si="577"/>
        <v>0.035202339455713091</v>
      </c>
      <c r="BL243" s="98">
        <f t="shared" si="577"/>
        <v>0.043146304245722925</v>
      </c>
      <c r="BM243" s="98">
        <f t="shared" si="577"/>
        <v>0.037635258254239939</v>
      </c>
      <c r="BN243" s="98">
        <f t="shared" si="577"/>
        <v>0.04245156360621738</v>
      </c>
      <c r="BO243" s="1380">
        <f t="shared" si="577"/>
        <v>0.039485565583589372</v>
      </c>
      <c r="BP243" s="1381">
        <f t="shared" si="577"/>
        <v>0.040370512871596813</v>
      </c>
      <c r="BQ243" s="1381">
        <f t="shared" si="577"/>
        <v>0.040370512871596813</v>
      </c>
      <c r="BR243" s="1380">
        <f t="shared" si="577"/>
        <v>0.040370512871596827</v>
      </c>
      <c r="BS243" s="648"/>
    </row>
    <row r="244" spans="1:71" s="672" customFormat="1" ht="15" hidden="1" outlineLevel="2">
      <c r="A244" s="544" t="s">
        <v>698</v>
      </c>
      <c r="B244" s="424"/>
      <c r="C244" s="1325">
        <f t="shared" si="586" ref="C244:AH244">C235/C$236</f>
        <v>0.0016841744690568622</v>
      </c>
      <c r="D244" s="1325">
        <f t="shared" si="586"/>
        <v>0.00095705144326151939</v>
      </c>
      <c r="E244" s="1325">
        <f t="shared" si="586"/>
        <v>0.00030866682771022895</v>
      </c>
      <c r="F244" s="1325">
        <f t="shared" si="586"/>
        <v>5.6186789861405923E-05</v>
      </c>
      <c r="G244" s="1325">
        <f t="shared" si="586"/>
        <v>1.1693581393173288E-05</v>
      </c>
      <c r="H244" s="726">
        <f t="shared" si="586"/>
        <v>0</v>
      </c>
      <c r="I244" s="726">
        <f t="shared" si="586"/>
        <v>0</v>
      </c>
      <c r="J244" s="726">
        <f t="shared" si="586"/>
        <v>0</v>
      </c>
      <c r="K244" s="726">
        <f t="shared" si="586"/>
        <v>0</v>
      </c>
      <c r="L244" s="1325">
        <f t="shared" si="586"/>
        <v>0</v>
      </c>
      <c r="M244" s="726">
        <f t="shared" si="586"/>
        <v>0</v>
      </c>
      <c r="N244" s="726">
        <f t="shared" si="586"/>
        <v>-8.0067256495456186E-05</v>
      </c>
      <c r="O244" s="726">
        <f t="shared" si="586"/>
        <v>0</v>
      </c>
      <c r="P244" s="726">
        <f t="shared" si="586"/>
        <v>0</v>
      </c>
      <c r="Q244" s="1325">
        <f t="shared" si="586"/>
        <v>-2.0101411621631131E-05</v>
      </c>
      <c r="R244" s="726">
        <f t="shared" si="586"/>
        <v>0</v>
      </c>
      <c r="S244" s="529">
        <f t="shared" si="586"/>
        <v>0</v>
      </c>
      <c r="T244" s="726">
        <f t="shared" si="586"/>
        <v>0</v>
      </c>
      <c r="U244" s="726">
        <f t="shared" si="586"/>
        <v>0</v>
      </c>
      <c r="V244" s="1325">
        <f t="shared" si="586"/>
        <v>0</v>
      </c>
      <c r="W244" s="726">
        <f t="shared" si="586"/>
        <v>0</v>
      </c>
      <c r="X244" s="529">
        <f t="shared" si="586"/>
        <v>0</v>
      </c>
      <c r="Y244" s="726">
        <f t="shared" si="586"/>
        <v>0</v>
      </c>
      <c r="Z244" s="726">
        <f t="shared" si="586"/>
        <v>0</v>
      </c>
      <c r="AA244" s="1325">
        <f t="shared" si="586"/>
        <v>0</v>
      </c>
      <c r="AB244" s="726">
        <f t="shared" si="586"/>
        <v>0</v>
      </c>
      <c r="AC244" s="529">
        <f t="shared" si="586"/>
        <v>0</v>
      </c>
      <c r="AD244" s="726">
        <f t="shared" si="586"/>
        <v>0</v>
      </c>
      <c r="AE244" s="726">
        <f t="shared" si="586"/>
        <v>0</v>
      </c>
      <c r="AF244" s="1325">
        <f t="shared" si="586"/>
        <v>0</v>
      </c>
      <c r="AG244" s="726">
        <f t="shared" si="586"/>
        <v>0</v>
      </c>
      <c r="AH244" s="529">
        <f t="shared" si="586"/>
        <v>0</v>
      </c>
      <c r="AI244" s="726">
        <f t="shared" si="587" ref="AI244:AU244">AI235/AI$236</f>
        <v>0</v>
      </c>
      <c r="AJ244" s="726">
        <f t="shared" si="587"/>
        <v>0</v>
      </c>
      <c r="AK244" s="1325">
        <f t="shared" si="587"/>
        <v>0</v>
      </c>
      <c r="AL244" s="726">
        <f t="shared" si="587"/>
        <v>0</v>
      </c>
      <c r="AM244" s="529">
        <f t="shared" si="587"/>
        <v>0</v>
      </c>
      <c r="AN244" s="726">
        <f t="shared" si="587"/>
        <v>0</v>
      </c>
      <c r="AO244" s="726">
        <f t="shared" si="587"/>
        <v>0</v>
      </c>
      <c r="AP244" s="1325">
        <f t="shared" si="587"/>
        <v>0</v>
      </c>
      <c r="AQ244" s="726">
        <f t="shared" si="587"/>
        <v>0</v>
      </c>
      <c r="AR244" s="529">
        <f t="shared" si="587"/>
        <v>0.00036422243063839087</v>
      </c>
      <c r="AS244" s="726">
        <f t="shared" si="587"/>
        <v>0.00024637477122342675</v>
      </c>
      <c r="AT244" s="726">
        <f t="shared" si="587"/>
        <v>7.7576844173979042E-05</v>
      </c>
      <c r="AU244" s="1325">
        <f t="shared" si="587"/>
        <v>0.00017354576537063291</v>
      </c>
      <c r="AV244" s="726">
        <f t="shared" si="565"/>
        <v>5.9307458336510495E-05</v>
      </c>
      <c r="AW244" s="529">
        <f t="shared" si="566"/>
        <v>4.9391252809127502E-05</v>
      </c>
      <c r="AX244" s="726">
        <f t="shared" si="567"/>
        <v>5.6456621151876377E-05</v>
      </c>
      <c r="AY244" s="726">
        <f t="shared" si="568"/>
        <v>5.4299344529341061E-05</v>
      </c>
      <c r="AZ244" s="1325">
        <f t="shared" si="568"/>
        <v>5.4832132441938872E-05</v>
      </c>
      <c r="BA244" s="726">
        <f t="shared" si="569"/>
        <v>5.1725029741892099E-05</v>
      </c>
      <c r="BB244" s="529">
        <f t="shared" si="570"/>
        <v>6.9135256215259537E-06</v>
      </c>
      <c r="BC244" s="726">
        <f t="shared" si="571"/>
        <v>6.7139778304452046E-06</v>
      </c>
      <c r="BD244" s="726">
        <f t="shared" si="572"/>
        <v>6.3401087962669482E-06</v>
      </c>
      <c r="BE244" s="1325">
        <f t="shared" si="572"/>
        <v>1.7046113145280613E-05</v>
      </c>
      <c r="BF244" s="726">
        <f t="shared" si="573"/>
        <v>1.2384974548877302E-05</v>
      </c>
      <c r="BG244" s="529">
        <f t="shared" si="574"/>
        <v>1.1621488131555244E-05</v>
      </c>
      <c r="BH244" s="808">
        <f t="shared" si="575"/>
        <v>1.093093290046839E-05</v>
      </c>
      <c r="BI244" s="98">
        <f t="shared" si="572"/>
        <v>0</v>
      </c>
      <c r="BJ244" s="1380">
        <f t="shared" si="576"/>
        <v>8.6687537154441534E-06</v>
      </c>
      <c r="BK244" s="98">
        <f t="shared" si="577"/>
        <v>0</v>
      </c>
      <c r="BL244" s="98">
        <f t="shared" si="577"/>
        <v>0</v>
      </c>
      <c r="BM244" s="98">
        <f t="shared" si="577"/>
        <v>0</v>
      </c>
      <c r="BN244" s="98">
        <f t="shared" si="577"/>
        <v>0</v>
      </c>
      <c r="BO244" s="1380">
        <f t="shared" si="577"/>
        <v>0</v>
      </c>
      <c r="BP244" s="1381">
        <f t="shared" si="577"/>
        <v>0</v>
      </c>
      <c r="BQ244" s="1381">
        <f t="shared" si="577"/>
        <v>0</v>
      </c>
      <c r="BR244" s="1380">
        <f t="shared" si="577"/>
        <v>0</v>
      </c>
      <c r="BS244" s="648"/>
    </row>
    <row r="245" spans="1:71" s="678" customFormat="1" ht="15" hidden="1" outlineLevel="2">
      <c r="A245" s="535" t="s">
        <v>587</v>
      </c>
      <c r="B245" s="536"/>
      <c r="C245" s="1384">
        <f t="shared" si="588" ref="C245:AH245">C236/C$236</f>
        <v>1</v>
      </c>
      <c r="D245" s="1384">
        <f t="shared" si="588"/>
        <v>1</v>
      </c>
      <c r="E245" s="1384">
        <f t="shared" si="588"/>
        <v>1</v>
      </c>
      <c r="F245" s="1384">
        <f t="shared" si="588"/>
        <v>1</v>
      </c>
      <c r="G245" s="1384">
        <f t="shared" si="588"/>
        <v>1</v>
      </c>
      <c r="H245" s="538">
        <f t="shared" si="588"/>
        <v>1</v>
      </c>
      <c r="I245" s="538">
        <f t="shared" si="588"/>
        <v>1</v>
      </c>
      <c r="J245" s="538">
        <f t="shared" si="588"/>
        <v>1</v>
      </c>
      <c r="K245" s="538">
        <f t="shared" si="588"/>
        <v>1</v>
      </c>
      <c r="L245" s="1384">
        <f t="shared" si="588"/>
        <v>1</v>
      </c>
      <c r="M245" s="538">
        <f t="shared" si="588"/>
        <v>1</v>
      </c>
      <c r="N245" s="538">
        <f t="shared" si="588"/>
        <v>1</v>
      </c>
      <c r="O245" s="538">
        <f t="shared" si="588"/>
        <v>1</v>
      </c>
      <c r="P245" s="538">
        <f t="shared" si="588"/>
        <v>1</v>
      </c>
      <c r="Q245" s="1384">
        <f t="shared" si="588"/>
        <v>1</v>
      </c>
      <c r="R245" s="538">
        <f t="shared" si="588"/>
        <v>1</v>
      </c>
      <c r="S245" s="539">
        <f t="shared" si="588"/>
        <v>1</v>
      </c>
      <c r="T245" s="538">
        <f t="shared" si="588"/>
        <v>1</v>
      </c>
      <c r="U245" s="538">
        <f t="shared" si="588"/>
        <v>1</v>
      </c>
      <c r="V245" s="1384">
        <f t="shared" si="588"/>
        <v>1</v>
      </c>
      <c r="W245" s="538">
        <f t="shared" si="588"/>
        <v>1</v>
      </c>
      <c r="X245" s="539">
        <f t="shared" si="588"/>
        <v>1</v>
      </c>
      <c r="Y245" s="538">
        <f t="shared" si="588"/>
        <v>1</v>
      </c>
      <c r="Z245" s="538">
        <f t="shared" si="588"/>
        <v>1</v>
      </c>
      <c r="AA245" s="1384">
        <f t="shared" si="588"/>
        <v>1</v>
      </c>
      <c r="AB245" s="538">
        <f t="shared" si="588"/>
        <v>1</v>
      </c>
      <c r="AC245" s="539">
        <f t="shared" si="588"/>
        <v>1</v>
      </c>
      <c r="AD245" s="538">
        <f t="shared" si="588"/>
        <v>1</v>
      </c>
      <c r="AE245" s="538">
        <f t="shared" si="588"/>
        <v>1</v>
      </c>
      <c r="AF245" s="1384">
        <f t="shared" si="588"/>
        <v>1</v>
      </c>
      <c r="AG245" s="538">
        <f t="shared" si="588"/>
        <v>1</v>
      </c>
      <c r="AH245" s="539">
        <f t="shared" si="588"/>
        <v>1</v>
      </c>
      <c r="AI245" s="538">
        <f t="shared" si="589" ref="AI245:AU245">AI236/AI$236</f>
        <v>1</v>
      </c>
      <c r="AJ245" s="538">
        <f t="shared" si="589"/>
        <v>1</v>
      </c>
      <c r="AK245" s="1384">
        <f t="shared" si="589"/>
        <v>1</v>
      </c>
      <c r="AL245" s="538">
        <f t="shared" si="589"/>
        <v>1</v>
      </c>
      <c r="AM245" s="539">
        <f t="shared" si="589"/>
        <v>1</v>
      </c>
      <c r="AN245" s="538">
        <f t="shared" si="589"/>
        <v>1</v>
      </c>
      <c r="AO245" s="538">
        <f t="shared" si="589"/>
        <v>1</v>
      </c>
      <c r="AP245" s="1384">
        <f t="shared" si="589"/>
        <v>1</v>
      </c>
      <c r="AQ245" s="538">
        <f t="shared" si="589"/>
        <v>1</v>
      </c>
      <c r="AR245" s="539">
        <f t="shared" si="589"/>
        <v>1</v>
      </c>
      <c r="AS245" s="538">
        <f t="shared" si="589"/>
        <v>1</v>
      </c>
      <c r="AT245" s="538">
        <f t="shared" si="589"/>
        <v>1</v>
      </c>
      <c r="AU245" s="1384">
        <f t="shared" si="589"/>
        <v>1</v>
      </c>
      <c r="AV245" s="538">
        <f t="shared" si="565"/>
        <v>1</v>
      </c>
      <c r="AW245" s="539">
        <f t="shared" si="566"/>
        <v>1</v>
      </c>
      <c r="AX245" s="538">
        <f t="shared" si="567"/>
        <v>1</v>
      </c>
      <c r="AY245" s="538">
        <f t="shared" si="568"/>
        <v>1</v>
      </c>
      <c r="AZ245" s="1384">
        <f t="shared" si="568"/>
        <v>1</v>
      </c>
      <c r="BA245" s="538">
        <f t="shared" si="569"/>
        <v>1</v>
      </c>
      <c r="BB245" s="539">
        <f t="shared" si="570"/>
        <v>1</v>
      </c>
      <c r="BC245" s="538">
        <f t="shared" si="571"/>
        <v>1</v>
      </c>
      <c r="BD245" s="538">
        <f t="shared" si="572"/>
        <v>1</v>
      </c>
      <c r="BE245" s="1384">
        <f t="shared" si="572"/>
        <v>1</v>
      </c>
      <c r="BF245" s="538">
        <f t="shared" si="573"/>
        <v>1</v>
      </c>
      <c r="BG245" s="539">
        <f t="shared" si="574"/>
        <v>1</v>
      </c>
      <c r="BH245" s="980">
        <f t="shared" si="575"/>
        <v>1</v>
      </c>
      <c r="BI245" s="538">
        <f t="shared" si="572"/>
        <v>1</v>
      </c>
      <c r="BJ245" s="1385">
        <f t="shared" si="576"/>
        <v>1</v>
      </c>
      <c r="BK245" s="538">
        <f t="shared" si="577"/>
        <v>1</v>
      </c>
      <c r="BL245" s="538">
        <f t="shared" si="577"/>
        <v>1</v>
      </c>
      <c r="BM245" s="538">
        <f t="shared" si="577"/>
        <v>1</v>
      </c>
      <c r="BN245" s="538">
        <f t="shared" si="577"/>
        <v>1</v>
      </c>
      <c r="BO245" s="1385">
        <f t="shared" si="577"/>
        <v>1</v>
      </c>
      <c r="BP245" s="1385">
        <f t="shared" si="577"/>
        <v>1</v>
      </c>
      <c r="BQ245" s="1385">
        <f t="shared" si="577"/>
        <v>1</v>
      </c>
      <c r="BR245" s="1385">
        <f t="shared" si="577"/>
        <v>1</v>
      </c>
      <c r="BS245" s="648"/>
    </row>
    <row r="246" spans="1:71" s="676" customFormat="1" ht="15" hidden="1" outlineLevel="1" collapsed="1">
      <c r="A246" s="513"/>
      <c r="B246" s="397"/>
      <c r="C246" s="1339"/>
      <c r="D246" s="1339"/>
      <c r="E246" s="1339"/>
      <c r="F246" s="1339"/>
      <c r="G246" s="1339"/>
      <c r="H246" s="381"/>
      <c r="I246" s="381"/>
      <c r="J246" s="381"/>
      <c r="K246" s="381"/>
      <c r="L246" s="1339"/>
      <c r="M246" s="381"/>
      <c r="N246" s="381"/>
      <c r="O246" s="381"/>
      <c r="P246" s="381"/>
      <c r="Q246" s="1339"/>
      <c r="R246" s="381"/>
      <c r="S246" s="381"/>
      <c r="T246" s="381"/>
      <c r="U246" s="381"/>
      <c r="V246" s="1339"/>
      <c r="W246" s="381"/>
      <c r="X246" s="381"/>
      <c r="Y246" s="381"/>
      <c r="Z246" s="381"/>
      <c r="AA246" s="1339"/>
      <c r="AB246" s="381"/>
      <c r="AC246" s="381"/>
      <c r="AD246" s="381"/>
      <c r="AE246" s="381"/>
      <c r="AF246" s="1339"/>
      <c r="AG246" s="381"/>
      <c r="AH246" s="381"/>
      <c r="AI246" s="381"/>
      <c r="AJ246" s="381"/>
      <c r="AK246" s="1339"/>
      <c r="AL246" s="381"/>
      <c r="AM246" s="381"/>
      <c r="AN246" s="381"/>
      <c r="AO246" s="381"/>
      <c r="AP246" s="1339"/>
      <c r="AQ246" s="381"/>
      <c r="AR246" s="381"/>
      <c r="AS246" s="381"/>
      <c r="AT246" s="381"/>
      <c r="AU246" s="1339"/>
      <c r="AV246" s="381"/>
      <c r="AW246" s="381"/>
      <c r="AX246" s="381"/>
      <c r="AY246" s="381"/>
      <c r="AZ246" s="1339"/>
      <c r="BA246" s="381"/>
      <c r="BB246" s="381"/>
      <c r="BC246" s="381"/>
      <c r="BD246" s="381"/>
      <c r="BE246" s="1339"/>
      <c r="BF246" s="381"/>
      <c r="BG246" s="381"/>
      <c r="BH246" s="813"/>
      <c r="BI246" s="909"/>
      <c r="BJ246" s="1340"/>
      <c r="BK246" s="909"/>
      <c r="BL246" s="909"/>
      <c r="BM246" s="909"/>
      <c r="BN246" s="909"/>
      <c r="BO246" s="1340"/>
      <c r="BP246" s="1339"/>
      <c r="BQ246" s="1339"/>
      <c r="BR246" s="1340"/>
      <c r="BS246" s="648"/>
    </row>
    <row r="247" spans="1:71" s="676" customFormat="1" ht="15" hidden="1" outlineLevel="1">
      <c r="A247" s="513" t="s">
        <v>573</v>
      </c>
      <c r="B247" s="396"/>
      <c r="C247" s="1339"/>
      <c r="D247" s="1339"/>
      <c r="E247" s="1339"/>
      <c r="F247" s="1339"/>
      <c r="G247" s="1339"/>
      <c r="H247" s="381"/>
      <c r="I247" s="381"/>
      <c r="J247" s="381"/>
      <c r="K247" s="381"/>
      <c r="L247" s="1339"/>
      <c r="M247" s="381"/>
      <c r="N247" s="381"/>
      <c r="O247" s="381"/>
      <c r="P247" s="381"/>
      <c r="Q247" s="1339"/>
      <c r="R247" s="381"/>
      <c r="S247" s="381"/>
      <c r="T247" s="381"/>
      <c r="U247" s="381"/>
      <c r="V247" s="1339"/>
      <c r="W247" s="381"/>
      <c r="X247" s="381"/>
      <c r="Y247" s="381"/>
      <c r="Z247" s="381"/>
      <c r="AA247" s="1339"/>
      <c r="AB247" s="381"/>
      <c r="AC247" s="381"/>
      <c r="AD247" s="381"/>
      <c r="AE247" s="381"/>
      <c r="AF247" s="1339"/>
      <c r="AG247" s="381">
        <f t="shared" si="590" ref="AG247:AU247">AG261-AG251</f>
        <v>0.68267660343270098</v>
      </c>
      <c r="AH247" s="381">
        <f t="shared" si="590"/>
        <v>0.67804624983046247</v>
      </c>
      <c r="AI247" s="381">
        <f t="shared" si="590"/>
        <v>0.69474936729093961</v>
      </c>
      <c r="AJ247" s="381">
        <f t="shared" si="590"/>
        <v>0.7222508611488454</v>
      </c>
      <c r="AK247" s="1339">
        <f t="shared" si="590"/>
        <v>0.69529493545183707</v>
      </c>
      <c r="AL247" s="381">
        <f t="shared" si="590"/>
        <v>0.6472436358057051</v>
      </c>
      <c r="AM247" s="381">
        <f t="shared" si="590"/>
        <v>0.4966337286228345</v>
      </c>
      <c r="AN247" s="381">
        <f t="shared" si="590"/>
        <v>0.64737635055465992</v>
      </c>
      <c r="AO247" s="381">
        <f t="shared" si="590"/>
        <v>0.68018894854000256</v>
      </c>
      <c r="AP247" s="1339">
        <f t="shared" si="590"/>
        <v>0.618529777652429</v>
      </c>
      <c r="AQ247" s="381">
        <f t="shared" si="590"/>
        <v>0.67336802307178278</v>
      </c>
      <c r="AR247" s="381">
        <f t="shared" si="590"/>
        <v>0.74407914887849835</v>
      </c>
      <c r="AS247" s="381">
        <f t="shared" si="590"/>
        <v>0.77099226398455023</v>
      </c>
      <c r="AT247" s="381">
        <f t="shared" si="590"/>
        <v>0.79127351042508687</v>
      </c>
      <c r="AU247" s="1339">
        <f t="shared" si="590"/>
        <v>0.74556801881645196</v>
      </c>
      <c r="AV247" s="381">
        <f t="shared" si="591" ref="AV247:AW249">AV261-AV251</f>
        <v>0.75711895490791825</v>
      </c>
      <c r="AW247" s="381">
        <f t="shared" si="591"/>
        <v>0.74624205168025537</v>
      </c>
      <c r="AX247" s="381">
        <f t="shared" si="592" ref="AX247:AZ249">AX261-AX251</f>
        <v>0.75045909888332119</v>
      </c>
      <c r="AY247" s="381">
        <f t="shared" si="592"/>
        <v>0.7702792831641867</v>
      </c>
      <c r="AZ247" s="1339">
        <f t="shared" si="592"/>
        <v>0.75539718903279285</v>
      </c>
      <c r="BA247" s="381">
        <f t="shared" si="593" ref="BA247:BB249">BA261-BA251</f>
        <v>0.7812929208894267</v>
      </c>
      <c r="BB247" s="381">
        <f t="shared" si="593"/>
        <v>0.7901291546290361</v>
      </c>
      <c r="BC247" s="381">
        <f t="shared" si="594" ref="BC247:BE249">BC261-BC251</f>
        <v>0.73549032762105337</v>
      </c>
      <c r="BD247" s="381">
        <f t="shared" si="594"/>
        <v>0.71566743906350261</v>
      </c>
      <c r="BE247" s="1339">
        <f t="shared" si="594"/>
        <v>0.754340144503855</v>
      </c>
      <c r="BF247" s="381">
        <f t="shared" si="595" ref="BF247:BG249">BF261-BF251</f>
        <v>0.65445434921029344</v>
      </c>
      <c r="BG247" s="381">
        <f t="shared" si="595"/>
        <v>0.65226396019958144</v>
      </c>
      <c r="BH247" s="813">
        <f>BH261-BH251</f>
        <v>0.64568557536466775</v>
      </c>
      <c r="BI247" s="909">
        <f t="shared" si="596" ref="BI247:BR247">BI120</f>
        <v>0.76</v>
      </c>
      <c r="BJ247" s="1340">
        <f t="shared" si="596"/>
        <v>0.67939723614601377</v>
      </c>
      <c r="BK247" s="909">
        <f t="shared" si="596"/>
        <v>0.735</v>
      </c>
      <c r="BL247" s="909">
        <f t="shared" si="596"/>
        <v>0.73</v>
      </c>
      <c r="BM247" s="909">
        <f t="shared" si="596"/>
        <v>0.715</v>
      </c>
      <c r="BN247" s="909">
        <f t="shared" si="596"/>
        <v>0.735</v>
      </c>
      <c r="BO247" s="1340">
        <f t="shared" si="596"/>
        <v>0.72851985955412379</v>
      </c>
      <c r="BP247" s="1339">
        <f t="shared" si="596"/>
        <v>0.735</v>
      </c>
      <c r="BQ247" s="1339">
        <f t="shared" si="596"/>
        <v>0.735</v>
      </c>
      <c r="BR247" s="1340">
        <f t="shared" si="596"/>
        <v>0.735</v>
      </c>
      <c r="BS247" s="648"/>
    </row>
    <row r="248" spans="1:71" s="676" customFormat="1" ht="15" hidden="1" outlineLevel="1">
      <c r="A248" s="513" t="s">
        <v>575</v>
      </c>
      <c r="B248" s="396"/>
      <c r="C248" s="1339"/>
      <c r="D248" s="1339"/>
      <c r="E248" s="1339"/>
      <c r="F248" s="1339"/>
      <c r="G248" s="1339"/>
      <c r="H248" s="381"/>
      <c r="I248" s="381"/>
      <c r="J248" s="381"/>
      <c r="K248" s="381"/>
      <c r="L248" s="1339"/>
      <c r="M248" s="381"/>
      <c r="N248" s="381"/>
      <c r="O248" s="381"/>
      <c r="P248" s="381"/>
      <c r="Q248" s="1339"/>
      <c r="R248" s="381"/>
      <c r="S248" s="381"/>
      <c r="T248" s="381"/>
      <c r="U248" s="381"/>
      <c r="V248" s="1339"/>
      <c r="W248" s="381"/>
      <c r="X248" s="381"/>
      <c r="Y248" s="381"/>
      <c r="Z248" s="381"/>
      <c r="AA248" s="1339"/>
      <c r="AB248" s="381"/>
      <c r="AC248" s="381"/>
      <c r="AD248" s="381"/>
      <c r="AE248" s="381"/>
      <c r="AF248" s="1339"/>
      <c r="AG248" s="381">
        <f t="shared" si="597" ref="AG248:AU248">AG262-AG252</f>
        <v>0.62551924975320827</v>
      </c>
      <c r="AH248" s="381">
        <f t="shared" si="597"/>
        <v>0.66851611396543675</v>
      </c>
      <c r="AI248" s="381">
        <f t="shared" si="597"/>
        <v>0.71892835847863401</v>
      </c>
      <c r="AJ248" s="381">
        <f t="shared" si="597"/>
        <v>0.70661711930164894</v>
      </c>
      <c r="AK248" s="1339">
        <f t="shared" si="597"/>
        <v>0.68192835847863409</v>
      </c>
      <c r="AL248" s="381">
        <f t="shared" si="597"/>
        <v>0.67990664423885627</v>
      </c>
      <c r="AM248" s="381">
        <f t="shared" si="597"/>
        <v>0.56741984056687333</v>
      </c>
      <c r="AN248" s="381">
        <f t="shared" si="597"/>
        <v>0.66320118538030959</v>
      </c>
      <c r="AO248" s="381">
        <f t="shared" si="597"/>
        <v>0.65183037974683544</v>
      </c>
      <c r="AP248" s="1339">
        <f t="shared" si="597"/>
        <v>0.64196460068091388</v>
      </c>
      <c r="AQ248" s="381">
        <f t="shared" si="597"/>
        <v>0.63373042742276764</v>
      </c>
      <c r="AR248" s="381">
        <f t="shared" si="597"/>
        <v>0.71393044765075842</v>
      </c>
      <c r="AS248" s="381">
        <f t="shared" si="597"/>
        <v>0.69576797698945347</v>
      </c>
      <c r="AT248" s="381">
        <f t="shared" si="597"/>
        <v>0.70196893797455862</v>
      </c>
      <c r="AU248" s="1339">
        <f t="shared" si="597"/>
        <v>0.68915561826873228</v>
      </c>
      <c r="AV248" s="381">
        <f t="shared" si="591"/>
        <v>0.70868371568258737</v>
      </c>
      <c r="AW248" s="381">
        <f t="shared" si="591"/>
        <v>0.69983405658739795</v>
      </c>
      <c r="AX248" s="381">
        <f t="shared" si="592"/>
        <v>0.69779520255403593</v>
      </c>
      <c r="AY248" s="381">
        <f t="shared" si="592"/>
        <v>0.73803035744826373</v>
      </c>
      <c r="AZ248" s="1339">
        <f t="shared" si="592"/>
        <v>0.71121491368022616</v>
      </c>
      <c r="BA248" s="381">
        <f t="shared" si="593"/>
        <v>0.76151449429141382</v>
      </c>
      <c r="BB248" s="381">
        <f t="shared" si="593"/>
        <v>0.76429860233894298</v>
      </c>
      <c r="BC248" s="381">
        <f t="shared" si="594"/>
        <v>0.79197305557789754</v>
      </c>
      <c r="BD248" s="381">
        <f t="shared" si="594"/>
        <v>0.82231573081209852</v>
      </c>
      <c r="BE248" s="1339">
        <f t="shared" si="594"/>
        <v>0.7858378372917656</v>
      </c>
      <c r="BF248" s="381">
        <f t="shared" si="595"/>
        <v>0.72051990302651125</v>
      </c>
      <c r="BG248" s="381">
        <f t="shared" si="595"/>
        <v>0.68627960217676853</v>
      </c>
      <c r="BH248" s="813">
        <f>BH262-BH252</f>
        <v>0.6806040635200058</v>
      </c>
      <c r="BI248" s="909">
        <f>BI155</f>
        <v>0.70</v>
      </c>
      <c r="BJ248" s="1340">
        <f>BJ151/BJ148</f>
        <v>0.69633351670697097</v>
      </c>
      <c r="BK248" s="909">
        <f>BK155</f>
        <v>0.70</v>
      </c>
      <c r="BL248" s="909">
        <f>BL155</f>
        <v>0.70</v>
      </c>
      <c r="BM248" s="909">
        <f>BM155</f>
        <v>0.70</v>
      </c>
      <c r="BN248" s="909">
        <f>BN155</f>
        <v>0.70</v>
      </c>
      <c r="BO248" s="1340">
        <f>BO151/BO148</f>
        <v>0.70</v>
      </c>
      <c r="BP248" s="1339">
        <f>BP155</f>
        <v>0.70</v>
      </c>
      <c r="BQ248" s="1339">
        <f>BQ155</f>
        <v>0.70</v>
      </c>
      <c r="BR248" s="1340">
        <f>BR155</f>
        <v>0.70</v>
      </c>
      <c r="BS248" s="648"/>
    </row>
    <row r="249" spans="1:71" s="676" customFormat="1" ht="15" hidden="1" outlineLevel="1">
      <c r="A249" s="514" t="s">
        <v>577</v>
      </c>
      <c r="B249" s="413"/>
      <c r="C249" s="1366"/>
      <c r="D249" s="1366"/>
      <c r="E249" s="1366"/>
      <c r="F249" s="1366"/>
      <c r="G249" s="1366"/>
      <c r="H249" s="382"/>
      <c r="I249" s="382"/>
      <c r="J249" s="382"/>
      <c r="K249" s="382"/>
      <c r="L249" s="1366"/>
      <c r="M249" s="382"/>
      <c r="N249" s="382">
        <f t="shared" si="598" ref="N249:AF249">N263-N253</f>
        <v>0.40472370407649727</v>
      </c>
      <c r="O249" s="382">
        <f t="shared" si="598"/>
        <v>0.46673099415204677</v>
      </c>
      <c r="P249" s="382">
        <f t="shared" si="598"/>
        <v>0.34562621832358653</v>
      </c>
      <c r="Q249" s="1366">
        <f t="shared" si="598"/>
        <v>0.40570398949269409</v>
      </c>
      <c r="R249" s="382">
        <f t="shared" si="598"/>
        <v>0.5525</v>
      </c>
      <c r="S249" s="382">
        <f t="shared" si="598"/>
        <v>0.3891768901569187</v>
      </c>
      <c r="T249" s="382">
        <f t="shared" si="598"/>
        <v>0.48955906895037332</v>
      </c>
      <c r="U249" s="382">
        <f t="shared" si="598"/>
        <v>0.31720750551876364</v>
      </c>
      <c r="V249" s="1366">
        <f t="shared" si="598"/>
        <v>0.43454482359745517</v>
      </c>
      <c r="W249" s="382">
        <f t="shared" si="598"/>
        <v>0.37353097345132741</v>
      </c>
      <c r="X249" s="382">
        <f t="shared" si="598"/>
        <v>0.32817900460058558</v>
      </c>
      <c r="Y249" s="382">
        <f t="shared" si="598"/>
        <v>0.5702978056426331</v>
      </c>
      <c r="Z249" s="382">
        <f t="shared" si="598"/>
        <v>0.34392849162011169</v>
      </c>
      <c r="AA249" s="1366">
        <f t="shared" si="598"/>
        <v>0.40530987055016177</v>
      </c>
      <c r="AB249" s="382">
        <f t="shared" si="598"/>
        <v>0.4675790396074308</v>
      </c>
      <c r="AC249" s="382">
        <f t="shared" si="598"/>
        <v>0.53779641485275298</v>
      </c>
      <c r="AD249" s="382">
        <f t="shared" si="598"/>
        <v>0.60321609538002974</v>
      </c>
      <c r="AE249" s="382">
        <f t="shared" si="598"/>
        <v>0.4650456981664316</v>
      </c>
      <c r="AF249" s="1366">
        <f t="shared" si="598"/>
        <v>0.51925572726566749</v>
      </c>
      <c r="AG249" s="382">
        <f t="shared" si="599" ref="AG249:AU249">AG263-AG253</f>
        <v>0.61028176795580114</v>
      </c>
      <c r="AH249" s="382">
        <f t="shared" si="599"/>
        <v>0.56215215110178385</v>
      </c>
      <c r="AI249" s="382">
        <f t="shared" si="599"/>
        <v>0.63005931138477</v>
      </c>
      <c r="AJ249" s="382">
        <f t="shared" si="599"/>
        <v>0.49940198211264164</v>
      </c>
      <c r="AK249" s="1366">
        <f t="shared" si="599"/>
        <v>0.57404013377926422</v>
      </c>
      <c r="AL249" s="382">
        <f t="shared" si="599"/>
        <v>0.48238040893961004</v>
      </c>
      <c r="AM249" s="382">
        <f t="shared" si="599"/>
        <v>0.59736075803096811</v>
      </c>
      <c r="AN249" s="382">
        <f t="shared" si="599"/>
        <v>0.55467829197406671</v>
      </c>
      <c r="AO249" s="382">
        <f t="shared" si="599"/>
        <v>0.49798172436035293</v>
      </c>
      <c r="AP249" s="1366">
        <f t="shared" si="599"/>
        <v>0.53298187687602649</v>
      </c>
      <c r="AQ249" s="382">
        <f t="shared" si="599"/>
        <v>0.54296825396825388</v>
      </c>
      <c r="AR249" s="382">
        <f t="shared" si="599"/>
        <v>0.62017220784391802</v>
      </c>
      <c r="AS249" s="382">
        <f t="shared" si="599"/>
        <v>0.58990218423551755</v>
      </c>
      <c r="AT249" s="382">
        <f t="shared" si="599"/>
        <v>0.46687269031781231</v>
      </c>
      <c r="AU249" s="1366">
        <f t="shared" si="599"/>
        <v>0.55388984088127291</v>
      </c>
      <c r="AV249" s="382">
        <f t="shared" si="591"/>
        <v>0.52807489697186882</v>
      </c>
      <c r="AW249" s="382">
        <f t="shared" si="591"/>
        <v>0.60770990359333898</v>
      </c>
      <c r="AX249" s="382">
        <f t="shared" si="592"/>
        <v>0.62440641711229938</v>
      </c>
      <c r="AY249" s="382">
        <f t="shared" si="592"/>
        <v>0.54927791178497587</v>
      </c>
      <c r="AZ249" s="1366">
        <f t="shared" si="592"/>
        <v>0.57731718061674009</v>
      </c>
      <c r="BA249" s="382">
        <f t="shared" si="593"/>
        <v>0.5113074995824286</v>
      </c>
      <c r="BB249" s="382">
        <f t="shared" si="593"/>
        <v>0.38911907440141413</v>
      </c>
      <c r="BC249" s="382">
        <f t="shared" si="594"/>
        <v>0.41262804685026899</v>
      </c>
      <c r="BD249" s="382">
        <f t="shared" si="594"/>
        <v>0.44031978242198655</v>
      </c>
      <c r="BE249" s="1366">
        <f t="shared" si="594"/>
        <v>0.43763204515168136</v>
      </c>
      <c r="BF249" s="382">
        <f t="shared" si="595"/>
        <v>0.45523905723905722</v>
      </c>
      <c r="BG249" s="382">
        <f t="shared" si="595"/>
        <v>0.61764723467862503</v>
      </c>
      <c r="BH249" s="818">
        <f>BH263-BH253</f>
        <v>0.41117721186663164</v>
      </c>
      <c r="BI249" s="382">
        <f t="shared" si="600" ref="BI249:BR249">BI190</f>
        <v>0.60</v>
      </c>
      <c r="BJ249" s="1366">
        <f t="shared" si="600"/>
        <v>0.52116889865868399</v>
      </c>
      <c r="BK249" s="382">
        <f t="shared" si="600"/>
        <v>0.60</v>
      </c>
      <c r="BL249" s="382">
        <f t="shared" si="600"/>
        <v>0.60</v>
      </c>
      <c r="BM249" s="382">
        <f t="shared" si="600"/>
        <v>0.60</v>
      </c>
      <c r="BN249" s="382">
        <f t="shared" si="600"/>
        <v>0.60</v>
      </c>
      <c r="BO249" s="1366">
        <f t="shared" si="600"/>
        <v>0.60</v>
      </c>
      <c r="BP249" s="1366">
        <f t="shared" si="600"/>
        <v>0.60</v>
      </c>
      <c r="BQ249" s="1366">
        <f t="shared" si="600"/>
        <v>0.60</v>
      </c>
      <c r="BR249" s="1366">
        <f t="shared" si="600"/>
        <v>0.60</v>
      </c>
      <c r="BS249" s="648"/>
    </row>
    <row r="250" spans="1:71" s="679" customFormat="1" ht="15" hidden="1" outlineLevel="1">
      <c r="A250" s="552" t="s">
        <v>336</v>
      </c>
      <c r="B250" s="397"/>
      <c r="C250" s="1386">
        <f t="shared" si="601" ref="C250:AU250">C269/C$236</f>
        <v>0.70955200959123088</v>
      </c>
      <c r="D250" s="1339">
        <f t="shared" si="601"/>
        <v>0.72213245033112561</v>
      </c>
      <c r="E250" s="1339">
        <f t="shared" si="601"/>
        <v>0.71563061974930886</v>
      </c>
      <c r="F250" s="1339">
        <f t="shared" si="601"/>
        <v>0.72711324759645402</v>
      </c>
      <c r="G250" s="1339">
        <f t="shared" si="601"/>
        <v>0.71636048972718858</v>
      </c>
      <c r="H250" s="381">
        <f t="shared" si="601"/>
        <v>0.71185516661745007</v>
      </c>
      <c r="I250" s="381">
        <f t="shared" si="601"/>
        <v>0.69719729699789512</v>
      </c>
      <c r="J250" s="381">
        <f t="shared" si="601"/>
        <v>0.7229356181581903</v>
      </c>
      <c r="K250" s="381">
        <f t="shared" si="601"/>
        <v>0.72336422126006572</v>
      </c>
      <c r="L250" s="1339">
        <f t="shared" si="601"/>
        <v>0.71408538739571159</v>
      </c>
      <c r="M250" s="381">
        <f t="shared" si="601"/>
        <v>0.74086535370636275</v>
      </c>
      <c r="N250" s="381">
        <f t="shared" si="601"/>
        <v>0.71087713679490772</v>
      </c>
      <c r="O250" s="381">
        <f t="shared" si="601"/>
        <v>0.7314518991835286</v>
      </c>
      <c r="P250" s="381">
        <f t="shared" si="601"/>
        <v>0.71330133168163534</v>
      </c>
      <c r="Q250" s="1339">
        <f t="shared" si="601"/>
        <v>0.72378147755426137</v>
      </c>
      <c r="R250" s="381">
        <f t="shared" si="601"/>
        <v>0.70534471734306226</v>
      </c>
      <c r="S250" s="381">
        <f t="shared" si="601"/>
        <v>0.72949404868927326</v>
      </c>
      <c r="T250" s="381">
        <f t="shared" si="601"/>
        <v>0.74990390327427758</v>
      </c>
      <c r="U250" s="381">
        <f t="shared" si="601"/>
        <v>0.7349865449466908</v>
      </c>
      <c r="V250" s="1339">
        <f t="shared" si="601"/>
        <v>0.7304129215982913</v>
      </c>
      <c r="W250" s="381">
        <f t="shared" si="601"/>
        <v>0.67333698375562079</v>
      </c>
      <c r="X250" s="381">
        <f t="shared" si="601"/>
        <v>0.69952322873932793</v>
      </c>
      <c r="Y250" s="381">
        <f t="shared" si="601"/>
        <v>0.71156784841075793</v>
      </c>
      <c r="Z250" s="381">
        <f t="shared" si="601"/>
        <v>0.70418790809097431</v>
      </c>
      <c r="AA250" s="1339">
        <f t="shared" si="601"/>
        <v>0.69769412240234119</v>
      </c>
      <c r="AB250" s="381">
        <f t="shared" si="601"/>
        <v>0.66432952327850558</v>
      </c>
      <c r="AC250" s="381">
        <f t="shared" si="601"/>
        <v>0.67366587199706596</v>
      </c>
      <c r="AD250" s="381">
        <f t="shared" si="601"/>
        <v>0.68474875480738928</v>
      </c>
      <c r="AE250" s="381">
        <f t="shared" si="601"/>
        <v>0.69404241817782431</v>
      </c>
      <c r="AF250" s="1339">
        <f t="shared" si="601"/>
        <v>0.67973995661633246</v>
      </c>
      <c r="AG250" s="381">
        <f t="shared" si="601"/>
        <v>0.65539374453296773</v>
      </c>
      <c r="AH250" s="381">
        <f t="shared" si="601"/>
        <v>0.66393191836549692</v>
      </c>
      <c r="AI250" s="381">
        <f t="shared" si="601"/>
        <v>0.69486917733738718</v>
      </c>
      <c r="AJ250" s="381">
        <f t="shared" si="601"/>
        <v>0.70948998049657908</v>
      </c>
      <c r="AK250" s="1339">
        <f t="shared" si="601"/>
        <v>0.68209624119980994</v>
      </c>
      <c r="AL250" s="381">
        <f t="shared" si="601"/>
        <v>0.6288716638213494</v>
      </c>
      <c r="AM250" s="381">
        <f t="shared" si="601"/>
        <v>0.51236448811226487</v>
      </c>
      <c r="AN250" s="381">
        <f t="shared" si="601"/>
        <v>0.66814057251717063</v>
      </c>
      <c r="AO250" s="381">
        <f t="shared" si="601"/>
        <v>0.63773411174672856</v>
      </c>
      <c r="AP250" s="1339">
        <f t="shared" si="601"/>
        <v>0.61251961203822569</v>
      </c>
      <c r="AQ250" s="381">
        <f t="shared" si="601"/>
        <v>0.65014107214832739</v>
      </c>
      <c r="AR250" s="381">
        <f t="shared" si="601"/>
        <v>0.72729756062027084</v>
      </c>
      <c r="AS250" s="381">
        <f t="shared" si="601"/>
        <v>0.77800753202872053</v>
      </c>
      <c r="AT250" s="381">
        <f t="shared" si="601"/>
        <v>0.75131449652628146</v>
      </c>
      <c r="AU250" s="1339">
        <f t="shared" si="601"/>
        <v>0.72844595401713363</v>
      </c>
      <c r="AV250" s="381">
        <f t="shared" si="602" ref="AV250:BA250">AV269/AV$236</f>
        <v>0.72194121783629428</v>
      </c>
      <c r="AW250" s="381">
        <f t="shared" si="602"/>
        <v>0.75189950526428451</v>
      </c>
      <c r="AX250" s="381">
        <f t="shared" si="602"/>
        <v>0.7410415440079362</v>
      </c>
      <c r="AY250" s="381">
        <f t="shared" si="602"/>
        <v>0.75434976534926079</v>
      </c>
      <c r="AZ250" s="1339">
        <f t="shared" si="602"/>
        <v>0.74262609359641918</v>
      </c>
      <c r="BA250" s="381">
        <f t="shared" si="602"/>
        <v>0.76721519829159623</v>
      </c>
      <c r="BB250" s="381">
        <f t="shared" si="603" ref="BB250:BG250">BB269/BB$236</f>
        <v>0.78485108265811221</v>
      </c>
      <c r="BC250" s="381">
        <f t="shared" si="603"/>
        <v>0.74190126424202552</v>
      </c>
      <c r="BD250" s="381">
        <f t="shared" si="603"/>
        <v>0.73097650355680066</v>
      </c>
      <c r="BE250" s="1339">
        <f t="shared" si="603"/>
        <v>0.75539339019916674</v>
      </c>
      <c r="BF250" s="381">
        <f t="shared" si="603"/>
        <v>0.66187780984110078</v>
      </c>
      <c r="BG250" s="381">
        <f t="shared" si="603"/>
        <v>0.6613324036142828</v>
      </c>
      <c r="BH250" s="813">
        <f>BH269/BH$236</f>
        <v>0.64989861559734774</v>
      </c>
      <c r="BI250" s="381">
        <f t="shared" si="604" ref="BI250:BR250">BI269/BI236</f>
        <v>0.74579767709993194</v>
      </c>
      <c r="BJ250" s="1339">
        <f t="shared" si="604"/>
        <v>0.67986559463900054</v>
      </c>
      <c r="BK250" s="381">
        <f t="shared" si="604"/>
        <v>0.72475404964598156</v>
      </c>
      <c r="BL250" s="381">
        <f t="shared" si="604"/>
        <v>0.72088049539182708</v>
      </c>
      <c r="BM250" s="381">
        <f t="shared" si="604"/>
        <v>0.70910293623838028</v>
      </c>
      <c r="BN250" s="381">
        <f t="shared" si="604"/>
        <v>0.72496568425599917</v>
      </c>
      <c r="BO250" s="1339">
        <f t="shared" si="604"/>
        <v>0.71985965285384212</v>
      </c>
      <c r="BP250" s="1339">
        <f t="shared" si="604"/>
        <v>0.72505115051992275</v>
      </c>
      <c r="BQ250" s="1339">
        <f t="shared" si="604"/>
        <v>0.72505115051992275</v>
      </c>
      <c r="BR250" s="1339">
        <f t="shared" si="604"/>
        <v>0.72505115051992286</v>
      </c>
      <c r="BS250" s="648"/>
    </row>
    <row r="251" spans="1:71" s="676" customFormat="1" ht="15" hidden="1" outlineLevel="1">
      <c r="A251" s="547" t="s">
        <v>574</v>
      </c>
      <c r="B251" s="400"/>
      <c r="C251" s="1386"/>
      <c r="D251" s="1339"/>
      <c r="E251" s="1339"/>
      <c r="F251" s="1339"/>
      <c r="G251" s="1339"/>
      <c r="H251" s="381"/>
      <c r="I251" s="381"/>
      <c r="J251" s="381"/>
      <c r="K251" s="381"/>
      <c r="L251" s="1339"/>
      <c r="M251" s="381"/>
      <c r="N251" s="381"/>
      <c r="O251" s="381"/>
      <c r="P251" s="381"/>
      <c r="Q251" s="1339"/>
      <c r="R251" s="381"/>
      <c r="S251" s="381"/>
      <c r="T251" s="381"/>
      <c r="U251" s="381"/>
      <c r="V251" s="1339"/>
      <c r="W251" s="381"/>
      <c r="X251" s="381"/>
      <c r="Y251" s="381"/>
      <c r="Z251" s="381"/>
      <c r="AA251" s="1339"/>
      <c r="AB251" s="381"/>
      <c r="AC251" s="381"/>
      <c r="AD251" s="381"/>
      <c r="AE251" s="381"/>
      <c r="AF251" s="1339"/>
      <c r="AG251" s="197">
        <f t="shared" si="605" ref="AG251:AU251">AG270/AG232</f>
        <v>0.0063233965672990057</v>
      </c>
      <c r="AH251" s="197">
        <f t="shared" si="605"/>
        <v>0.016953750169537502</v>
      </c>
      <c r="AI251" s="197">
        <f t="shared" si="605"/>
        <v>0.016250632709060395</v>
      </c>
      <c r="AJ251" s="197">
        <f t="shared" si="605"/>
        <v>0.0038327188045798525</v>
      </c>
      <c r="AK251" s="1352">
        <f t="shared" si="605"/>
        <v>0.010705064548162859</v>
      </c>
      <c r="AL251" s="197">
        <f t="shared" si="605"/>
        <v>0.0047563641942949203</v>
      </c>
      <c r="AM251" s="197">
        <f t="shared" si="605"/>
        <v>0.02036627137716554</v>
      </c>
      <c r="AN251" s="197">
        <f t="shared" si="605"/>
        <v>0.019623649445340136</v>
      </c>
      <c r="AO251" s="197">
        <f t="shared" si="605"/>
        <v>0.0088564048234075696</v>
      </c>
      <c r="AP251" s="1352">
        <f t="shared" si="605"/>
        <v>0.013470222347570976</v>
      </c>
      <c r="AQ251" s="197">
        <f t="shared" si="605"/>
        <v>0.0076319769282172118</v>
      </c>
      <c r="AR251" s="197">
        <f t="shared" si="605"/>
        <v>0.023920851121501659</v>
      </c>
      <c r="AS251" s="197">
        <f t="shared" si="605"/>
        <v>0.047007736015449712</v>
      </c>
      <c r="AT251" s="197">
        <f t="shared" si="605"/>
        <v>-0.0050935102036296798</v>
      </c>
      <c r="AU251" s="1352">
        <f t="shared" si="605"/>
        <v>0.018431981183548041</v>
      </c>
      <c r="AV251" s="197">
        <f t="shared" si="606" ref="AV251:BA251">AV270/AV232</f>
        <v>0.0048810450920817377</v>
      </c>
      <c r="AW251" s="197">
        <f t="shared" si="606"/>
        <v>0.030757948319744623</v>
      </c>
      <c r="AX251" s="197">
        <f t="shared" si="606"/>
        <v>0.070540901116678753</v>
      </c>
      <c r="AY251" s="197">
        <f t="shared" si="606"/>
        <v>0.0044526455132576368</v>
      </c>
      <c r="AZ251" s="1352">
        <f t="shared" si="606"/>
        <v>0.027602810967207143</v>
      </c>
      <c r="BA251" s="197">
        <f t="shared" si="606"/>
        <v>0.0087070791105732879</v>
      </c>
      <c r="BB251" s="197">
        <f t="shared" si="607" ref="BB251:BG251">BB270/BB232</f>
        <v>0.051870845370963925</v>
      </c>
      <c r="BC251" s="197">
        <f t="shared" si="607"/>
        <v>0.029509672378946656</v>
      </c>
      <c r="BD251" s="197">
        <f t="shared" si="607"/>
        <v>0.0050593329057087794</v>
      </c>
      <c r="BE251" s="1352">
        <f t="shared" si="607"/>
        <v>0.023659855496145049</v>
      </c>
      <c r="BF251" s="197">
        <f t="shared" si="607"/>
        <v>0.015545650789706635</v>
      </c>
      <c r="BG251" s="197">
        <f t="shared" si="607"/>
        <v>0.049736039800418561</v>
      </c>
      <c r="BH251" s="815">
        <f>BH270/BH232</f>
        <v>0.043314424635332249</v>
      </c>
      <c r="BI251" s="381">
        <f t="shared" si="608" ref="BI251:BR251">BI121</f>
        <v>0.02</v>
      </c>
      <c r="BJ251" s="1339">
        <f t="shared" si="608"/>
        <v>0.032437183109992156</v>
      </c>
      <c r="BK251" s="381">
        <f t="shared" si="608"/>
        <v>0.02</v>
      </c>
      <c r="BL251" s="381">
        <f t="shared" si="608"/>
        <v>0.02</v>
      </c>
      <c r="BM251" s="381">
        <f t="shared" si="608"/>
        <v>0.02</v>
      </c>
      <c r="BN251" s="381">
        <f t="shared" si="608"/>
        <v>0.02</v>
      </c>
      <c r="BO251" s="1339">
        <f t="shared" si="608"/>
        <v>0.02</v>
      </c>
      <c r="BP251" s="1339">
        <f t="shared" si="608"/>
        <v>0.02</v>
      </c>
      <c r="BQ251" s="1339">
        <f t="shared" si="608"/>
        <v>0.02</v>
      </c>
      <c r="BR251" s="1339">
        <f t="shared" si="608"/>
        <v>0.02</v>
      </c>
      <c r="BS251" s="648"/>
    </row>
    <row r="252" spans="1:71" s="676" customFormat="1" ht="15" hidden="1" outlineLevel="1">
      <c r="A252" s="555" t="s">
        <v>576</v>
      </c>
      <c r="B252" s="396"/>
      <c r="C252" s="1339"/>
      <c r="D252" s="1339"/>
      <c r="E252" s="1339"/>
      <c r="F252" s="1339"/>
      <c r="G252" s="1339"/>
      <c r="H252" s="381"/>
      <c r="I252" s="381"/>
      <c r="J252" s="381"/>
      <c r="K252" s="381"/>
      <c r="L252" s="1339"/>
      <c r="M252" s="381"/>
      <c r="N252" s="381"/>
      <c r="O252" s="381"/>
      <c r="P252" s="381"/>
      <c r="Q252" s="1339"/>
      <c r="R252" s="381"/>
      <c r="S252" s="381"/>
      <c r="T252" s="381"/>
      <c r="U252" s="381"/>
      <c r="V252" s="1339"/>
      <c r="W252" s="381"/>
      <c r="X252" s="381"/>
      <c r="Y252" s="381"/>
      <c r="Z252" s="381"/>
      <c r="AA252" s="1339"/>
      <c r="AB252" s="381"/>
      <c r="AC252" s="381"/>
      <c r="AD252" s="381"/>
      <c r="AE252" s="381"/>
      <c r="AF252" s="1339"/>
      <c r="AG252" s="381">
        <f t="shared" si="609" ref="AG252:AU252">AG152/AG148</f>
        <v>0.0014807502467917078</v>
      </c>
      <c r="AH252" s="381">
        <f t="shared" si="609"/>
        <v>0.0044838860345632883</v>
      </c>
      <c r="AI252" s="381">
        <f t="shared" si="609"/>
        <v>0.0030716415213659768</v>
      </c>
      <c r="AJ252" s="381">
        <f t="shared" si="609"/>
        <v>0.0031522793404461682</v>
      </c>
      <c r="AK252" s="1339">
        <f t="shared" si="609"/>
        <v>0.0030716415213659768</v>
      </c>
      <c r="AL252" s="381">
        <f t="shared" si="609"/>
        <v>0.0010933557611438184</v>
      </c>
      <c r="AM252" s="381">
        <f t="shared" si="609"/>
        <v>0.0055801594331266607</v>
      </c>
      <c r="AN252" s="381">
        <f t="shared" si="609"/>
        <v>0.002798814619690484</v>
      </c>
      <c r="AO252" s="381">
        <f t="shared" si="609"/>
        <v>0.0028294862248696953</v>
      </c>
      <c r="AP252" s="1339">
        <f t="shared" si="609"/>
        <v>0.0030353993190860985</v>
      </c>
      <c r="AQ252" s="381">
        <f t="shared" si="609"/>
        <v>0.0012695725772323319</v>
      </c>
      <c r="AR252" s="381">
        <f t="shared" si="609"/>
        <v>0.0040695523492415833</v>
      </c>
      <c r="AS252" s="381">
        <f t="shared" si="609"/>
        <v>0.0062320230105465</v>
      </c>
      <c r="AT252" s="381">
        <f t="shared" si="609"/>
        <v>0.0032541169509910256</v>
      </c>
      <c r="AU252" s="1339">
        <f t="shared" si="609"/>
        <v>0.003844381731267638</v>
      </c>
      <c r="AV252" s="381">
        <f t="shared" si="610" ref="AV252:BA252">AV152/AV148</f>
        <v>0.0013162843174125611</v>
      </c>
      <c r="AW252" s="381">
        <f t="shared" si="610"/>
        <v>0.0041659434126019778</v>
      </c>
      <c r="AX252" s="381">
        <f t="shared" si="610"/>
        <v>0.0072047974459640189</v>
      </c>
      <c r="AY252" s="381">
        <f t="shared" si="610"/>
        <v>0.0022661193774585267</v>
      </c>
      <c r="AZ252" s="1339">
        <f t="shared" si="610"/>
        <v>0.0037850863197737752</v>
      </c>
      <c r="BA252" s="381">
        <f t="shared" si="610"/>
        <v>0.0014855057085862231</v>
      </c>
      <c r="BB252" s="381">
        <f t="shared" si="611" ref="BB252:BG252">BB152/BB148</f>
        <v>0.0077013976610570065</v>
      </c>
      <c r="BC252" s="381">
        <f t="shared" si="611"/>
        <v>0.0050269444221024695</v>
      </c>
      <c r="BD252" s="381">
        <f t="shared" si="611"/>
        <v>0.0024213075060532689</v>
      </c>
      <c r="BE252" s="1339">
        <f t="shared" si="611"/>
        <v>0.0041621627082344143</v>
      </c>
      <c r="BF252" s="381">
        <f t="shared" si="611"/>
        <v>0.0034800969734886996</v>
      </c>
      <c r="BG252" s="381">
        <f t="shared" si="611"/>
        <v>0.0097203978232313758</v>
      </c>
      <c r="BH252" s="813">
        <f>BH152/BH148</f>
        <v>0.012395936479994129</v>
      </c>
      <c r="BI252" s="909">
        <f>BI156</f>
        <v>0.005</v>
      </c>
      <c r="BJ252" s="1340">
        <f>BJ152/BJ148</f>
        <v>0.0078620891541154436</v>
      </c>
      <c r="BK252" s="909">
        <f>BK156</f>
        <v>0.005</v>
      </c>
      <c r="BL252" s="909">
        <f>BL156</f>
        <v>0.005</v>
      </c>
      <c r="BM252" s="909">
        <f>BM156</f>
        <v>0.005</v>
      </c>
      <c r="BN252" s="909">
        <f>BN156</f>
        <v>0.005</v>
      </c>
      <c r="BO252" s="1340">
        <f>BO152/BO148</f>
        <v>0.005</v>
      </c>
      <c r="BP252" s="1339">
        <f>BP156</f>
        <v>0.005</v>
      </c>
      <c r="BQ252" s="1339">
        <f>BQ156</f>
        <v>0.005</v>
      </c>
      <c r="BR252" s="1340">
        <f>BR156</f>
        <v>0.005</v>
      </c>
      <c r="BS252" s="648"/>
    </row>
    <row r="253" spans="1:71" s="676" customFormat="1" ht="15" hidden="1" outlineLevel="1">
      <c r="A253" s="514" t="s">
        <v>578</v>
      </c>
      <c r="B253" s="413"/>
      <c r="C253" s="1366"/>
      <c r="D253" s="1366"/>
      <c r="E253" s="1366"/>
      <c r="F253" s="1366"/>
      <c r="G253" s="1366"/>
      <c r="H253" s="382"/>
      <c r="I253" s="382"/>
      <c r="J253" s="382"/>
      <c r="K253" s="382"/>
      <c r="L253" s="1366"/>
      <c r="M253" s="382"/>
      <c r="N253" s="382">
        <f t="shared" si="612" ref="N253:AU253">N272/N234</f>
        <v>0.27327629592350278</v>
      </c>
      <c r="O253" s="382">
        <f t="shared" si="612"/>
        <v>0.12426900584795322</v>
      </c>
      <c r="P253" s="382">
        <f t="shared" si="612"/>
        <v>0.10769980506822614</v>
      </c>
      <c r="Q253" s="1366">
        <f t="shared" si="612"/>
        <v>0.16729601050730586</v>
      </c>
      <c r="R253" s="382">
        <f t="shared" si="612"/>
        <v>0.22649999999999998</v>
      </c>
      <c r="S253" s="382">
        <f t="shared" si="612"/>
        <v>0.32382310984308127</v>
      </c>
      <c r="T253" s="382">
        <f t="shared" si="612"/>
        <v>0.14844093104962669</v>
      </c>
      <c r="U253" s="382">
        <f t="shared" si="612"/>
        <v>0.10375275938189846</v>
      </c>
      <c r="V253" s="1366">
        <f t="shared" si="612"/>
        <v>0.19745517640254481</v>
      </c>
      <c r="W253" s="382">
        <f t="shared" si="612"/>
        <v>0.21946902654867256</v>
      </c>
      <c r="X253" s="382">
        <f t="shared" si="612"/>
        <v>0.30782099539941443</v>
      </c>
      <c r="Y253" s="382">
        <f t="shared" si="612"/>
        <v>0.3797021943573668</v>
      </c>
      <c r="Z253" s="382">
        <f t="shared" si="612"/>
        <v>0.29497206703910622</v>
      </c>
      <c r="AA253" s="1366">
        <f t="shared" si="612"/>
        <v>0.3026901294498382</v>
      </c>
      <c r="AB253" s="382">
        <f t="shared" si="612"/>
        <v>0.083420960392569229</v>
      </c>
      <c r="AC253" s="382">
        <f t="shared" si="612"/>
        <v>0.26120358514724712</v>
      </c>
      <c r="AD253" s="382">
        <f t="shared" si="612"/>
        <v>0.094783904619970202</v>
      </c>
      <c r="AE253" s="382">
        <f t="shared" si="612"/>
        <v>0.37122708039492247</v>
      </c>
      <c r="AF253" s="1366">
        <f t="shared" si="612"/>
        <v>0.20874427273433252</v>
      </c>
      <c r="AG253" s="382">
        <f t="shared" si="612"/>
        <v>0.0707182320441989</v>
      </c>
      <c r="AH253" s="382">
        <f t="shared" si="612"/>
        <v>0.21484784889821618</v>
      </c>
      <c r="AI253" s="382">
        <f t="shared" si="612"/>
        <v>0.083940688615229964</v>
      </c>
      <c r="AJ253" s="382">
        <f t="shared" si="612"/>
        <v>0.17790669567319309</v>
      </c>
      <c r="AK253" s="1366">
        <f t="shared" si="612"/>
        <v>0.13795986622073578</v>
      </c>
      <c r="AL253" s="382">
        <f t="shared" si="612"/>
        <v>0.099619591060389909</v>
      </c>
      <c r="AM253" s="382">
        <f t="shared" si="612"/>
        <v>0.54263924196903179</v>
      </c>
      <c r="AN253" s="382">
        <f t="shared" si="612"/>
        <v>0.2573217080259334</v>
      </c>
      <c r="AO253" s="382">
        <f t="shared" si="612"/>
        <v>0.068802408084283048</v>
      </c>
      <c r="AP253" s="1366">
        <f t="shared" si="612"/>
        <v>0.2400181231239735</v>
      </c>
      <c r="AQ253" s="382">
        <f t="shared" si="612"/>
        <v>0.30603174603174604</v>
      </c>
      <c r="AR253" s="382">
        <f t="shared" si="612"/>
        <v>0.25482779215608203</v>
      </c>
      <c r="AS253" s="382">
        <f t="shared" si="612"/>
        <v>0.54909781576448247</v>
      </c>
      <c r="AT253" s="382">
        <f t="shared" si="612"/>
        <v>0.13248337028824819</v>
      </c>
      <c r="AU253" s="1366">
        <f t="shared" si="612"/>
        <v>0.31011015911872702</v>
      </c>
      <c r="AV253" s="382">
        <f t="shared" si="613" ref="AV253:BA253">AV272/AV234</f>
        <v>0.17792510302813114</v>
      </c>
      <c r="AW253" s="382">
        <f t="shared" si="613"/>
        <v>0.40929009640666092</v>
      </c>
      <c r="AX253" s="382">
        <f t="shared" si="613"/>
        <v>0.34759358288770054</v>
      </c>
      <c r="AY253" s="382">
        <f t="shared" si="613"/>
        <v>0.090627153687112355</v>
      </c>
      <c r="AZ253" s="1366">
        <f t="shared" si="613"/>
        <v>0.25568281938325993</v>
      </c>
      <c r="BA253" s="382">
        <f t="shared" si="613"/>
        <v>0.2426925004175714</v>
      </c>
      <c r="BB253" s="382">
        <f t="shared" si="614" ref="BB253:BG253">BB272/BB234</f>
        <v>0.66688092559858592</v>
      </c>
      <c r="BC253" s="382">
        <f t="shared" si="614"/>
        <v>0.17537195314973095</v>
      </c>
      <c r="BD253" s="382">
        <f t="shared" si="614"/>
        <v>-0.017034068136272347</v>
      </c>
      <c r="BE253" s="1366">
        <f t="shared" si="614"/>
        <v>0.25836795484831859</v>
      </c>
      <c r="BF253" s="382">
        <f t="shared" si="614"/>
        <v>0.19276094276094277</v>
      </c>
      <c r="BG253" s="382">
        <f t="shared" si="614"/>
        <v>0.75635276532137508</v>
      </c>
      <c r="BH253" s="818">
        <f>BH272/BH234</f>
        <v>0.074822788133368345</v>
      </c>
      <c r="BI253" s="382">
        <f t="shared" si="615" ref="BI253:BR253">BI191</f>
        <v>0.10000000000000001</v>
      </c>
      <c r="BJ253" s="1366">
        <f t="shared" si="615"/>
        <v>0.27849851504899686</v>
      </c>
      <c r="BK253" s="382">
        <f t="shared" si="615"/>
        <v>0.10000000000000001</v>
      </c>
      <c r="BL253" s="382">
        <f t="shared" si="615"/>
        <v>0.45</v>
      </c>
      <c r="BM253" s="382">
        <f t="shared" si="615"/>
        <v>0.20</v>
      </c>
      <c r="BN253" s="382">
        <f t="shared" si="615"/>
        <v>0.10000000000000001</v>
      </c>
      <c r="BO253" s="1366">
        <f t="shared" si="615"/>
        <v>0.21634562462902091</v>
      </c>
      <c r="BP253" s="1366">
        <f t="shared" si="615"/>
        <v>0.10000000000000001</v>
      </c>
      <c r="BQ253" s="1366">
        <f t="shared" si="615"/>
        <v>0.10000000000000001</v>
      </c>
      <c r="BR253" s="1366">
        <f t="shared" si="615"/>
        <v>0.10000000000000001</v>
      </c>
      <c r="BS253" s="648"/>
    </row>
    <row r="254" spans="1:71" s="679" customFormat="1" ht="15" hidden="1" outlineLevel="1">
      <c r="A254" s="552" t="s">
        <v>337</v>
      </c>
      <c r="B254" s="397"/>
      <c r="C254" s="1387">
        <v>0.0070000000000000001</v>
      </c>
      <c r="D254" s="1343">
        <v>0.0080000000000000002</v>
      </c>
      <c r="E254" s="1339">
        <f t="shared" si="616" ref="E254:AU254">E273/E$236</f>
        <v>0.014218804519955983</v>
      </c>
      <c r="F254" s="1339">
        <f t="shared" si="616"/>
        <v>0.017424147833687106</v>
      </c>
      <c r="G254" s="1339">
        <f t="shared" si="616"/>
        <v>0.010237730509723212</v>
      </c>
      <c r="H254" s="381">
        <f t="shared" si="616"/>
        <v>0.0020898166867319356</v>
      </c>
      <c r="I254" s="381">
        <f t="shared" si="616"/>
        <v>0.028758169934640525</v>
      </c>
      <c r="J254" s="381">
        <f t="shared" si="616"/>
        <v>0.0071364066870773764</v>
      </c>
      <c r="K254" s="381">
        <f t="shared" si="616"/>
        <v>0.0042083114150447097</v>
      </c>
      <c r="L254" s="1339">
        <f t="shared" si="616"/>
        <v>0.010446503791069924</v>
      </c>
      <c r="M254" s="381">
        <f t="shared" si="616"/>
        <v>0.0020144439920279453</v>
      </c>
      <c r="N254" s="381">
        <f t="shared" si="616"/>
        <v>0.030945994635493811</v>
      </c>
      <c r="O254" s="381">
        <f t="shared" si="616"/>
        <v>0.0074350175521634525</v>
      </c>
      <c r="P254" s="381">
        <f t="shared" si="616"/>
        <v>0.010219882316506659</v>
      </c>
      <c r="Q254" s="1339">
        <f t="shared" si="616"/>
        <v>0.012789523144262807</v>
      </c>
      <c r="R254" s="381">
        <f t="shared" si="616"/>
        <v>0.019257531876480986</v>
      </c>
      <c r="S254" s="381">
        <f t="shared" si="616"/>
        <v>0.038926246898486103</v>
      </c>
      <c r="T254" s="381">
        <f t="shared" si="616"/>
        <v>0.027728273403920745</v>
      </c>
      <c r="U254" s="381">
        <f t="shared" si="616"/>
        <v>0.012637531082876312</v>
      </c>
      <c r="V254" s="1339">
        <f t="shared" si="616"/>
        <v>0.024552816588057309</v>
      </c>
      <c r="W254" s="381">
        <f t="shared" si="616"/>
        <v>0.015630444521877646</v>
      </c>
      <c r="X254" s="381">
        <f t="shared" si="616"/>
        <v>0.037318042861894725</v>
      </c>
      <c r="Y254" s="381">
        <f t="shared" si="616"/>
        <v>0.065877139364303186</v>
      </c>
      <c r="Z254" s="381">
        <f t="shared" si="616"/>
        <v>0.010166669101213851</v>
      </c>
      <c r="AA254" s="1339">
        <f t="shared" si="616"/>
        <v>0.032277622532539962</v>
      </c>
      <c r="AB254" s="381">
        <f t="shared" si="616"/>
        <v>0.0068720379146919421</v>
      </c>
      <c r="AC254" s="381">
        <f t="shared" si="616"/>
        <v>0.027049330643682378</v>
      </c>
      <c r="AD254" s="381">
        <f t="shared" si="616"/>
        <v>0.016039341781728771</v>
      </c>
      <c r="AE254" s="381">
        <f t="shared" si="616"/>
        <v>0.027200839577282598</v>
      </c>
      <c r="AF254" s="1339">
        <f t="shared" si="616"/>
        <v>0.019587305589768952</v>
      </c>
      <c r="AG254" s="381">
        <f t="shared" si="616"/>
        <v>0.0084990188893354461</v>
      </c>
      <c r="AH254" s="381">
        <f t="shared" si="616"/>
        <v>0.023989484061781134</v>
      </c>
      <c r="AI254" s="381">
        <f t="shared" si="616"/>
        <v>0.017620558798073727</v>
      </c>
      <c r="AJ254" s="381">
        <f t="shared" si="616"/>
        <v>0.01102499065250563</v>
      </c>
      <c r="AK254" s="1339">
        <f t="shared" si="616"/>
        <v>0.015238005769167007</v>
      </c>
      <c r="AL254" s="381">
        <f t="shared" si="616"/>
        <v>0.0085253480653610016</v>
      </c>
      <c r="AM254" s="381">
        <f t="shared" si="616"/>
        <v>0.042057915137947474</v>
      </c>
      <c r="AN254" s="381">
        <f t="shared" si="616"/>
        <v>0.028234822279039461</v>
      </c>
      <c r="AO254" s="381">
        <f t="shared" si="616"/>
        <v>0.010794608572995839</v>
      </c>
      <c r="AP254" s="1339">
        <f t="shared" si="616"/>
        <v>0.022362817613138537</v>
      </c>
      <c r="AQ254" s="381">
        <f t="shared" si="616"/>
        <v>0.020297115218517882</v>
      </c>
      <c r="AR254" s="381">
        <f t="shared" si="616"/>
        <v>0.031541662493284647</v>
      </c>
      <c r="AS254" s="381">
        <f t="shared" si="616"/>
        <v>0.063520695480782791</v>
      </c>
      <c r="AT254" s="381">
        <f t="shared" si="616"/>
        <v>0.0027841467409105733</v>
      </c>
      <c r="AU254" s="1339">
        <f t="shared" si="616"/>
        <v>0.029572649187377589</v>
      </c>
      <c r="AV254" s="381">
        <f t="shared" si="617" ref="AV254:AW256">AV273/AV$236</f>
        <v>0.012420676274474914</v>
      </c>
      <c r="AW254" s="381">
        <f t="shared" si="617"/>
        <v>0.043488998098436767</v>
      </c>
      <c r="AX254" s="381">
        <f t="shared" si="618" ref="AX254:AZ256">AX273/AX$236</f>
        <v>0.071232125430481741</v>
      </c>
      <c r="AY254" s="381">
        <f t="shared" si="618"/>
        <v>0.0079354613505022587</v>
      </c>
      <c r="AZ254" s="1339">
        <f t="shared" si="618"/>
        <v>0.033719730632072335</v>
      </c>
      <c r="BA254" s="381">
        <f t="shared" si="619" ref="BA254:BB256">BA273/BA$236</f>
        <v>0.017800799521174009</v>
      </c>
      <c r="BB254" s="381">
        <f t="shared" si="619"/>
        <v>0.070835983518154913</v>
      </c>
      <c r="BC254" s="381">
        <f t="shared" si="620" ref="BC254:BE256">BC273/BC$236</f>
        <v>0.031609407625736025</v>
      </c>
      <c r="BD254" s="381">
        <f t="shared" si="620"/>
        <v>0.0036455625578534954</v>
      </c>
      <c r="BE254" s="1339">
        <f t="shared" si="620"/>
        <v>0.030577317760004365</v>
      </c>
      <c r="BF254" s="381">
        <f t="shared" si="621" ref="BF254:BG256">BF273/BF$236</f>
        <v>0.021456968405929925</v>
      </c>
      <c r="BG254" s="381">
        <f t="shared" si="621"/>
        <v>0.073755774426915346</v>
      </c>
      <c r="BH254" s="813">
        <f>BH273/BH$236</f>
        <v>0.040018145348614774</v>
      </c>
      <c r="BI254" s="381">
        <f t="shared" si="622" ref="BI254:BR254">BI273/BI236</f>
        <v>0.021632533827245063</v>
      </c>
      <c r="BJ254" s="1339">
        <f t="shared" si="622"/>
        <v>0.039411797937398241</v>
      </c>
      <c r="BK254" s="381">
        <f t="shared" si="622"/>
        <v>0.020461772358958283</v>
      </c>
      <c r="BL254" s="381">
        <f t="shared" si="622"/>
        <v>0.036797668297546458</v>
      </c>
      <c r="BM254" s="381">
        <f t="shared" si="622"/>
        <v>0.025205337423381137</v>
      </c>
      <c r="BN254" s="381">
        <f t="shared" si="622"/>
        <v>0.021551830235428237</v>
      </c>
      <c r="BO254" s="1339">
        <f t="shared" si="622"/>
        <v>0.025867012455956746</v>
      </c>
      <c r="BP254" s="1339">
        <f t="shared" si="622"/>
        <v>0.021301570925837069</v>
      </c>
      <c r="BQ254" s="1339">
        <f t="shared" si="622"/>
        <v>0.021301570925837069</v>
      </c>
      <c r="BR254" s="1339">
        <f t="shared" si="622"/>
        <v>0.021301570925837069</v>
      </c>
      <c r="BS254" s="648"/>
    </row>
    <row r="255" spans="1:71" s="679" customFormat="1" ht="15" hidden="1" outlineLevel="1">
      <c r="A255" s="562" t="s">
        <v>330</v>
      </c>
      <c r="B255" s="549"/>
      <c r="C255" s="1388">
        <f>C274/C$236</f>
        <v>0.71655200959123078</v>
      </c>
      <c r="D255" s="1362">
        <f>D274/D$236</f>
        <v>0.73013245033112573</v>
      </c>
      <c r="E255" s="1362">
        <f t="shared" si="623" ref="E255:AU255">E274/E$236</f>
        <v>0.7298494242692648</v>
      </c>
      <c r="F255" s="1362">
        <f t="shared" si="623"/>
        <v>0.74453739543014119</v>
      </c>
      <c r="G255" s="1362">
        <f t="shared" si="623"/>
        <v>0.7265982202369119</v>
      </c>
      <c r="H255" s="523">
        <f t="shared" si="623"/>
        <v>0.71394498330418199</v>
      </c>
      <c r="I255" s="523">
        <f t="shared" si="623"/>
        <v>0.72595546693253565</v>
      </c>
      <c r="J255" s="523">
        <f t="shared" si="623"/>
        <v>0.73007202484526779</v>
      </c>
      <c r="K255" s="523">
        <f t="shared" si="623"/>
        <v>0.72757253267511046</v>
      </c>
      <c r="L255" s="1362">
        <f t="shared" si="623"/>
        <v>0.72453189118678163</v>
      </c>
      <c r="M255" s="523">
        <f t="shared" si="623"/>
        <v>0.74287979769839074</v>
      </c>
      <c r="N255" s="523">
        <f t="shared" si="623"/>
        <v>0.74182313143040146</v>
      </c>
      <c r="O255" s="523">
        <f t="shared" si="623"/>
        <v>0.73888691673569207</v>
      </c>
      <c r="P255" s="523">
        <f t="shared" si="623"/>
        <v>0.72352121399814207</v>
      </c>
      <c r="Q255" s="1362">
        <f t="shared" si="623"/>
        <v>0.7365710006985241</v>
      </c>
      <c r="R255" s="523">
        <f t="shared" si="623"/>
        <v>0.7246022492195433</v>
      </c>
      <c r="S255" s="523">
        <f t="shared" si="623"/>
        <v>0.76842029558775937</v>
      </c>
      <c r="T255" s="523">
        <f t="shared" si="623"/>
        <v>0.77763217667819828</v>
      </c>
      <c r="U255" s="523">
        <f t="shared" si="623"/>
        <v>0.74762407602956704</v>
      </c>
      <c r="V255" s="1362">
        <f t="shared" si="623"/>
        <v>0.7549657381863486</v>
      </c>
      <c r="W255" s="523">
        <f t="shared" si="623"/>
        <v>0.68896742827749846</v>
      </c>
      <c r="X255" s="523">
        <f t="shared" si="623"/>
        <v>0.7368412716012227</v>
      </c>
      <c r="Y255" s="523">
        <f t="shared" si="623"/>
        <v>0.77744498777506121</v>
      </c>
      <c r="Z255" s="523">
        <f t="shared" si="623"/>
        <v>0.71435457719218809</v>
      </c>
      <c r="AA255" s="1362">
        <f t="shared" si="623"/>
        <v>0.72997174493488115</v>
      </c>
      <c r="AB255" s="523">
        <f t="shared" si="623"/>
        <v>0.67120156119319752</v>
      </c>
      <c r="AC255" s="523">
        <f t="shared" si="623"/>
        <v>0.70071520264074827</v>
      </c>
      <c r="AD255" s="523">
        <f t="shared" si="623"/>
        <v>0.700788096589118</v>
      </c>
      <c r="AE255" s="523">
        <f t="shared" si="623"/>
        <v>0.72124325775510689</v>
      </c>
      <c r="AF255" s="1362">
        <f t="shared" si="623"/>
        <v>0.69932726220610142</v>
      </c>
      <c r="AG255" s="523">
        <f t="shared" si="623"/>
        <v>0.66389276342230319</v>
      </c>
      <c r="AH255" s="523">
        <f t="shared" si="623"/>
        <v>0.68792140242727806</v>
      </c>
      <c r="AI255" s="523">
        <f t="shared" si="623"/>
        <v>0.71248973613546096</v>
      </c>
      <c r="AJ255" s="523">
        <f t="shared" si="623"/>
        <v>0.72051497114908469</v>
      </c>
      <c r="AK255" s="1362">
        <f t="shared" si="623"/>
        <v>0.69733424696897695</v>
      </c>
      <c r="AL255" s="523">
        <f t="shared" si="623"/>
        <v>0.63739701188671027</v>
      </c>
      <c r="AM255" s="523">
        <f t="shared" si="623"/>
        <v>0.55442240325021241</v>
      </c>
      <c r="AN255" s="523">
        <f t="shared" si="623"/>
        <v>0.69637539479621013</v>
      </c>
      <c r="AO255" s="523">
        <f t="shared" si="623"/>
        <v>0.64852872031972431</v>
      </c>
      <c r="AP255" s="1362">
        <f t="shared" si="623"/>
        <v>0.63488242965136421</v>
      </c>
      <c r="AQ255" s="523">
        <f t="shared" si="623"/>
        <v>0.67043818736684524</v>
      </c>
      <c r="AR255" s="523">
        <f t="shared" si="623"/>
        <v>0.75883922311355545</v>
      </c>
      <c r="AS255" s="523">
        <f t="shared" si="623"/>
        <v>0.84152822750950329</v>
      </c>
      <c r="AT255" s="523">
        <f t="shared" si="623"/>
        <v>0.75409864326719189</v>
      </c>
      <c r="AU255" s="1362">
        <f t="shared" si="623"/>
        <v>0.7580186032045112</v>
      </c>
      <c r="AV255" s="523">
        <f t="shared" si="617"/>
        <v>0.73436189411076924</v>
      </c>
      <c r="AW255" s="523">
        <f t="shared" si="617"/>
        <v>0.79538850336272127</v>
      </c>
      <c r="AX255" s="523">
        <f t="shared" si="618"/>
        <v>0.81227366943841806</v>
      </c>
      <c r="AY255" s="523">
        <f t="shared" si="618"/>
        <v>0.76228522669976306</v>
      </c>
      <c r="AZ255" s="1362">
        <f t="shared" si="618"/>
        <v>0.77634582422849152</v>
      </c>
      <c r="BA255" s="523">
        <f t="shared" si="619"/>
        <v>0.78501599781277021</v>
      </c>
      <c r="BB255" s="523">
        <f t="shared" si="619"/>
        <v>0.85568706617626711</v>
      </c>
      <c r="BC255" s="523">
        <f t="shared" si="620"/>
        <v>0.77351067186776146</v>
      </c>
      <c r="BD255" s="523">
        <f t="shared" si="620"/>
        <v>0.73462206611465419</v>
      </c>
      <c r="BE255" s="1362">
        <f t="shared" si="620"/>
        <v>0.78597070795917112</v>
      </c>
      <c r="BF255" s="523">
        <f t="shared" si="621"/>
        <v>0.68333477824703071</v>
      </c>
      <c r="BG255" s="523">
        <f t="shared" si="621"/>
        <v>0.73508817804119808</v>
      </c>
      <c r="BH255" s="1239">
        <f>BH274/BH$236</f>
        <v>0.68991676094596255</v>
      </c>
      <c r="BI255" s="523">
        <f t="shared" si="624" ref="BI255:BR255">BI274/BI$501</f>
        <v>0.767430210927177</v>
      </c>
      <c r="BJ255" s="1362">
        <f t="shared" si="624"/>
        <v>0.71927739257639878</v>
      </c>
      <c r="BK255" s="523">
        <f t="shared" si="624"/>
        <v>0.74521582200493974</v>
      </c>
      <c r="BL255" s="523">
        <f t="shared" si="624"/>
        <v>0.75767816368937346</v>
      </c>
      <c r="BM255" s="523">
        <f t="shared" si="624"/>
        <v>0.73430827366176143</v>
      </c>
      <c r="BN255" s="523">
        <f t="shared" si="624"/>
        <v>0.74651751449142734</v>
      </c>
      <c r="BO255" s="1362">
        <f t="shared" si="624"/>
        <v>0.74572666530979892</v>
      </c>
      <c r="BP255" s="1362">
        <f t="shared" si="624"/>
        <v>0.74635272144575993</v>
      </c>
      <c r="BQ255" s="1362">
        <f t="shared" si="624"/>
        <v>0.74635272144575981</v>
      </c>
      <c r="BR255" s="1362">
        <f t="shared" si="624"/>
        <v>0.74635272144575993</v>
      </c>
      <c r="BS255" s="648"/>
    </row>
    <row r="256" spans="1:71" s="676" customFormat="1" ht="15" hidden="1" outlineLevel="1">
      <c r="A256" s="554" t="s">
        <v>331</v>
      </c>
      <c r="B256" s="398"/>
      <c r="C256" s="1389">
        <f>C275/C$236</f>
        <v>-0.0097054121945649684</v>
      </c>
      <c r="D256" s="1390">
        <f>D275/D$236</f>
        <v>-0.022382429373794949</v>
      </c>
      <c r="E256" s="1390">
        <f t="shared" si="625" ref="E256:AU256">E275/E$236</f>
        <v>-0.016238559196929438</v>
      </c>
      <c r="F256" s="1390">
        <f t="shared" si="625"/>
        <v>0.0013734548632788116</v>
      </c>
      <c r="G256" s="1390">
        <f t="shared" si="625"/>
        <v>0.0026369026041605762</v>
      </c>
      <c r="H256" s="49">
        <f t="shared" si="625"/>
        <v>0.01428798582559117</v>
      </c>
      <c r="I256" s="49">
        <f t="shared" si="625"/>
        <v>-0.001661681621801263</v>
      </c>
      <c r="J256" s="49">
        <f t="shared" si="625"/>
        <v>-0.0050219158168322278</v>
      </c>
      <c r="K256" s="49">
        <f t="shared" si="625"/>
        <v>-0.011471695059280539</v>
      </c>
      <c r="L256" s="1390">
        <f t="shared" si="625"/>
        <v>-0.001309889393157051</v>
      </c>
      <c r="M256" s="49">
        <f t="shared" si="625"/>
        <v>-0.020980219874418709</v>
      </c>
      <c r="N256" s="49">
        <f t="shared" si="625"/>
        <v>-0.017774930941991271</v>
      </c>
      <c r="O256" s="49">
        <f t="shared" si="625"/>
        <v>-0.018202974007020863</v>
      </c>
      <c r="P256" s="49">
        <f t="shared" si="625"/>
        <v>-0.006987457417157018</v>
      </c>
      <c r="Q256" s="1390">
        <f t="shared" si="625"/>
        <v>-0.015834887004939926</v>
      </c>
      <c r="R256" s="49">
        <f t="shared" si="625"/>
        <v>0.01135893481776808</v>
      </c>
      <c r="S256" s="49">
        <f t="shared" si="625"/>
        <v>-0.0055377755402927107</v>
      </c>
      <c r="T256" s="49">
        <f t="shared" si="625"/>
        <v>-0.009172869273508754</v>
      </c>
      <c r="U256" s="49">
        <f t="shared" si="625"/>
        <v>-0.011002486630105253</v>
      </c>
      <c r="V256" s="1390">
        <f t="shared" si="625"/>
        <v>-0.0038933879149239121</v>
      </c>
      <c r="W256" s="49">
        <f t="shared" si="625"/>
        <v>0.018451225380390596</v>
      </c>
      <c r="X256" s="49">
        <f t="shared" si="625"/>
        <v>-0.0058606434036082558</v>
      </c>
      <c r="Y256" s="49">
        <f t="shared" si="625"/>
        <v>-0.0056693154034229828</v>
      </c>
      <c r="Z256" s="49">
        <f t="shared" si="625"/>
        <v>-0.0016360157174367142</v>
      </c>
      <c r="AA256" s="1390">
        <f t="shared" si="625"/>
        <v>0.0010066109856625947</v>
      </c>
      <c r="AB256" s="49">
        <f t="shared" si="625"/>
        <v>0.0077502090883746853</v>
      </c>
      <c r="AC256" s="49">
        <f t="shared" si="625"/>
        <v>0.0033926279112415185</v>
      </c>
      <c r="AD256" s="49">
        <f t="shared" si="625"/>
        <v>-0.0043502931719311515</v>
      </c>
      <c r="AE256" s="49">
        <f t="shared" si="625"/>
        <v>0.005064310643594562</v>
      </c>
      <c r="AF256" s="1390">
        <f t="shared" si="625"/>
        <v>0.0028609944622785153</v>
      </c>
      <c r="AG256" s="49">
        <f t="shared" si="625"/>
        <v>0.016856190453675028</v>
      </c>
      <c r="AH256" s="49">
        <f t="shared" si="625"/>
        <v>0.0076376534046483169</v>
      </c>
      <c r="AI256" s="49">
        <f t="shared" si="625"/>
        <v>0.00057699562814850984</v>
      </c>
      <c r="AJ256" s="49">
        <f t="shared" si="625"/>
        <v>0.0017280232828400235</v>
      </c>
      <c r="AK256" s="1390">
        <f t="shared" si="625"/>
        <v>0.0064184745968766926</v>
      </c>
      <c r="AL256" s="49">
        <f t="shared" si="625"/>
        <v>0.015279883783812441</v>
      </c>
      <c r="AM256" s="49">
        <f t="shared" si="625"/>
        <v>-0.0029019754161225464</v>
      </c>
      <c r="AN256" s="49">
        <f t="shared" si="625"/>
        <v>-0.023281696495713645</v>
      </c>
      <c r="AO256" s="49">
        <f t="shared" si="625"/>
        <v>0.030503095368701508</v>
      </c>
      <c r="AP256" s="1390">
        <f t="shared" si="625"/>
        <v>0.0049743260590500646</v>
      </c>
      <c r="AQ256" s="49">
        <f t="shared" si="625"/>
        <v>0.011938350511506499</v>
      </c>
      <c r="AR256" s="49">
        <f t="shared" si="625"/>
        <v>0.0066106371160867938</v>
      </c>
      <c r="AS256" s="49">
        <f t="shared" si="625"/>
        <v>-0.027549978882162474</v>
      </c>
      <c r="AT256" s="49">
        <f t="shared" si="625"/>
        <v>0.0096022893788680688</v>
      </c>
      <c r="AU256" s="1390">
        <f t="shared" si="625"/>
        <v>-0.00010593053210934737</v>
      </c>
      <c r="AV256" s="49">
        <f t="shared" si="617"/>
        <v>0.016165518643723148</v>
      </c>
      <c r="AW256" s="49">
        <f t="shared" si="617"/>
        <v>-0.01985528362926926</v>
      </c>
      <c r="AX256" s="49">
        <f t="shared" si="618"/>
        <v>-0.0042423118179838529</v>
      </c>
      <c r="AY256" s="49">
        <f t="shared" si="618"/>
        <v>-0.00019392623046193225</v>
      </c>
      <c r="AZ256" s="1390">
        <f t="shared" si="618"/>
        <v>-0.0021425148046757595</v>
      </c>
      <c r="BA256" s="49">
        <f t="shared" si="619"/>
        <v>2.2167869889382328E-05</v>
      </c>
      <c r="BB256" s="49">
        <f t="shared" si="619"/>
        <v>-0.014304084510937199</v>
      </c>
      <c r="BC256" s="49">
        <f t="shared" si="620"/>
        <v>-0.0089295905144921219</v>
      </c>
      <c r="BD256" s="49">
        <f t="shared" si="620"/>
        <v>-0.007246744354133112</v>
      </c>
      <c r="BE256" s="1390">
        <f t="shared" si="620"/>
        <v>-0.0077372307566428693</v>
      </c>
      <c r="BF256" s="49">
        <f t="shared" si="621"/>
        <v>-0.0039198444447196661</v>
      </c>
      <c r="BG256" s="49">
        <f t="shared" si="621"/>
        <v>-0.0032075307243092472</v>
      </c>
      <c r="BH256" s="822">
        <f>BH275/BH$236</f>
        <v>-0.0061705116223144067</v>
      </c>
      <c r="BI256" s="1230">
        <v>0.005</v>
      </c>
      <c r="BJ256" s="1366">
        <f>BJ275/BJ$236</f>
        <v>-0.0020747721780940004</v>
      </c>
      <c r="BK256" s="1230">
        <v>0.005</v>
      </c>
      <c r="BL256" s="1230">
        <v>0.005</v>
      </c>
      <c r="BM256" s="1230">
        <v>0.005</v>
      </c>
      <c r="BN256" s="1230">
        <v>0.005</v>
      </c>
      <c r="BO256" s="1366">
        <f>BO275/BO$236</f>
        <v>0.005000000000000001</v>
      </c>
      <c r="BP256" s="1367">
        <v>0.005</v>
      </c>
      <c r="BQ256" s="1367">
        <v>0.005</v>
      </c>
      <c r="BR256" s="1367">
        <v>0.005</v>
      </c>
      <c r="BS256" s="648"/>
    </row>
    <row r="257" spans="1:71" s="680" customFormat="1" ht="15" hidden="1" outlineLevel="1">
      <c r="A257" s="553" t="s">
        <v>21</v>
      </c>
      <c r="B257" s="322"/>
      <c r="C257" s="1369">
        <f t="shared" si="626" ref="C257:AH257">C276/C236</f>
        <v>0.70684659739666578</v>
      </c>
      <c r="D257" s="1331">
        <f t="shared" si="626"/>
        <v>0.70775002095733075</v>
      </c>
      <c r="E257" s="1331">
        <f t="shared" si="626"/>
        <v>0.7136108650723354</v>
      </c>
      <c r="F257" s="1331">
        <f t="shared" si="626"/>
        <v>0.74591085029341997</v>
      </c>
      <c r="G257" s="1331">
        <f t="shared" si="626"/>
        <v>0.7292351228410725</v>
      </c>
      <c r="H257" s="289">
        <f t="shared" si="626"/>
        <v>0.7282329691297732</v>
      </c>
      <c r="I257" s="289">
        <f t="shared" si="626"/>
        <v>0.72429378531073441</v>
      </c>
      <c r="J257" s="289">
        <f t="shared" si="626"/>
        <v>0.72505010902843547</v>
      </c>
      <c r="K257" s="289">
        <f t="shared" si="626"/>
        <v>0.71610083761582999</v>
      </c>
      <c r="L257" s="1331">
        <f t="shared" si="626"/>
        <v>0.7232220017936245</v>
      </c>
      <c r="M257" s="289">
        <f t="shared" si="626"/>
        <v>0.72189957782397196</v>
      </c>
      <c r="N257" s="289">
        <f t="shared" si="626"/>
        <v>0.72404820048841023</v>
      </c>
      <c r="O257" s="289">
        <f t="shared" si="626"/>
        <v>0.7206839427286712</v>
      </c>
      <c r="P257" s="289">
        <f t="shared" si="626"/>
        <v>0.71653375658098506</v>
      </c>
      <c r="Q257" s="1331">
        <f t="shared" si="626"/>
        <v>0.72073611369358415</v>
      </c>
      <c r="R257" s="289">
        <f t="shared" si="626"/>
        <v>0.73596118403731137</v>
      </c>
      <c r="S257" s="289">
        <f t="shared" si="626"/>
        <v>0.76288252004746659</v>
      </c>
      <c r="T257" s="289">
        <f t="shared" si="626"/>
        <v>0.76845930740468948</v>
      </c>
      <c r="U257" s="289">
        <f t="shared" si="626"/>
        <v>0.73662158939946176</v>
      </c>
      <c r="V257" s="1331">
        <f t="shared" si="626"/>
        <v>0.75107235027142472</v>
      </c>
      <c r="W257" s="289">
        <f t="shared" si="626"/>
        <v>0.70741865365788903</v>
      </c>
      <c r="X257" s="289">
        <f t="shared" si="626"/>
        <v>0.73098062819761445</v>
      </c>
      <c r="Y257" s="289">
        <f t="shared" si="626"/>
        <v>0.77177567237163813</v>
      </c>
      <c r="Z257" s="289">
        <f t="shared" si="626"/>
        <v>0.71271856147475132</v>
      </c>
      <c r="AA257" s="1331">
        <f t="shared" si="626"/>
        <v>0.73097835592054372</v>
      </c>
      <c r="AB257" s="289">
        <f t="shared" si="626"/>
        <v>0.67895177028157228</v>
      </c>
      <c r="AC257" s="289">
        <f t="shared" si="626"/>
        <v>0.70410783055198978</v>
      </c>
      <c r="AD257" s="289">
        <f t="shared" si="626"/>
        <v>0.69643780341718686</v>
      </c>
      <c r="AE257" s="289">
        <f t="shared" si="626"/>
        <v>0.72630756839870148</v>
      </c>
      <c r="AF257" s="1331">
        <f t="shared" si="626"/>
        <v>0.70218825666837992</v>
      </c>
      <c r="AG257" s="289">
        <f t="shared" si="626"/>
        <v>0.68074895387597822</v>
      </c>
      <c r="AH257" s="289">
        <f t="shared" si="626"/>
        <v>0.69555905583192623</v>
      </c>
      <c r="AI257" s="289">
        <f t="shared" si="627" ref="AI257:AU257">AI276/AI236</f>
        <v>0.71306673176360946</v>
      </c>
      <c r="AJ257" s="289">
        <f t="shared" si="627"/>
        <v>0.72224299443192475</v>
      </c>
      <c r="AK257" s="1331">
        <f t="shared" si="627"/>
        <v>0.70375272156585356</v>
      </c>
      <c r="AL257" s="289">
        <f t="shared" si="627"/>
        <v>0.65267689567052278</v>
      </c>
      <c r="AM257" s="289">
        <f t="shared" si="627"/>
        <v>0.55152042783408983</v>
      </c>
      <c r="AN257" s="289">
        <f t="shared" si="627"/>
        <v>0.67309369830049648</v>
      </c>
      <c r="AO257" s="289">
        <f t="shared" si="627"/>
        <v>0.67903181568842585</v>
      </c>
      <c r="AP257" s="1331">
        <f t="shared" si="627"/>
        <v>0.63985675571041423</v>
      </c>
      <c r="AQ257" s="289">
        <f t="shared" si="627"/>
        <v>0.68237653787835173</v>
      </c>
      <c r="AR257" s="289">
        <f t="shared" si="627"/>
        <v>0.76544986022964223</v>
      </c>
      <c r="AS257" s="289">
        <f t="shared" si="627"/>
        <v>0.81397824862734081</v>
      </c>
      <c r="AT257" s="289">
        <f t="shared" si="627"/>
        <v>0.76370093264605998</v>
      </c>
      <c r="AU257" s="1331">
        <f t="shared" si="627"/>
        <v>0.75791267267240192</v>
      </c>
      <c r="AV257" s="289">
        <f t="shared" si="628" ref="AV257:AZ257">AV276/AV236</f>
        <v>0.75052741275449231</v>
      </c>
      <c r="AW257" s="289">
        <f t="shared" si="628"/>
        <v>0.77553321973345191</v>
      </c>
      <c r="AX257" s="289">
        <f t="shared" si="628"/>
        <v>0.8080313576204341</v>
      </c>
      <c r="AY257" s="289">
        <f t="shared" si="628"/>
        <v>0.76209130046930107</v>
      </c>
      <c r="AZ257" s="1331">
        <f t="shared" si="628"/>
        <v>0.77420330942381577</v>
      </c>
      <c r="BA257" s="289">
        <f t="shared" si="629" ref="BA257:BR257">BA276/BA236</f>
        <v>0.78503816568265949</v>
      </c>
      <c r="BB257" s="289">
        <f t="shared" si="629"/>
        <v>0.84138298166532999</v>
      </c>
      <c r="BC257" s="289">
        <f t="shared" si="629"/>
        <v>0.76458108135326941</v>
      </c>
      <c r="BD257" s="289">
        <f t="shared" si="629"/>
        <v>0.72737532176052111</v>
      </c>
      <c r="BE257" s="1331">
        <f t="shared" si="629"/>
        <v>0.77823347720252822</v>
      </c>
      <c r="BF257" s="289">
        <f>BF276/BF236</f>
        <v>0.67941493380231099</v>
      </c>
      <c r="BG257" s="289">
        <f>BG276/BG236</f>
        <v>0.73188064731688884</v>
      </c>
      <c r="BH257" s="819">
        <f>BH276/BH236</f>
        <v>0.68374624932364814</v>
      </c>
      <c r="BI257" s="931">
        <f t="shared" si="629"/>
        <v>0.77243021092717701</v>
      </c>
      <c r="BJ257" s="1353">
        <f t="shared" si="629"/>
        <v>0.71720262039830474</v>
      </c>
      <c r="BK257" s="931">
        <f t="shared" si="629"/>
        <v>0.75021582200493986</v>
      </c>
      <c r="BL257" s="931">
        <f t="shared" si="629"/>
        <v>0.76267816368937347</v>
      </c>
      <c r="BM257" s="931">
        <f t="shared" si="629"/>
        <v>0.73930827366176144</v>
      </c>
      <c r="BN257" s="931">
        <f t="shared" si="629"/>
        <v>0.75151751449142734</v>
      </c>
      <c r="BO257" s="1353">
        <f t="shared" si="629"/>
        <v>0.75072666530979892</v>
      </c>
      <c r="BP257" s="1331">
        <f t="shared" si="629"/>
        <v>0.75135272144575982</v>
      </c>
      <c r="BQ257" s="1331">
        <f t="shared" si="629"/>
        <v>0.75135272144575971</v>
      </c>
      <c r="BR257" s="1353">
        <f t="shared" si="629"/>
        <v>0.75135272144575993</v>
      </c>
      <c r="BS257" s="648"/>
    </row>
    <row r="258" spans="1:71" s="680" customFormat="1" ht="15" hidden="1" outlineLevel="1">
      <c r="A258" s="599"/>
      <c r="B258" s="322"/>
      <c r="C258" s="1369"/>
      <c r="D258" s="1331"/>
      <c r="E258" s="1331"/>
      <c r="F258" s="1331"/>
      <c r="G258" s="1331"/>
      <c r="H258" s="289"/>
      <c r="I258" s="289"/>
      <c r="J258" s="289"/>
      <c r="K258" s="289"/>
      <c r="L258" s="1331"/>
      <c r="M258" s="289"/>
      <c r="N258" s="289"/>
      <c r="O258" s="289"/>
      <c r="P258" s="289"/>
      <c r="Q258" s="1331"/>
      <c r="R258" s="289"/>
      <c r="S258" s="289"/>
      <c r="T258" s="289"/>
      <c r="U258" s="289"/>
      <c r="V258" s="1331"/>
      <c r="W258" s="289"/>
      <c r="X258" s="289"/>
      <c r="Y258" s="289"/>
      <c r="Z258" s="289"/>
      <c r="AA258" s="1331"/>
      <c r="AB258" s="289"/>
      <c r="AC258" s="289"/>
      <c r="AD258" s="289"/>
      <c r="AE258" s="289"/>
      <c r="AF258" s="1331"/>
      <c r="AG258" s="289"/>
      <c r="AH258" s="289"/>
      <c r="AI258" s="289"/>
      <c r="AJ258" s="289"/>
      <c r="AK258" s="1331"/>
      <c r="AL258" s="289"/>
      <c r="AM258" s="289"/>
      <c r="AN258" s="289"/>
      <c r="AO258" s="289"/>
      <c r="AP258" s="1331"/>
      <c r="AQ258" s="289"/>
      <c r="AR258" s="289"/>
      <c r="AS258" s="289"/>
      <c r="AT258" s="289"/>
      <c r="AU258" s="1331"/>
      <c r="AV258" s="289"/>
      <c r="AW258" s="289"/>
      <c r="AX258" s="289"/>
      <c r="AY258" s="289"/>
      <c r="AZ258" s="1331"/>
      <c r="BA258" s="289"/>
      <c r="BB258" s="289"/>
      <c r="BC258" s="289"/>
      <c r="BD258" s="289"/>
      <c r="BE258" s="1331"/>
      <c r="BF258" s="289"/>
      <c r="BG258" s="289"/>
      <c r="BH258" s="819"/>
      <c r="BI258" s="931"/>
      <c r="BJ258" s="1353"/>
      <c r="BK258" s="931"/>
      <c r="BL258" s="931"/>
      <c r="BM258" s="931"/>
      <c r="BN258" s="931"/>
      <c r="BO258" s="1353"/>
      <c r="BP258" s="1331"/>
      <c r="BQ258" s="1331"/>
      <c r="BR258" s="1353"/>
      <c r="BS258" s="648"/>
    </row>
    <row r="259" spans="1:71" s="676" customFormat="1" ht="15" hidden="1" outlineLevel="1">
      <c r="A259" s="513" t="s">
        <v>601</v>
      </c>
      <c r="B259" s="396"/>
      <c r="C259" s="1343">
        <v>0.71099999999999997</v>
      </c>
      <c r="D259" s="1343">
        <v>0.70599999999999996</v>
      </c>
      <c r="E259" s="1343">
        <v>0.71799999999999997</v>
      </c>
      <c r="F259" s="1343">
        <v>0.752</v>
      </c>
      <c r="G259" s="1343">
        <v>0.735</v>
      </c>
      <c r="H259" s="1219">
        <v>0.72299999999999998</v>
      </c>
      <c r="I259" s="1219">
        <v>0.73599999999999999</v>
      </c>
      <c r="J259" s="1219">
        <v>0.73599999999999999</v>
      </c>
      <c r="K259" s="381">
        <f>K278/K230</f>
        <v>0.71769205834683947</v>
      </c>
      <c r="L259" s="1343">
        <v>0.72799999999999998</v>
      </c>
      <c r="M259" s="1219">
        <v>0.71799999999999997</v>
      </c>
      <c r="N259" s="1219">
        <v>0.73099999999999998</v>
      </c>
      <c r="O259" s="1219">
        <v>0.72799999999999998</v>
      </c>
      <c r="P259" s="381">
        <f>P278/P230</f>
        <v>0.7268704789197169</v>
      </c>
      <c r="Q259" s="1343">
        <v>0.72599999999999998</v>
      </c>
      <c r="R259" s="1219">
        <v>0.73199999999999998</v>
      </c>
      <c r="S259" s="1219">
        <v>0.76800000000000002</v>
      </c>
      <c r="T259" s="1219">
        <v>0.76400000000000001</v>
      </c>
      <c r="U259" s="381">
        <f>U278/U230</f>
        <v>0.74739914382216666</v>
      </c>
      <c r="V259" s="1343">
        <v>0.753</v>
      </c>
      <c r="W259" s="1219">
        <v>0.70699999999999996</v>
      </c>
      <c r="X259" s="1219">
        <v>0.73</v>
      </c>
      <c r="Y259" s="1219">
        <v>0.78300000000000003</v>
      </c>
      <c r="Z259" s="381">
        <f>Z278/Z230</f>
        <v>0.69953023429035732</v>
      </c>
      <c r="AA259" s="1343">
        <v>0.73</v>
      </c>
      <c r="AB259" s="1219">
        <v>0.675</v>
      </c>
      <c r="AC259" s="1219">
        <v>0.69399999999999995</v>
      </c>
      <c r="AD259" s="1219">
        <v>0.695</v>
      </c>
      <c r="AE259" s="381">
        <f>AE278/AE230</f>
        <v>0.72537199002786346</v>
      </c>
      <c r="AF259" s="1343">
        <v>0.69799999999999995</v>
      </c>
      <c r="AG259" s="1219">
        <v>0.67800000000000005</v>
      </c>
      <c r="AH259" s="1219">
        <v>0.68899999999999995</v>
      </c>
      <c r="AI259" s="1219">
        <v>0.71</v>
      </c>
      <c r="AJ259" s="381">
        <f>AJ278/AJ230</f>
        <v>0.7124316241425257</v>
      </c>
      <c r="AK259" s="1343">
        <v>0.69799999999999995</v>
      </c>
      <c r="AL259" s="1219">
        <v>0.64700000000000002</v>
      </c>
      <c r="AM259" s="1219">
        <v>0.53200000000000003</v>
      </c>
      <c r="AN259" s="1219">
        <v>0.67</v>
      </c>
      <c r="AO259" s="381">
        <f>AO278/AO230</f>
        <v>0.68887272907281816</v>
      </c>
      <c r="AP259" s="1343">
        <v>0.635</v>
      </c>
      <c r="AQ259" s="1219">
        <v>0.67800000000000005</v>
      </c>
      <c r="AR259" s="1219">
        <v>0.765</v>
      </c>
      <c r="AS259" s="1219">
        <v>0.80900000000000005</v>
      </c>
      <c r="AT259" s="381">
        <f>AT278/AT230</f>
        <v>0.76891812974433038</v>
      </c>
      <c r="AU259" s="1343">
        <v>0.75600000000000001</v>
      </c>
      <c r="AV259" s="1219">
        <v>0.751</v>
      </c>
      <c r="AW259" s="1219">
        <v>0.77300000000000002</v>
      </c>
      <c r="AX259" s="1219">
        <v>0.82899999999999996</v>
      </c>
      <c r="AY259" s="381">
        <f>AY278/AY230</f>
        <v>0.77046884890526823</v>
      </c>
      <c r="AZ259" s="1343">
        <v>0.78100000000000003</v>
      </c>
      <c r="BA259" s="1219">
        <v>0.78</v>
      </c>
      <c r="BB259" s="1219">
        <v>0.835</v>
      </c>
      <c r="BC259" s="1219">
        <v>0.75800000000000001</v>
      </c>
      <c r="BD259" s="381">
        <f>BD278/BD230</f>
        <v>0.71365694094598409</v>
      </c>
      <c r="BE259" s="1343">
        <v>0.77</v>
      </c>
      <c r="BF259" s="1219">
        <v>0.65900000000000003</v>
      </c>
      <c r="BG259" s="1219">
        <v>0.69199999999999995</v>
      </c>
      <c r="BH259" s="1220">
        <v>0.67900000000000005</v>
      </c>
      <c r="BI259" s="909"/>
      <c r="BJ259" s="1340"/>
      <c r="BK259" s="909"/>
      <c r="BL259" s="909"/>
      <c r="BM259" s="909"/>
      <c r="BN259" s="909"/>
      <c r="BO259" s="1340"/>
      <c r="BP259" s="1339"/>
      <c r="BQ259" s="1339"/>
      <c r="BR259" s="1340"/>
      <c r="BS259" s="648"/>
    </row>
    <row r="260" spans="1:71" s="676" customFormat="1" ht="15" hidden="1" outlineLevel="1">
      <c r="A260" s="514" t="s">
        <v>611</v>
      </c>
      <c r="B260" s="413"/>
      <c r="C260" s="1367">
        <v>0.72299999999999998</v>
      </c>
      <c r="D260" s="1367">
        <v>0.72599999999999998</v>
      </c>
      <c r="E260" s="1367">
        <v>0.71399999999999997</v>
      </c>
      <c r="F260" s="1367">
        <v>0.74199999999999999</v>
      </c>
      <c r="G260" s="1367">
        <v>0.72299999999999998</v>
      </c>
      <c r="H260" s="1230">
        <v>0.74399999999999999</v>
      </c>
      <c r="I260" s="1230">
        <v>0.73699999999999999</v>
      </c>
      <c r="J260" s="1230">
        <v>0.74299999999999999</v>
      </c>
      <c r="K260" s="382">
        <f>K279/K231</f>
        <v>0.74383760851439484</v>
      </c>
      <c r="L260" s="1367">
        <v>0.74199999999999999</v>
      </c>
      <c r="M260" s="1230">
        <v>0.753</v>
      </c>
      <c r="N260" s="1230">
        <v>0.747</v>
      </c>
      <c r="O260" s="1230">
        <v>0.747</v>
      </c>
      <c r="P260" s="382">
        <f>P279/P231</f>
        <v>0.75302352996430555</v>
      </c>
      <c r="Q260" s="1367">
        <v>0.75</v>
      </c>
      <c r="R260" s="1230">
        <v>0.754</v>
      </c>
      <c r="S260" s="1230">
        <v>0.77300000000000002</v>
      </c>
      <c r="T260" s="1230">
        <v>0.78100000000000003</v>
      </c>
      <c r="U260" s="382">
        <f>U279/U231</f>
        <v>0.76323642746346643</v>
      </c>
      <c r="V260" s="1367">
        <v>0.76800000000000002</v>
      </c>
      <c r="W260" s="1230">
        <v>0.72599999999999998</v>
      </c>
      <c r="X260" s="1230">
        <v>0.75</v>
      </c>
      <c r="Y260" s="1230">
        <v>0.75700000000000001</v>
      </c>
      <c r="Z260" s="382">
        <f>Z279/Z231</f>
        <v>0.73060144699591056</v>
      </c>
      <c r="AA260" s="1367">
        <v>0.74099999999999999</v>
      </c>
      <c r="AB260" s="1230">
        <v>0.69599999999999995</v>
      </c>
      <c r="AC260" s="1230">
        <v>0.70899999999999996</v>
      </c>
      <c r="AD260" s="1230">
        <v>0.70399999999999996</v>
      </c>
      <c r="AE260" s="382">
        <f>AE279/AE231</f>
        <v>0.74404588378425307</v>
      </c>
      <c r="AF260" s="1367">
        <v>0.71399999999999997</v>
      </c>
      <c r="AG260" s="1230">
        <v>0.69899999999999995</v>
      </c>
      <c r="AH260" s="1230">
        <v>0.70099999999999996</v>
      </c>
      <c r="AI260" s="1230">
        <v>0.71299999999999997</v>
      </c>
      <c r="AJ260" s="382">
        <f>AJ279/AJ231</f>
        <v>0.73928092648251531</v>
      </c>
      <c r="AK260" s="1367">
        <v>0.71399999999999997</v>
      </c>
      <c r="AL260" s="1230">
        <v>0.65700000000000003</v>
      </c>
      <c r="AM260" s="1230">
        <v>0.503</v>
      </c>
      <c r="AN260" s="1230">
        <v>0.66400000000000003</v>
      </c>
      <c r="AO260" s="382">
        <f>AO279/AO231</f>
        <v>0.68920529755761939</v>
      </c>
      <c r="AP260" s="1367">
        <v>0.629</v>
      </c>
      <c r="AQ260" s="1230">
        <v>0.68400000000000005</v>
      </c>
      <c r="AR260" s="1230">
        <v>0.77</v>
      </c>
      <c r="AS260" s="1230">
        <v>0.82699999999999996</v>
      </c>
      <c r="AT260" s="382">
        <f>AT279/AT231</f>
        <v>0.80183139448960217</v>
      </c>
      <c r="AU260" s="1367">
        <v>0.77200000000000002</v>
      </c>
      <c r="AV260" s="1230">
        <v>0.77200000000000002</v>
      </c>
      <c r="AW260" s="1230">
        <v>0.77900000000000003</v>
      </c>
      <c r="AX260" s="1230">
        <v>0.81399999999999995</v>
      </c>
      <c r="AY260" s="382">
        <f>AY279/AY231</f>
        <v>0.77840184003284463</v>
      </c>
      <c r="AZ260" s="1367">
        <v>0.78600000000000003</v>
      </c>
      <c r="BA260" s="1230">
        <v>0.79700000000000004</v>
      </c>
      <c r="BB260" s="1230">
        <v>0.84899999999999998</v>
      </c>
      <c r="BC260" s="1230">
        <v>0.77</v>
      </c>
      <c r="BD260" s="382">
        <f>BD279/BD231</f>
        <v>0.72670983834675551</v>
      </c>
      <c r="BE260" s="1367">
        <v>0.78400000000000003</v>
      </c>
      <c r="BF260" s="1230">
        <v>0.67900000000000005</v>
      </c>
      <c r="BG260" s="1230">
        <v>0.71</v>
      </c>
      <c r="BH260" s="1240">
        <v>0.69899999999999995</v>
      </c>
      <c r="BI260" s="382"/>
      <c r="BJ260" s="1366"/>
      <c r="BK260" s="382"/>
      <c r="BL260" s="382"/>
      <c r="BM260" s="382"/>
      <c r="BN260" s="382"/>
      <c r="BO260" s="1366"/>
      <c r="BP260" s="1366"/>
      <c r="BQ260" s="1366"/>
      <c r="BR260" s="1366"/>
      <c r="BS260" s="648"/>
    </row>
    <row r="261" spans="1:71" s="676" customFormat="1" ht="15" hidden="1" outlineLevel="1">
      <c r="A261" s="925" t="s">
        <v>547</v>
      </c>
      <c r="B261" s="396"/>
      <c r="C261" s="1343">
        <v>0.715</v>
      </c>
      <c r="D261" s="1343">
        <v>0.71399999999999997</v>
      </c>
      <c r="E261" s="1343">
        <v>0.71599999999999997</v>
      </c>
      <c r="F261" s="1343">
        <v>0.748</v>
      </c>
      <c r="G261" s="1343">
        <v>0.73</v>
      </c>
      <c r="H261" s="1219">
        <v>0.73199999999999998</v>
      </c>
      <c r="I261" s="1219">
        <v>0.73599999999999999</v>
      </c>
      <c r="J261" s="1219">
        <v>0.73899999999999999</v>
      </c>
      <c r="K261" s="381">
        <f>K280/K232</f>
        <v>0.72968435615945271</v>
      </c>
      <c r="L261" s="1343">
        <v>0.73399999999999999</v>
      </c>
      <c r="M261" s="1219">
        <v>0.73399999999999999</v>
      </c>
      <c r="N261" s="1219">
        <v>0.73899999999999999</v>
      </c>
      <c r="O261" s="1219">
        <v>0.73699999999999999</v>
      </c>
      <c r="P261" s="381">
        <f>P280/P232</f>
        <v>0.73943395077048013</v>
      </c>
      <c r="Q261" s="1343">
        <v>0.73699999999999999</v>
      </c>
      <c r="R261" s="1219">
        <v>0.74299999999999999</v>
      </c>
      <c r="S261" s="1219">
        <v>0.77100000000000002</v>
      </c>
      <c r="T261" s="1219">
        <v>0.77200000000000002</v>
      </c>
      <c r="U261" s="381">
        <f>U280/U232</f>
        <v>0.75516499199359499</v>
      </c>
      <c r="V261" s="1343">
        <v>0.76100000000000001</v>
      </c>
      <c r="W261" s="1219">
        <v>0.71699999999999997</v>
      </c>
      <c r="X261" s="1219">
        <v>0.74</v>
      </c>
      <c r="Y261" s="1219">
        <v>0.76900000000000002</v>
      </c>
      <c r="Z261" s="381">
        <f>Z280/Z232</f>
        <v>0.71481870087880706</v>
      </c>
      <c r="AA261" s="1343">
        <v>0.73599999999999999</v>
      </c>
      <c r="AB261" s="1219">
        <v>0.68600000000000005</v>
      </c>
      <c r="AC261" s="1219">
        <v>0.70199999999999996</v>
      </c>
      <c r="AD261" s="1219">
        <v>0.69899999999999995</v>
      </c>
      <c r="AE261" s="381">
        <f>AE280/AE232</f>
        <v>0.73476704023784178</v>
      </c>
      <c r="AF261" s="1343">
        <v>0.70599999999999996</v>
      </c>
      <c r="AG261" s="1219">
        <v>0.68899999999999995</v>
      </c>
      <c r="AH261" s="1219">
        <v>0.695</v>
      </c>
      <c r="AI261" s="1219">
        <v>0.71099999999999997</v>
      </c>
      <c r="AJ261" s="381">
        <f>AJ280/AJ232</f>
        <v>0.72608357995342521</v>
      </c>
      <c r="AK261" s="1343">
        <v>0.70599999999999996</v>
      </c>
      <c r="AL261" s="1219">
        <v>0.65200000000000002</v>
      </c>
      <c r="AM261" s="1219">
        <v>0.51700000000000002</v>
      </c>
      <c r="AN261" s="1219">
        <v>0.66700000000000004</v>
      </c>
      <c r="AO261" s="381">
        <f>AO280/AO232</f>
        <v>0.68904535336341011</v>
      </c>
      <c r="AP261" s="1343">
        <v>0.63200000000000001</v>
      </c>
      <c r="AQ261" s="1219">
        <v>0.68100000000000005</v>
      </c>
      <c r="AR261" s="1219">
        <v>0.76800000000000002</v>
      </c>
      <c r="AS261" s="1219">
        <v>0.81799999999999995</v>
      </c>
      <c r="AT261" s="381">
        <f>AT280/AT232</f>
        <v>0.78618000022145718</v>
      </c>
      <c r="AU261" s="1343">
        <v>0.76400000000000001</v>
      </c>
      <c r="AV261" s="1219">
        <v>0.76200000000000001</v>
      </c>
      <c r="AW261" s="1219">
        <v>0.77700000000000002</v>
      </c>
      <c r="AX261" s="1219">
        <v>0.82099999999999995</v>
      </c>
      <c r="AY261" s="381">
        <f>AY280/AY232</f>
        <v>0.77473192867744434</v>
      </c>
      <c r="AZ261" s="1343">
        <v>0.78300000000000003</v>
      </c>
      <c r="BA261" s="1219">
        <v>0.79</v>
      </c>
      <c r="BB261" s="1219">
        <v>0.84199999999999997</v>
      </c>
      <c r="BC261" s="1219">
        <v>0.765</v>
      </c>
      <c r="BD261" s="381">
        <f>BD280/BD232</f>
        <v>0.72072677196921142</v>
      </c>
      <c r="BE261" s="1343">
        <v>0.77800000000000002</v>
      </c>
      <c r="BF261" s="1219">
        <v>0.67</v>
      </c>
      <c r="BG261" s="1219">
        <v>0.70199999999999996</v>
      </c>
      <c r="BH261" s="1220">
        <v>0.68899999999999995</v>
      </c>
      <c r="BI261" s="909">
        <f t="shared" si="630" ref="BI261:BR261">BI122</f>
        <v>0.78</v>
      </c>
      <c r="BJ261" s="1340">
        <f t="shared" si="630"/>
        <v>0.71183441925600599</v>
      </c>
      <c r="BK261" s="909">
        <f t="shared" si="630"/>
        <v>0.75499999999999989</v>
      </c>
      <c r="BL261" s="909">
        <f t="shared" si="630"/>
        <v>0.75</v>
      </c>
      <c r="BM261" s="909">
        <f t="shared" si="630"/>
        <v>0.735</v>
      </c>
      <c r="BN261" s="909">
        <f t="shared" si="630"/>
        <v>0.75500000000000012</v>
      </c>
      <c r="BO261" s="1340">
        <f t="shared" si="630"/>
        <v>0.74851985955412381</v>
      </c>
      <c r="BP261" s="1339">
        <f t="shared" si="630"/>
        <v>0.755</v>
      </c>
      <c r="BQ261" s="1339">
        <f t="shared" si="630"/>
        <v>0.755</v>
      </c>
      <c r="BR261" s="1340">
        <f t="shared" si="630"/>
        <v>0.755</v>
      </c>
      <c r="BS261" s="648"/>
    </row>
    <row r="262" spans="1:71" s="676" customFormat="1" ht="15" hidden="1" outlineLevel="1">
      <c r="A262" s="925" t="s">
        <v>360</v>
      </c>
      <c r="B262" s="396"/>
      <c r="C262" s="1343">
        <v>0.64700000000000002</v>
      </c>
      <c r="D262" s="1343">
        <v>0.65100000000000002</v>
      </c>
      <c r="E262" s="1343">
        <v>0.68899999999999995</v>
      </c>
      <c r="F262" s="1343">
        <v>0.72599999999999998</v>
      </c>
      <c r="G262" s="1343">
        <v>0.71899999999999997</v>
      </c>
      <c r="H262" s="1219">
        <v>0.69299999999999995</v>
      </c>
      <c r="I262" s="1219">
        <v>0.60299999999999998</v>
      </c>
      <c r="J262" s="1219">
        <v>0.60</v>
      </c>
      <c r="K262" s="381">
        <f>K281/K233</f>
        <v>0.57841616405307616</v>
      </c>
      <c r="L262" s="1343">
        <v>0.61699999999999999</v>
      </c>
      <c r="M262" s="1219">
        <v>0.61</v>
      </c>
      <c r="N262" s="1219">
        <v>0.61299999999999999</v>
      </c>
      <c r="O262" s="1219">
        <v>0.635</v>
      </c>
      <c r="P262" s="381">
        <f>P281/P233</f>
        <v>0.6358880695783703</v>
      </c>
      <c r="Q262" s="1343">
        <v>0.624</v>
      </c>
      <c r="R262" s="1219">
        <v>0.66400000000000003</v>
      </c>
      <c r="S262" s="1219">
        <v>0.71799999999999997</v>
      </c>
      <c r="T262" s="1219">
        <v>0.78200000000000003</v>
      </c>
      <c r="U262" s="381">
        <f>U281/U233</f>
        <v>0.70524564647865595</v>
      </c>
      <c r="V262" s="1343">
        <v>0.71899999999999997</v>
      </c>
      <c r="W262" s="1219">
        <v>0.67600000000000005</v>
      </c>
      <c r="X262" s="1219">
        <v>0.69399999999999995</v>
      </c>
      <c r="Y262" s="1219">
        <v>0.72199999999999998</v>
      </c>
      <c r="Z262" s="381">
        <f>Z281/Z233</f>
        <v>0.71599042874000229</v>
      </c>
      <c r="AA262" s="1343">
        <v>0.70299999999999996</v>
      </c>
      <c r="AB262" s="1219">
        <v>0.67400000000000004</v>
      </c>
      <c r="AC262" s="1219">
        <v>0.68700000000000006</v>
      </c>
      <c r="AD262" s="1219">
        <v>0.67600000000000005</v>
      </c>
      <c r="AE262" s="381">
        <f>AE281/AE233</f>
        <v>0.61973282910874927</v>
      </c>
      <c r="AF262" s="1343">
        <v>0.66300000000000003</v>
      </c>
      <c r="AG262" s="1219">
        <v>0.627</v>
      </c>
      <c r="AH262" s="1219">
        <v>0.67300000000000004</v>
      </c>
      <c r="AI262" s="1219">
        <v>0.72199999999999998</v>
      </c>
      <c r="AJ262" s="381">
        <f>AJ281/AJ233</f>
        <v>0.7097693986420951</v>
      </c>
      <c r="AK262" s="1343">
        <v>0.685</v>
      </c>
      <c r="AL262" s="1219">
        <v>0.68100000000000005</v>
      </c>
      <c r="AM262" s="1219">
        <v>0.57299999999999995</v>
      </c>
      <c r="AN262" s="1219">
        <v>0.66600000000000004</v>
      </c>
      <c r="AO262" s="381">
        <f>AO281/AO233</f>
        <v>0.65465986597170511</v>
      </c>
      <c r="AP262" s="1343">
        <v>0.645</v>
      </c>
      <c r="AQ262" s="1219">
        <v>0.635</v>
      </c>
      <c r="AR262" s="1219">
        <v>0.71799999999999997</v>
      </c>
      <c r="AS262" s="1219">
        <v>0.70199999999999996</v>
      </c>
      <c r="AT262" s="381">
        <f>AT281/AT233</f>
        <v>0.7052230549255496</v>
      </c>
      <c r="AU262" s="1343">
        <v>0.69299999999999995</v>
      </c>
      <c r="AV262" s="1219">
        <v>0.71</v>
      </c>
      <c r="AW262" s="1219">
        <v>0.70399999999999996</v>
      </c>
      <c r="AX262" s="1219">
        <v>0.705</v>
      </c>
      <c r="AY262" s="381">
        <f>AY281/AY233</f>
        <v>0.7402964768257223</v>
      </c>
      <c r="AZ262" s="1343">
        <v>0.715</v>
      </c>
      <c r="BA262" s="1219">
        <v>0.76300000000000001</v>
      </c>
      <c r="BB262" s="1219">
        <v>0.77200000000000002</v>
      </c>
      <c r="BC262" s="1219">
        <v>0.79700000000000004</v>
      </c>
      <c r="BD262" s="381">
        <f>BD281/BD233</f>
        <v>0.82473703831815182</v>
      </c>
      <c r="BE262" s="1343">
        <v>0.79</v>
      </c>
      <c r="BF262" s="1219">
        <v>0.72399999999999998</v>
      </c>
      <c r="BG262" s="1219">
        <v>0.69599999999999995</v>
      </c>
      <c r="BH262" s="1220">
        <v>0.69299999999999995</v>
      </c>
      <c r="BI262" s="909">
        <f t="shared" si="631" ref="BI262:BR262">BI157</f>
        <v>0.705</v>
      </c>
      <c r="BJ262" s="1340">
        <f t="shared" si="631"/>
        <v>0.70419560586108643</v>
      </c>
      <c r="BK262" s="909">
        <f t="shared" si="631"/>
        <v>0.705</v>
      </c>
      <c r="BL262" s="909">
        <f t="shared" si="631"/>
        <v>0.70499999999999985</v>
      </c>
      <c r="BM262" s="909">
        <f t="shared" si="631"/>
        <v>0.705</v>
      </c>
      <c r="BN262" s="909">
        <f t="shared" si="631"/>
        <v>0.705</v>
      </c>
      <c r="BO262" s="1340">
        <f t="shared" si="631"/>
        <v>0.705</v>
      </c>
      <c r="BP262" s="1339">
        <f t="shared" si="631"/>
        <v>0.705</v>
      </c>
      <c r="BQ262" s="1339">
        <f t="shared" si="631"/>
        <v>0.705</v>
      </c>
      <c r="BR262" s="1340">
        <f t="shared" si="631"/>
        <v>0.705</v>
      </c>
      <c r="BS262" s="648"/>
    </row>
    <row r="263" spans="1:71" s="676" customFormat="1" ht="15" hidden="1" outlineLevel="1">
      <c r="A263" s="925" t="s">
        <v>488</v>
      </c>
      <c r="B263" s="396"/>
      <c r="C263" s="1339"/>
      <c r="D263" s="1339"/>
      <c r="E263" s="1339"/>
      <c r="F263" s="1339"/>
      <c r="G263" s="1339"/>
      <c r="H263" s="381"/>
      <c r="I263" s="381"/>
      <c r="J263" s="381"/>
      <c r="K263" s="381"/>
      <c r="L263" s="1339"/>
      <c r="M263" s="381"/>
      <c r="N263" s="1219">
        <v>0.67800000000000005</v>
      </c>
      <c r="O263" s="1219">
        <v>0.59099999999999997</v>
      </c>
      <c r="P263" s="381">
        <f>P282/P183</f>
        <v>0.45332602339181266</v>
      </c>
      <c r="Q263" s="1343">
        <v>0.57299999999999995</v>
      </c>
      <c r="R263" s="1219">
        <v>0.77900000000000003</v>
      </c>
      <c r="S263" s="1219">
        <v>0.71299999999999997</v>
      </c>
      <c r="T263" s="1219">
        <v>0.63800000000000001</v>
      </c>
      <c r="U263" s="381">
        <f>U282/U183</f>
        <v>0.42096026490066213</v>
      </c>
      <c r="V263" s="1343">
        <v>0.63200000000000001</v>
      </c>
      <c r="W263" s="1219">
        <v>0.59299999999999997</v>
      </c>
      <c r="X263" s="1219">
        <v>0.63600000000000001</v>
      </c>
      <c r="Y263" s="1219">
        <v>0.95</v>
      </c>
      <c r="Z263" s="381">
        <f>Z282/Z183</f>
        <v>0.63890055865921791</v>
      </c>
      <c r="AA263" s="1343">
        <v>0.70799999999999996</v>
      </c>
      <c r="AB263" s="1219">
        <v>0.55100000000000005</v>
      </c>
      <c r="AC263" s="1219">
        <v>0.79900000000000004</v>
      </c>
      <c r="AD263" s="1219">
        <v>0.69799999999999995</v>
      </c>
      <c r="AE263" s="381">
        <f>AE282/AE183</f>
        <v>0.83627277856135407</v>
      </c>
      <c r="AF263" s="1343">
        <v>0.72799999999999998</v>
      </c>
      <c r="AG263" s="1219">
        <v>0.68100000000000005</v>
      </c>
      <c r="AH263" s="1219">
        <v>0.77700000000000002</v>
      </c>
      <c r="AI263" s="1219">
        <v>0.71399999999999997</v>
      </c>
      <c r="AJ263" s="381">
        <f>AJ282/AJ183</f>
        <v>0.6773086777858347</v>
      </c>
      <c r="AK263" s="1343">
        <v>0.71199999999999997</v>
      </c>
      <c r="AL263" s="1219">
        <v>0.58199999999999996</v>
      </c>
      <c r="AM263" s="1219">
        <v>1.1399999999999999</v>
      </c>
      <c r="AN263" s="1219">
        <v>0.81200000000000006</v>
      </c>
      <c r="AO263" s="381">
        <f>AO282/AO183</f>
        <v>0.56678413244463599</v>
      </c>
      <c r="AP263" s="1343">
        <v>0.77300000000000002</v>
      </c>
      <c r="AQ263" s="1219">
        <v>0.84899999999999998</v>
      </c>
      <c r="AR263" s="1219">
        <v>0.875</v>
      </c>
      <c r="AS263" s="1219">
        <v>1.139</v>
      </c>
      <c r="AT263" s="381">
        <f>AT282/AT183</f>
        <v>0.5993560606060605</v>
      </c>
      <c r="AU263" s="1343">
        <v>0.86399999999999999</v>
      </c>
      <c r="AV263" s="1219">
        <v>0.70599999999999996</v>
      </c>
      <c r="AW263" s="1219">
        <v>1.0169999999999999</v>
      </c>
      <c r="AX263" s="1219">
        <v>0.97199999999999998</v>
      </c>
      <c r="AY263" s="381">
        <f>AY282/AY183</f>
        <v>0.63990506547208825</v>
      </c>
      <c r="AZ263" s="1343">
        <v>0.83299999999999996</v>
      </c>
      <c r="BA263" s="1219">
        <v>0.754</v>
      </c>
      <c r="BB263" s="1219">
        <v>1.056</v>
      </c>
      <c r="BC263" s="1219">
        <v>0.58799999999999997</v>
      </c>
      <c r="BD263" s="381">
        <f>BD282/BD183</f>
        <v>0.42328571428571421</v>
      </c>
      <c r="BE263" s="1343">
        <v>0.69599999999999995</v>
      </c>
      <c r="BF263" s="1219">
        <v>0.64800000000000002</v>
      </c>
      <c r="BG263" s="1219">
        <v>1.3740000000000001</v>
      </c>
      <c r="BH263" s="1220">
        <v>0.48599999999999999</v>
      </c>
      <c r="BI263" s="909">
        <f t="shared" si="632" ref="BI263:BR263">BI192</f>
        <v>0.70</v>
      </c>
      <c r="BJ263" s="1340">
        <f t="shared" si="632"/>
        <v>0.79966741370768091</v>
      </c>
      <c r="BK263" s="909">
        <f t="shared" si="632"/>
        <v>0.70</v>
      </c>
      <c r="BL263" s="909">
        <f t="shared" si="632"/>
        <v>1.0499999999999998</v>
      </c>
      <c r="BM263" s="909">
        <f t="shared" si="632"/>
        <v>0.80</v>
      </c>
      <c r="BN263" s="909">
        <f t="shared" si="632"/>
        <v>0.70</v>
      </c>
      <c r="BO263" s="1340">
        <f t="shared" si="632"/>
        <v>0.81634562462902083</v>
      </c>
      <c r="BP263" s="1339">
        <f t="shared" si="632"/>
        <v>0.70</v>
      </c>
      <c r="BQ263" s="1339">
        <f t="shared" si="632"/>
        <v>0.70</v>
      </c>
      <c r="BR263" s="1340">
        <f t="shared" si="632"/>
        <v>0.70</v>
      </c>
      <c r="BS263" s="648"/>
    </row>
    <row r="264" spans="1:71" s="680" customFormat="1" ht="15" hidden="1" outlineLevel="1">
      <c r="A264" s="579" t="s">
        <v>21</v>
      </c>
      <c r="B264" s="399"/>
      <c r="C264" s="1391">
        <f t="shared" si="633" ref="C264:AT264">C276/C236</f>
        <v>0.70684659739666578</v>
      </c>
      <c r="D264" s="1358">
        <f t="shared" si="633"/>
        <v>0.70775002095733075</v>
      </c>
      <c r="E264" s="1358">
        <f t="shared" si="633"/>
        <v>0.7136108650723354</v>
      </c>
      <c r="F264" s="1358">
        <f t="shared" si="633"/>
        <v>0.74591085029341997</v>
      </c>
      <c r="G264" s="1358">
        <f t="shared" si="633"/>
        <v>0.7292351228410725</v>
      </c>
      <c r="H264" s="560">
        <f t="shared" si="633"/>
        <v>0.7282329691297732</v>
      </c>
      <c r="I264" s="560">
        <f t="shared" si="633"/>
        <v>0.72429378531073441</v>
      </c>
      <c r="J264" s="560">
        <f t="shared" si="633"/>
        <v>0.72505010902843547</v>
      </c>
      <c r="K264" s="560">
        <f t="shared" si="633"/>
        <v>0.71610083761582999</v>
      </c>
      <c r="L264" s="1358">
        <f t="shared" si="633"/>
        <v>0.7232220017936245</v>
      </c>
      <c r="M264" s="560">
        <f t="shared" si="633"/>
        <v>0.72189957782397196</v>
      </c>
      <c r="N264" s="560">
        <f t="shared" si="633"/>
        <v>0.72404820048841023</v>
      </c>
      <c r="O264" s="560">
        <f t="shared" si="633"/>
        <v>0.7206839427286712</v>
      </c>
      <c r="P264" s="560">
        <f t="shared" si="633"/>
        <v>0.71653375658098506</v>
      </c>
      <c r="Q264" s="1358">
        <f t="shared" si="633"/>
        <v>0.72073611369358415</v>
      </c>
      <c r="R264" s="560">
        <f t="shared" si="633"/>
        <v>0.73596118403731137</v>
      </c>
      <c r="S264" s="560">
        <f t="shared" si="633"/>
        <v>0.76288252004746659</v>
      </c>
      <c r="T264" s="560">
        <f t="shared" si="633"/>
        <v>0.76845930740468948</v>
      </c>
      <c r="U264" s="560">
        <f t="shared" si="633"/>
        <v>0.73662158939946176</v>
      </c>
      <c r="V264" s="1358">
        <f t="shared" si="633"/>
        <v>0.75107235027142472</v>
      </c>
      <c r="W264" s="560">
        <f t="shared" si="633"/>
        <v>0.70741865365788903</v>
      </c>
      <c r="X264" s="560">
        <f t="shared" si="633"/>
        <v>0.73098062819761445</v>
      </c>
      <c r="Y264" s="560">
        <f t="shared" si="633"/>
        <v>0.77177567237163813</v>
      </c>
      <c r="Z264" s="560">
        <f t="shared" si="633"/>
        <v>0.71271856147475132</v>
      </c>
      <c r="AA264" s="1358">
        <f t="shared" si="633"/>
        <v>0.73097835592054372</v>
      </c>
      <c r="AB264" s="560">
        <f t="shared" si="633"/>
        <v>0.67895177028157228</v>
      </c>
      <c r="AC264" s="560">
        <f t="shared" si="633"/>
        <v>0.70410783055198978</v>
      </c>
      <c r="AD264" s="560">
        <f t="shared" si="633"/>
        <v>0.69643780341718686</v>
      </c>
      <c r="AE264" s="560">
        <f t="shared" si="633"/>
        <v>0.72630756839870148</v>
      </c>
      <c r="AF264" s="1358">
        <f t="shared" si="633"/>
        <v>0.70218825666837992</v>
      </c>
      <c r="AG264" s="560">
        <f t="shared" si="633"/>
        <v>0.68074895387597822</v>
      </c>
      <c r="AH264" s="560">
        <f t="shared" si="633"/>
        <v>0.69555905583192623</v>
      </c>
      <c r="AI264" s="560">
        <f t="shared" si="633"/>
        <v>0.71306673176360946</v>
      </c>
      <c r="AJ264" s="560">
        <f t="shared" si="633"/>
        <v>0.72224299443192475</v>
      </c>
      <c r="AK264" s="1358">
        <f t="shared" si="633"/>
        <v>0.70375272156585356</v>
      </c>
      <c r="AL264" s="560">
        <f t="shared" si="633"/>
        <v>0.65267689567052278</v>
      </c>
      <c r="AM264" s="560">
        <f t="shared" si="633"/>
        <v>0.55152042783408983</v>
      </c>
      <c r="AN264" s="560">
        <f t="shared" si="633"/>
        <v>0.67309369830049648</v>
      </c>
      <c r="AO264" s="560">
        <f t="shared" si="633"/>
        <v>0.67903181568842585</v>
      </c>
      <c r="AP264" s="1358">
        <f t="shared" si="633"/>
        <v>0.63985675571041423</v>
      </c>
      <c r="AQ264" s="560">
        <f t="shared" si="633"/>
        <v>0.68237653787835173</v>
      </c>
      <c r="AR264" s="560">
        <f t="shared" si="633"/>
        <v>0.76544986022964223</v>
      </c>
      <c r="AS264" s="560">
        <f t="shared" si="633"/>
        <v>0.81397824862734081</v>
      </c>
      <c r="AT264" s="560">
        <f t="shared" si="633"/>
        <v>0.76370093264605998</v>
      </c>
      <c r="AU264" s="1358">
        <f t="shared" si="634" ref="AU264:AZ264">AU276/AU236</f>
        <v>0.75791267267240192</v>
      </c>
      <c r="AV264" s="560">
        <f t="shared" si="634"/>
        <v>0.75052741275449231</v>
      </c>
      <c r="AW264" s="560">
        <f t="shared" si="634"/>
        <v>0.77553321973345191</v>
      </c>
      <c r="AX264" s="560">
        <f t="shared" si="634"/>
        <v>0.8080313576204341</v>
      </c>
      <c r="AY264" s="560">
        <f t="shared" si="634"/>
        <v>0.76209130046930107</v>
      </c>
      <c r="AZ264" s="1358">
        <f t="shared" si="634"/>
        <v>0.77420330942381577</v>
      </c>
      <c r="BA264" s="560">
        <f t="shared" si="635" ref="BA264:BR264">BA276/BA236</f>
        <v>0.78503816568265949</v>
      </c>
      <c r="BB264" s="560">
        <f t="shared" si="635"/>
        <v>0.84138298166532999</v>
      </c>
      <c r="BC264" s="560">
        <f t="shared" si="635"/>
        <v>0.76458108135326941</v>
      </c>
      <c r="BD264" s="560">
        <f t="shared" si="635"/>
        <v>0.72737532176052111</v>
      </c>
      <c r="BE264" s="1358">
        <f t="shared" si="635"/>
        <v>0.77823347720252822</v>
      </c>
      <c r="BF264" s="560">
        <f>BF276/BF236</f>
        <v>0.67941493380231099</v>
      </c>
      <c r="BG264" s="560">
        <f>BG276/BG236</f>
        <v>0.73188064731688884</v>
      </c>
      <c r="BH264" s="829">
        <f>BH276/BH236</f>
        <v>0.68374624932364814</v>
      </c>
      <c r="BI264" s="560">
        <f t="shared" si="635"/>
        <v>0.77243021092717701</v>
      </c>
      <c r="BJ264" s="1358">
        <f t="shared" si="635"/>
        <v>0.71720262039830474</v>
      </c>
      <c r="BK264" s="560">
        <f t="shared" si="635"/>
        <v>0.75021582200493986</v>
      </c>
      <c r="BL264" s="560">
        <f t="shared" si="635"/>
        <v>0.76267816368937347</v>
      </c>
      <c r="BM264" s="560">
        <f t="shared" si="635"/>
        <v>0.73930827366176144</v>
      </c>
      <c r="BN264" s="560">
        <f t="shared" si="635"/>
        <v>0.75151751449142734</v>
      </c>
      <c r="BO264" s="1358">
        <f t="shared" si="635"/>
        <v>0.75072666530979892</v>
      </c>
      <c r="BP264" s="1358">
        <f t="shared" si="635"/>
        <v>0.75135272144575982</v>
      </c>
      <c r="BQ264" s="1358">
        <f t="shared" si="635"/>
        <v>0.75135272144575971</v>
      </c>
      <c r="BR264" s="1358">
        <f t="shared" si="635"/>
        <v>0.75135272144575993</v>
      </c>
      <c r="BS264" s="648"/>
    </row>
    <row r="265" spans="1:71" s="671" customFormat="1" ht="15" hidden="1" outlineLevel="1">
      <c r="A265" s="573"/>
      <c r="B265" s="401"/>
      <c r="C265" s="1369"/>
      <c r="D265" s="1331"/>
      <c r="E265" s="1331"/>
      <c r="F265" s="1331"/>
      <c r="G265" s="1331"/>
      <c r="H265" s="289"/>
      <c r="I265" s="289"/>
      <c r="J265" s="289"/>
      <c r="K265" s="289"/>
      <c r="L265" s="1331"/>
      <c r="M265" s="289"/>
      <c r="N265" s="289"/>
      <c r="O265" s="289"/>
      <c r="P265" s="289"/>
      <c r="Q265" s="1331"/>
      <c r="R265" s="289"/>
      <c r="S265" s="289"/>
      <c r="T265" s="289"/>
      <c r="U265" s="289"/>
      <c r="V265" s="1331"/>
      <c r="W265" s="289"/>
      <c r="X265" s="289"/>
      <c r="Y265" s="289"/>
      <c r="Z265" s="289"/>
      <c r="AA265" s="1331"/>
      <c r="AB265" s="289"/>
      <c r="AC265" s="289"/>
      <c r="AD265" s="289"/>
      <c r="AE265" s="289"/>
      <c r="AF265" s="1331"/>
      <c r="AG265" s="289"/>
      <c r="AH265" s="289"/>
      <c r="AI265" s="289"/>
      <c r="AJ265" s="289"/>
      <c r="AK265" s="1331"/>
      <c r="AL265" s="289"/>
      <c r="AM265" s="289"/>
      <c r="AN265" s="289"/>
      <c r="AO265" s="289"/>
      <c r="AP265" s="1331"/>
      <c r="AQ265" s="289"/>
      <c r="AR265" s="289"/>
      <c r="AS265" s="289"/>
      <c r="AT265" s="289"/>
      <c r="AU265" s="1331"/>
      <c r="AV265" s="289"/>
      <c r="AW265" s="289"/>
      <c r="AX265" s="289"/>
      <c r="AY265" s="289"/>
      <c r="AZ265" s="1331"/>
      <c r="BA265" s="289"/>
      <c r="BB265" s="289"/>
      <c r="BC265" s="289"/>
      <c r="BD265" s="289"/>
      <c r="BE265" s="1331"/>
      <c r="BF265" s="289"/>
      <c r="BG265" s="289"/>
      <c r="BH265" s="819"/>
      <c r="BI265" s="289"/>
      <c r="BJ265" s="1331"/>
      <c r="BK265" s="289"/>
      <c r="BL265" s="289"/>
      <c r="BM265" s="289"/>
      <c r="BN265" s="289"/>
      <c r="BO265" s="1331"/>
      <c r="BP265" s="1331"/>
      <c r="BQ265" s="1331"/>
      <c r="BR265" s="1331"/>
      <c r="BS265" s="648"/>
    </row>
    <row r="266" spans="1:71" s="665" customFormat="1" ht="15" hidden="1" outlineLevel="1">
      <c r="A266" s="307" t="str">
        <f>A116</f>
        <v>Total Personal Lines - Loss &amp; LAE Ratio excluding Catastrophe Losses Incurred, mm</v>
      </c>
      <c r="B266" s="545"/>
      <c r="C266" s="1370">
        <f t="shared" si="636" ref="C266:AH266">C116</f>
        <v>0</v>
      </c>
      <c r="D266" s="1349">
        <f t="shared" si="636"/>
        <v>0</v>
      </c>
      <c r="E266" s="1349">
        <f t="shared" si="636"/>
        <v>0</v>
      </c>
      <c r="F266" s="1349">
        <f t="shared" si="636"/>
        <v>0</v>
      </c>
      <c r="G266" s="1349">
        <f t="shared" si="636"/>
        <v>0</v>
      </c>
      <c r="H266" s="1042">
        <f t="shared" si="636"/>
        <v>0</v>
      </c>
      <c r="I266" s="1042">
        <f t="shared" si="636"/>
        <v>0</v>
      </c>
      <c r="J266" s="1042">
        <f t="shared" si="636"/>
        <v>0</v>
      </c>
      <c r="K266" s="1042">
        <f t="shared" si="636"/>
        <v>0</v>
      </c>
      <c r="L266" s="1349">
        <f t="shared" si="636"/>
        <v>0</v>
      </c>
      <c r="M266" s="1042">
        <f t="shared" si="636"/>
        <v>0</v>
      </c>
      <c r="N266" s="1042">
        <f t="shared" si="636"/>
        <v>0</v>
      </c>
      <c r="O266" s="1042">
        <f t="shared" si="636"/>
        <v>0</v>
      </c>
      <c r="P266" s="1042">
        <f t="shared" si="636"/>
        <v>0</v>
      </c>
      <c r="Q266" s="1349">
        <f t="shared" si="636"/>
        <v>0</v>
      </c>
      <c r="R266" s="1042">
        <f t="shared" si="636"/>
        <v>0</v>
      </c>
      <c r="S266" s="1042">
        <f t="shared" si="636"/>
        <v>0</v>
      </c>
      <c r="T266" s="1042">
        <f t="shared" si="636"/>
        <v>0</v>
      </c>
      <c r="U266" s="1042">
        <f t="shared" si="636"/>
        <v>0</v>
      </c>
      <c r="V266" s="1349">
        <f t="shared" si="636"/>
        <v>0</v>
      </c>
      <c r="W266" s="1042">
        <f t="shared" si="636"/>
        <v>0</v>
      </c>
      <c r="X266" s="1042">
        <f t="shared" si="636"/>
        <v>0</v>
      </c>
      <c r="Y266" s="1042">
        <f t="shared" si="636"/>
        <v>0</v>
      </c>
      <c r="Z266" s="1042">
        <f t="shared" si="636"/>
        <v>0</v>
      </c>
      <c r="AA266" s="1349">
        <f t="shared" si="636"/>
        <v>0</v>
      </c>
      <c r="AB266" s="1042">
        <f t="shared" si="636"/>
        <v>0</v>
      </c>
      <c r="AC266" s="1042">
        <f t="shared" si="636"/>
        <v>0</v>
      </c>
      <c r="AD266" s="1042">
        <f t="shared" si="636"/>
        <v>0</v>
      </c>
      <c r="AE266" s="1042">
        <f t="shared" si="636"/>
        <v>0</v>
      </c>
      <c r="AF266" s="1349">
        <f t="shared" si="636"/>
        <v>0</v>
      </c>
      <c r="AG266" s="1042">
        <f t="shared" si="636"/>
        <v>4833.7966999999999</v>
      </c>
      <c r="AH266" s="1042">
        <f t="shared" si="636"/>
        <v>4999.7977999999994</v>
      </c>
      <c r="AI266" s="1042">
        <f t="shared" si="637" ref="AI266:AU266">AI116</f>
        <v>5219.6659999999993</v>
      </c>
      <c r="AJ266" s="1042">
        <f t="shared" si="637"/>
        <v>5954.8138999999992</v>
      </c>
      <c r="AK266" s="1349">
        <f t="shared" si="637"/>
        <v>21008.074399999998</v>
      </c>
      <c r="AL266" s="1042">
        <f t="shared" si="637"/>
        <v>5062.9757</v>
      </c>
      <c r="AM266" s="1042">
        <f t="shared" si="637"/>
        <v>4016.6616999999997</v>
      </c>
      <c r="AN266" s="1042">
        <f t="shared" si="637"/>
        <v>5379.6792000000005</v>
      </c>
      <c r="AO266" s="1042">
        <f t="shared" si="637"/>
        <v>5714.0632999999998</v>
      </c>
      <c r="AP266" s="1349">
        <f t="shared" si="637"/>
        <v>20173.3799</v>
      </c>
      <c r="AQ266" s="1042">
        <f t="shared" si="637"/>
        <v>5744.7623999999996</v>
      </c>
      <c r="AR266" s="1042">
        <f t="shared" si="637"/>
        <v>6584.8325000000004</v>
      </c>
      <c r="AS266" s="1042">
        <f t="shared" si="637"/>
        <v>6910.4264999999996</v>
      </c>
      <c r="AT266" s="1042">
        <f t="shared" si="637"/>
        <v>7146.0702000000019</v>
      </c>
      <c r="AU266" s="1349">
        <f t="shared" si="637"/>
        <v>26386.0916</v>
      </c>
      <c r="AV266" s="1042">
        <f t="shared" si="638" ref="AV266:AZ266">AV116</f>
        <v>6902.9575000000004</v>
      </c>
      <c r="AW266" s="1042">
        <f t="shared" si="638"/>
        <v>6911.8005999999996</v>
      </c>
      <c r="AX266" s="1042">
        <f t="shared" si="638"/>
        <v>7143.8386999999984</v>
      </c>
      <c r="AY266" s="1042">
        <f t="shared" si="638"/>
        <v>7680.9169000000038</v>
      </c>
      <c r="AZ266" s="1349">
        <f t="shared" si="638"/>
        <v>28639.513700000003</v>
      </c>
      <c r="BA266" s="1042">
        <f t="shared" si="639" ref="BA266:BR266">BA116</f>
        <v>8255.6237999999994</v>
      </c>
      <c r="BB266" s="1042">
        <f t="shared" si="639"/>
        <v>9004.7262999999984</v>
      </c>
      <c r="BC266" s="1042">
        <f t="shared" si="639"/>
        <v>8654.898000000001</v>
      </c>
      <c r="BD266" s="1042">
        <f t="shared" si="639"/>
        <v>8925.8043000000034</v>
      </c>
      <c r="BE266" s="1349">
        <f t="shared" si="639"/>
        <v>34841.0524</v>
      </c>
      <c r="BF266" s="1042">
        <f>BF116</f>
        <v>8426.9437999999991</v>
      </c>
      <c r="BG266" s="1042">
        <f>BG116</f>
        <v>9005.6778000000013</v>
      </c>
      <c r="BH266" s="1043">
        <f>BH116</f>
        <v>9576.8360000000011</v>
      </c>
      <c r="BI266" s="1047">
        <f t="shared" si="639"/>
        <v>11146.90035152472</v>
      </c>
      <c r="BJ266" s="1351">
        <f t="shared" si="639"/>
        <v>38156.357951524726</v>
      </c>
      <c r="BK266" s="1047">
        <f t="shared" si="639"/>
        <v>12731.427169371966</v>
      </c>
      <c r="BL266" s="1047">
        <f t="shared" si="639"/>
        <v>12067.661705375049</v>
      </c>
      <c r="BM266" s="1047">
        <f t="shared" si="639"/>
        <v>12887.465953408006</v>
      </c>
      <c r="BN266" s="1047">
        <f t="shared" si="639"/>
        <v>12133.20504254088</v>
      </c>
      <c r="BO266" s="1351">
        <f t="shared" si="639"/>
        <v>49819.759870695903</v>
      </c>
      <c r="BP266" s="1351">
        <f t="shared" si="639"/>
        <v>53597.979229647513</v>
      </c>
      <c r="BQ266" s="1351">
        <f t="shared" si="639"/>
        <v>55763.337590525276</v>
      </c>
      <c r="BR266" s="1351">
        <f t="shared" si="639"/>
        <v>58016.176429182495</v>
      </c>
      <c r="BS266" s="648"/>
    </row>
    <row r="267" spans="1:71" s="665" customFormat="1" ht="15" hidden="1" outlineLevel="1">
      <c r="A267" s="307" t="str">
        <f>A151</f>
        <v>Commercial Lines - Loss &amp; LAE Ratio excluding Catastrophe Losses Incurred, mm</v>
      </c>
      <c r="B267" s="545"/>
      <c r="C267" s="1370">
        <f t="shared" si="640" ref="C267:AH267">C151</f>
        <v>0</v>
      </c>
      <c r="D267" s="1349">
        <f t="shared" si="640"/>
        <v>0</v>
      </c>
      <c r="E267" s="1349">
        <f t="shared" si="640"/>
        <v>0</v>
      </c>
      <c r="F267" s="1349">
        <f t="shared" si="640"/>
        <v>0</v>
      </c>
      <c r="G267" s="1349">
        <f t="shared" si="640"/>
        <v>0</v>
      </c>
      <c r="H267" s="1042">
        <f t="shared" si="640"/>
        <v>0</v>
      </c>
      <c r="I267" s="1042">
        <f t="shared" si="640"/>
        <v>0</v>
      </c>
      <c r="J267" s="1042">
        <f t="shared" si="640"/>
        <v>0</v>
      </c>
      <c r="K267" s="1042">
        <f t="shared" si="640"/>
        <v>0</v>
      </c>
      <c r="L267" s="1349">
        <f t="shared" si="640"/>
        <v>0</v>
      </c>
      <c r="M267" s="1042">
        <f t="shared" si="640"/>
        <v>0</v>
      </c>
      <c r="N267" s="1042">
        <f t="shared" si="640"/>
        <v>0</v>
      </c>
      <c r="O267" s="1042">
        <f t="shared" si="640"/>
        <v>0</v>
      </c>
      <c r="P267" s="1042">
        <f t="shared" si="640"/>
        <v>0</v>
      </c>
      <c r="Q267" s="1349">
        <f t="shared" si="640"/>
        <v>0</v>
      </c>
      <c r="R267" s="1042">
        <f t="shared" si="640"/>
        <v>0</v>
      </c>
      <c r="S267" s="1042">
        <f t="shared" si="640"/>
        <v>0</v>
      </c>
      <c r="T267" s="1042">
        <f t="shared" si="640"/>
        <v>0</v>
      </c>
      <c r="U267" s="1042">
        <f t="shared" si="640"/>
        <v>0</v>
      </c>
      <c r="V267" s="1349">
        <f t="shared" si="640"/>
        <v>0</v>
      </c>
      <c r="W267" s="1042">
        <f t="shared" si="640"/>
        <v>0</v>
      </c>
      <c r="X267" s="1042">
        <f t="shared" si="640"/>
        <v>0</v>
      </c>
      <c r="Y267" s="1042">
        <f t="shared" si="640"/>
        <v>0</v>
      </c>
      <c r="Z267" s="1042">
        <f t="shared" si="640"/>
        <v>0</v>
      </c>
      <c r="AA267" s="1349">
        <f t="shared" si="640"/>
        <v>0</v>
      </c>
      <c r="AB267" s="1042">
        <f t="shared" si="640"/>
        <v>0</v>
      </c>
      <c r="AC267" s="1042">
        <f t="shared" si="640"/>
        <v>0</v>
      </c>
      <c r="AD267" s="1042">
        <f t="shared" si="640"/>
        <v>0</v>
      </c>
      <c r="AE267" s="1042">
        <f t="shared" si="640"/>
        <v>0</v>
      </c>
      <c r="AF267" s="1349">
        <f t="shared" si="640"/>
        <v>0</v>
      </c>
      <c r="AG267" s="1042">
        <f t="shared" si="640"/>
        <v>633.65099999999995</v>
      </c>
      <c r="AH267" s="1042">
        <f t="shared" si="640"/>
        <v>715.64650000000006</v>
      </c>
      <c r="AI267" s="1042">
        <f t="shared" si="641" ref="AI267:AU267">AI151</f>
        <v>795.78180000000009</v>
      </c>
      <c r="AJ267" s="1042">
        <f t="shared" si="641"/>
        <v>874.22670000000028</v>
      </c>
      <c r="AK267" s="1349">
        <f t="shared" si="641"/>
        <v>3019.3060000000005</v>
      </c>
      <c r="AL267" s="1042">
        <f t="shared" si="641"/>
        <v>808.40900000000011</v>
      </c>
      <c r="AM267" s="1042">
        <f t="shared" si="641"/>
        <v>640.61699999999996</v>
      </c>
      <c r="AN267" s="1042">
        <f t="shared" si="641"/>
        <v>805.65680000000009</v>
      </c>
      <c r="AO267" s="1042">
        <f t="shared" si="641"/>
        <v>875.40820000000008</v>
      </c>
      <c r="AP267" s="1349">
        <f t="shared" si="641"/>
        <v>3130.0909999999999</v>
      </c>
      <c r="AQ267" s="1042">
        <f t="shared" si="641"/>
        <v>898.50300000000004</v>
      </c>
      <c r="AR267" s="1042">
        <f t="shared" si="641"/>
        <v>1157.8524</v>
      </c>
      <c r="AS267" s="1042">
        <f t="shared" si="641"/>
        <v>1306.2348</v>
      </c>
      <c r="AT267" s="1042">
        <f t="shared" si="641"/>
        <v>1423.7333999999996</v>
      </c>
      <c r="AU267" s="1349">
        <f t="shared" si="641"/>
        <v>4786.3235999999997</v>
      </c>
      <c r="AV267" s="1042">
        <f t="shared" si="642" ref="AV267:AZ267">AV151</f>
        <v>1507.5119999999999</v>
      </c>
      <c r="AW267" s="1042">
        <f t="shared" si="642"/>
        <v>1612.6976000000004</v>
      </c>
      <c r="AX267" s="1042">
        <f t="shared" si="642"/>
        <v>1617.4195</v>
      </c>
      <c r="AY267" s="1042">
        <f t="shared" si="642"/>
        <v>1726.1053999999988</v>
      </c>
      <c r="AZ267" s="1349">
        <f t="shared" si="642"/>
        <v>6463.7344999999996</v>
      </c>
      <c r="BA267" s="1042">
        <f t="shared" si="643" ref="BA267:BR267">BA151</f>
        <v>1794.2042999999999</v>
      </c>
      <c r="BB267" s="1042">
        <f t="shared" si="643"/>
        <v>1875.6651999999999</v>
      </c>
      <c r="BC267" s="1042">
        <f t="shared" si="643"/>
        <v>1969.3202000000001</v>
      </c>
      <c r="BD267" s="1042">
        <f t="shared" si="643"/>
        <v>2139.5833000000002</v>
      </c>
      <c r="BE267" s="1349">
        <f t="shared" si="643"/>
        <v>7778.773000000001</v>
      </c>
      <c r="BF267" s="1042">
        <f>BF151</f>
        <v>1842.6576</v>
      </c>
      <c r="BG267" s="1042">
        <f>BG151</f>
        <v>1828.5919999999994</v>
      </c>
      <c r="BH267" s="1043">
        <f>BH151</f>
        <v>1855.8031000000001</v>
      </c>
      <c r="BI267" s="1047">
        <f t="shared" si="643"/>
        <v>1493.726601273491</v>
      </c>
      <c r="BJ267" s="1351">
        <f t="shared" si="643"/>
        <v>7020.7793012734901</v>
      </c>
      <c r="BK267" s="1047">
        <f t="shared" si="643"/>
        <v>2355.8950799299141</v>
      </c>
      <c r="BL267" s="1047">
        <f t="shared" si="643"/>
        <v>1612.3113235633562</v>
      </c>
      <c r="BM267" s="1047">
        <f t="shared" si="643"/>
        <v>1538.6003870307186</v>
      </c>
      <c r="BN267" s="1047">
        <f t="shared" si="643"/>
        <v>1702.3518315516565</v>
      </c>
      <c r="BO267" s="1351">
        <f t="shared" si="643"/>
        <v>7209.1586220756453</v>
      </c>
      <c r="BP267" s="1351">
        <f t="shared" si="643"/>
        <v>7894.813014034431</v>
      </c>
      <c r="BQ267" s="1351">
        <f t="shared" si="643"/>
        <v>8213.763459801421</v>
      </c>
      <c r="BR267" s="1351">
        <f t="shared" si="643"/>
        <v>8545.5995035774013</v>
      </c>
      <c r="BS267" s="648"/>
    </row>
    <row r="268" spans="1:71" s="665" customFormat="1" ht="15" hidden="1" outlineLevel="1">
      <c r="A268" s="309" t="str">
        <f>A186</f>
        <v>Property Business - Loss &amp; LAE Ratio excluding Catastrophe Losses Incurred, mm</v>
      </c>
      <c r="B268" s="261"/>
      <c r="C268" s="1392">
        <f t="shared" si="644" ref="C268:AH268">C186</f>
        <v>0</v>
      </c>
      <c r="D268" s="1323">
        <f t="shared" si="644"/>
        <v>0</v>
      </c>
      <c r="E268" s="1323">
        <f t="shared" si="644"/>
        <v>0</v>
      </c>
      <c r="F268" s="1323">
        <f t="shared" si="644"/>
        <v>0</v>
      </c>
      <c r="G268" s="1323">
        <f t="shared" si="644"/>
        <v>0</v>
      </c>
      <c r="H268" s="1027">
        <f t="shared" si="644"/>
        <v>0</v>
      </c>
      <c r="I268" s="1027">
        <f t="shared" si="644"/>
        <v>0</v>
      </c>
      <c r="J268" s="1027">
        <f t="shared" si="644"/>
        <v>0</v>
      </c>
      <c r="K268" s="1027">
        <f t="shared" si="644"/>
        <v>0</v>
      </c>
      <c r="L268" s="1323">
        <f t="shared" si="644"/>
        <v>0</v>
      </c>
      <c r="M268" s="1027">
        <f t="shared" si="644"/>
        <v>0</v>
      </c>
      <c r="N268" s="1027">
        <f t="shared" si="644"/>
        <v>80.418600000000012</v>
      </c>
      <c r="O268" s="1027">
        <f t="shared" si="644"/>
        <v>95.773199999999989</v>
      </c>
      <c r="P268" s="1027">
        <f t="shared" si="644"/>
        <v>70.922499999999971</v>
      </c>
      <c r="Q268" s="1323">
        <f t="shared" si="644"/>
        <v>247.11429999999999</v>
      </c>
      <c r="R268" s="1027">
        <f t="shared" si="644"/>
        <v>110.50000000000001</v>
      </c>
      <c r="S268" s="1027">
        <f t="shared" si="644"/>
        <v>81.843900000000019</v>
      </c>
      <c r="T268" s="1027">
        <f t="shared" si="644"/>
        <v>111.47259999999999</v>
      </c>
      <c r="U268" s="1027">
        <f t="shared" si="644"/>
        <v>71.847499999999968</v>
      </c>
      <c r="V268" s="1323">
        <f t="shared" si="644"/>
        <v>375.66400000000004</v>
      </c>
      <c r="W268" s="1027">
        <f t="shared" si="644"/>
        <v>84.418000000000006</v>
      </c>
      <c r="X268" s="1027">
        <f t="shared" si="644"/>
        <v>78.467600000000004</v>
      </c>
      <c r="Y268" s="1027">
        <f t="shared" si="644"/>
        <v>145.53999999999996</v>
      </c>
      <c r="Z268" s="1027">
        <f t="shared" si="644"/>
        <v>92.344799999999992</v>
      </c>
      <c r="AA268" s="1323">
        <f t="shared" si="644"/>
        <v>400.77039999999994</v>
      </c>
      <c r="AB268" s="1027">
        <f t="shared" si="644"/>
        <v>133.40030000000002</v>
      </c>
      <c r="AC268" s="1027">
        <f t="shared" si="644"/>
        <v>168.0076</v>
      </c>
      <c r="AD268" s="1027">
        <f t="shared" si="644"/>
        <v>202.37899999999996</v>
      </c>
      <c r="AE268" s="1027">
        <f t="shared" si="644"/>
        <v>164.8587</v>
      </c>
      <c r="AF268" s="1323">
        <f t="shared" si="644"/>
        <v>668.64560000000006</v>
      </c>
      <c r="AG268" s="1027">
        <f t="shared" si="644"/>
        <v>220.92200000000003</v>
      </c>
      <c r="AH268" s="1027">
        <f t="shared" si="644"/>
        <v>214.29240000000001</v>
      </c>
      <c r="AI268" s="1027">
        <f t="shared" si="645" ref="AI268:AU268">AI186</f>
        <v>250.70059999999998</v>
      </c>
      <c r="AJ268" s="1027">
        <f t="shared" si="645"/>
        <v>206.60259999999985</v>
      </c>
      <c r="AK268" s="1323">
        <f t="shared" si="645"/>
        <v>892.5175999999999</v>
      </c>
      <c r="AL268" s="1027">
        <f t="shared" si="645"/>
        <v>202.88919999999999</v>
      </c>
      <c r="AM268" s="1027">
        <f t="shared" si="645"/>
        <v>258.47799999999989</v>
      </c>
      <c r="AN268" s="1027">
        <f t="shared" si="645"/>
        <v>248.10760000000002</v>
      </c>
      <c r="AO268" s="1027">
        <f t="shared" si="645"/>
        <v>231.6113000000002</v>
      </c>
      <c r="AP268" s="1323">
        <f t="shared" si="645"/>
        <v>941.08610000000022</v>
      </c>
      <c r="AQ268" s="1027">
        <f t="shared" si="645"/>
        <v>256.5525</v>
      </c>
      <c r="AR268" s="1027">
        <f t="shared" si="645"/>
        <v>311.51249999999993</v>
      </c>
      <c r="AS268" s="1027">
        <f t="shared" si="645"/>
        <v>310.58349999999996</v>
      </c>
      <c r="AT268" s="1027">
        <f t="shared" si="645"/>
        <v>252.67150000000004</v>
      </c>
      <c r="AU268" s="1323">
        <f t="shared" si="645"/>
        <v>1131.3200000000002</v>
      </c>
      <c r="AV268" s="1027">
        <f t="shared" si="646" ref="AV268:AZ268">AV186</f>
        <v>294.71859999999998</v>
      </c>
      <c r="AW268" s="1027">
        <f t="shared" si="646"/>
        <v>346.69849999999985</v>
      </c>
      <c r="AX268" s="1027">
        <f t="shared" si="646"/>
        <v>350.29200000000003</v>
      </c>
      <c r="AY268" s="1027">
        <f t="shared" si="646"/>
        <v>318.80090000000007</v>
      </c>
      <c r="AZ268" s="1323">
        <f t="shared" si="646"/>
        <v>1310.5099999999998</v>
      </c>
      <c r="BA268" s="1027">
        <f t="shared" si="647" ref="BA268:BR268">BA186</f>
        <v>306.1198</v>
      </c>
      <c r="BB268" s="1027">
        <f t="shared" si="647"/>
        <v>242.14879999999994</v>
      </c>
      <c r="BC268" s="1027">
        <f t="shared" si="647"/>
        <v>260.69839999999994</v>
      </c>
      <c r="BD268" s="1027">
        <f t="shared" si="647"/>
        <v>307.60739999999987</v>
      </c>
      <c r="BE268" s="1323">
        <f t="shared" si="647"/>
        <v>1116.5744</v>
      </c>
      <c r="BF268" s="1027">
        <f>BF186</f>
        <v>324.49439999999993</v>
      </c>
      <c r="BG268" s="1027">
        <f>BG186</f>
        <v>454.52660000000014</v>
      </c>
      <c r="BH268" s="1028">
        <f>BH186</f>
        <v>313.23479999999995</v>
      </c>
      <c r="BI268" s="1029">
        <f t="shared" si="647"/>
        <v>455.05935703845483</v>
      </c>
      <c r="BJ268" s="1324">
        <f t="shared" si="647"/>
        <v>1547.3151570384548</v>
      </c>
      <c r="BK268" s="1029">
        <f t="shared" si="647"/>
        <v>452.88606974472947</v>
      </c>
      <c r="BL268" s="1029">
        <f t="shared" si="647"/>
        <v>509.56529540937481</v>
      </c>
      <c r="BM268" s="1029">
        <f t="shared" si="647"/>
        <v>474.50386611039693</v>
      </c>
      <c r="BN268" s="1029">
        <f t="shared" si="647"/>
        <v>503.79879987590573</v>
      </c>
      <c r="BO268" s="1324">
        <f t="shared" si="647"/>
        <v>1940.7540311404068</v>
      </c>
      <c r="BP268" s="1324">
        <f t="shared" si="647"/>
        <v>2125.3368090929339</v>
      </c>
      <c r="BQ268" s="1324">
        <f t="shared" si="647"/>
        <v>2211.2004161802884</v>
      </c>
      <c r="BR268" s="1324">
        <f t="shared" si="647"/>
        <v>2300.5329129939723</v>
      </c>
      <c r="BS268" s="648"/>
    </row>
    <row r="269" spans="1:71" s="665" customFormat="1" ht="15" hidden="1" outlineLevel="1">
      <c r="A269" s="41" t="s">
        <v>334</v>
      </c>
      <c r="B269" s="1003"/>
      <c r="C269" s="1370">
        <f t="shared" si="648" ref="C269:AU269">C274-C273</f>
        <v>9942.8104000000003</v>
      </c>
      <c r="D269" s="1370">
        <f t="shared" si="648"/>
        <v>10337.181599999998</v>
      </c>
      <c r="E269" s="1370">
        <f t="shared" si="648"/>
        <v>10664.90</v>
      </c>
      <c r="F269" s="1370">
        <f t="shared" si="648"/>
        <v>11646.90</v>
      </c>
      <c r="G269" s="1370">
        <f t="shared" si="648"/>
        <v>12252.20</v>
      </c>
      <c r="H269" s="1066">
        <f t="shared" si="648"/>
        <v>3133.80</v>
      </c>
      <c r="I269" s="1066">
        <f t="shared" si="648"/>
        <v>3146.7999999999997</v>
      </c>
      <c r="J269" s="1066">
        <f t="shared" si="648"/>
        <v>3282.2000000000003</v>
      </c>
      <c r="K269" s="1066">
        <f t="shared" si="648"/>
        <v>3575.3000000000011</v>
      </c>
      <c r="L269" s="1370">
        <f t="shared" si="648"/>
        <v>13138.10</v>
      </c>
      <c r="M269" s="1066">
        <f t="shared" si="648"/>
        <v>3457.10</v>
      </c>
      <c r="N269" s="1066">
        <f t="shared" si="648"/>
        <v>3551.40</v>
      </c>
      <c r="O269" s="1066">
        <f t="shared" si="648"/>
        <v>3708.9000000000005</v>
      </c>
      <c r="P269" s="1066">
        <f t="shared" si="648"/>
        <v>3685.2000000000012</v>
      </c>
      <c r="Q269" s="1370">
        <f t="shared" si="648"/>
        <v>14402.60</v>
      </c>
      <c r="R269" s="1066">
        <f t="shared" si="648"/>
        <v>3750.60</v>
      </c>
      <c r="S269" s="1066">
        <f t="shared" si="648"/>
        <v>4057.30</v>
      </c>
      <c r="T269" s="1066">
        <f t="shared" si="648"/>
        <v>4292</v>
      </c>
      <c r="U269" s="1066">
        <f t="shared" si="648"/>
        <v>4315.4000000000005</v>
      </c>
      <c r="V269" s="1370">
        <f t="shared" si="648"/>
        <v>16415.299999999999</v>
      </c>
      <c r="W269" s="1066">
        <f t="shared" si="648"/>
        <v>4058</v>
      </c>
      <c r="X269" s="1066">
        <f t="shared" si="648"/>
        <v>4416.2999999999993</v>
      </c>
      <c r="Y269" s="1066">
        <f t="shared" si="648"/>
        <v>4656.50</v>
      </c>
      <c r="Z269" s="1066">
        <f t="shared" si="648"/>
        <v>4820.8000000000011</v>
      </c>
      <c r="AA269" s="1370">
        <f t="shared" si="648"/>
        <v>17951.60</v>
      </c>
      <c r="AB269" s="1066">
        <f t="shared" si="648"/>
        <v>4765.8999999999996</v>
      </c>
      <c r="AC269" s="1066">
        <f t="shared" si="648"/>
        <v>5142.9000000000005</v>
      </c>
      <c r="AD269" s="1066">
        <f t="shared" si="648"/>
        <v>5430.40</v>
      </c>
      <c r="AE269" s="1066">
        <f t="shared" si="648"/>
        <v>5687.40</v>
      </c>
      <c r="AF269" s="1370">
        <f t="shared" si="648"/>
        <v>21026.599999999999</v>
      </c>
      <c r="AG269" s="1066">
        <f t="shared" si="648"/>
        <v>5544.50</v>
      </c>
      <c r="AH269" s="1066">
        <f t="shared" si="648"/>
        <v>5859.0000000000009</v>
      </c>
      <c r="AI269" s="1066">
        <f t="shared" si="648"/>
        <v>6262.30</v>
      </c>
      <c r="AJ269" s="1066">
        <f t="shared" si="648"/>
        <v>7020.8999999999978</v>
      </c>
      <c r="AK269" s="1370">
        <f t="shared" si="648"/>
        <v>24686.700000000001</v>
      </c>
      <c r="AL269" s="1066">
        <f t="shared" si="648"/>
        <v>5930.70</v>
      </c>
      <c r="AM269" s="1066">
        <f t="shared" si="648"/>
        <v>4943.5999999999995</v>
      </c>
      <c r="AN269" s="1066">
        <f t="shared" si="648"/>
        <v>6663.70</v>
      </c>
      <c r="AO269" s="1066">
        <f t="shared" si="648"/>
        <v>6510.5000000000027</v>
      </c>
      <c r="AP269" s="1370">
        <f t="shared" si="648"/>
        <v>24048.50</v>
      </c>
      <c r="AQ269" s="1066">
        <f t="shared" si="648"/>
        <v>6774.60</v>
      </c>
      <c r="AR269" s="1066">
        <f t="shared" si="648"/>
        <v>7987.40</v>
      </c>
      <c r="AS269" s="1066">
        <f t="shared" si="648"/>
        <v>8841.9000000000015</v>
      </c>
      <c r="AT269" s="1066">
        <f t="shared" si="648"/>
        <v>8716.3000000000011</v>
      </c>
      <c r="AU269" s="1370">
        <f t="shared" si="648"/>
        <v>32320.199999999997</v>
      </c>
      <c r="AV269" s="1066">
        <f t="shared" si="649" ref="AV269:BA269">AV274-AV273</f>
        <v>8521</v>
      </c>
      <c r="AW269" s="1066">
        <f t="shared" si="649"/>
        <v>9134.0000000000018</v>
      </c>
      <c r="AX269" s="1066">
        <f t="shared" si="649"/>
        <v>9188.10</v>
      </c>
      <c r="AY269" s="1066">
        <f t="shared" si="649"/>
        <v>9724.6999999999971</v>
      </c>
      <c r="AZ269" s="1370">
        <f t="shared" si="649"/>
        <v>36567.799999999996</v>
      </c>
      <c r="BA269" s="1066">
        <f t="shared" si="649"/>
        <v>10382.800000000001</v>
      </c>
      <c r="BB269" s="1066">
        <f t="shared" si="650" ref="BB269:BG269">BB274-BB273</f>
        <v>11352.399999999998</v>
      </c>
      <c r="BC269" s="1066">
        <f t="shared" si="650"/>
        <v>11050.10</v>
      </c>
      <c r="BD269" s="1066">
        <f t="shared" si="650"/>
        <v>11529.399999999998</v>
      </c>
      <c r="BE269" s="1370">
        <f t="shared" si="650"/>
        <v>44314.699999999997</v>
      </c>
      <c r="BF269" s="1066">
        <f t="shared" si="650"/>
        <v>10688.40</v>
      </c>
      <c r="BG269" s="1066">
        <f t="shared" si="650"/>
        <v>11381.200000000003</v>
      </c>
      <c r="BH269" s="1067">
        <f>BH274-BH273</f>
        <v>11890.999999999993</v>
      </c>
      <c r="BI269" s="1068">
        <f t="shared" si="651" ref="BI269:BR269">BI266+BI267+BI268</f>
        <v>13095.686309836667</v>
      </c>
      <c r="BJ269" s="1371">
        <f>SUM(BF269,BG269,BH269,BI269)</f>
        <v>47056.286309836658</v>
      </c>
      <c r="BK269" s="1068">
        <f t="shared" si="651"/>
        <v>15540.208319046609</v>
      </c>
      <c r="BL269" s="1068">
        <f t="shared" si="651"/>
        <v>14189.538324347779</v>
      </c>
      <c r="BM269" s="1068">
        <f t="shared" si="651"/>
        <v>14900.57020654912</v>
      </c>
      <c r="BN269" s="1068">
        <f t="shared" si="651"/>
        <v>14339.355673968441</v>
      </c>
      <c r="BO269" s="1371">
        <f t="shared" si="651"/>
        <v>58969.672523911955</v>
      </c>
      <c r="BP269" s="1372">
        <f t="shared" si="651"/>
        <v>63618.129052774879</v>
      </c>
      <c r="BQ269" s="1372">
        <f t="shared" si="651"/>
        <v>66188.301466506979</v>
      </c>
      <c r="BR269" s="1371">
        <f t="shared" si="651"/>
        <v>68862.308845753869</v>
      </c>
      <c r="BS269" s="648"/>
    </row>
    <row r="270" spans="1:71" s="665" customFormat="1" ht="15" hidden="1" outlineLevel="1">
      <c r="A270" s="524" t="s">
        <v>580</v>
      </c>
      <c r="B270" s="308"/>
      <c r="C270" s="1351"/>
      <c r="D270" s="1351"/>
      <c r="E270" s="1351"/>
      <c r="F270" s="1351"/>
      <c r="G270" s="1351"/>
      <c r="H270" s="1047"/>
      <c r="I270" s="1047"/>
      <c r="J270" s="1047"/>
      <c r="K270" s="1047"/>
      <c r="L270" s="1351"/>
      <c r="M270" s="1047"/>
      <c r="N270" s="1047"/>
      <c r="O270" s="1047"/>
      <c r="P270" s="1047"/>
      <c r="Q270" s="1351"/>
      <c r="R270" s="1047"/>
      <c r="S270" s="1047"/>
      <c r="T270" s="1047"/>
      <c r="U270" s="1047"/>
      <c r="V270" s="1351"/>
      <c r="W270" s="1047"/>
      <c r="X270" s="1047"/>
      <c r="Y270" s="1047"/>
      <c r="Z270" s="1047"/>
      <c r="AA270" s="1351"/>
      <c r="AB270" s="1047"/>
      <c r="AC270" s="1047"/>
      <c r="AD270" s="1047"/>
      <c r="AE270" s="1047"/>
      <c r="AF270" s="1351"/>
      <c r="AG270" s="1225">
        <v>44.80</v>
      </c>
      <c r="AH270" s="1225">
        <v>125</v>
      </c>
      <c r="AI270" s="1225">
        <v>122</v>
      </c>
      <c r="AJ270" s="1047">
        <f>AK270-SUM(AG270,AH270,AI270)</f>
        <v>31.599999999999966</v>
      </c>
      <c r="AK270" s="1364">
        <v>323.39999999999998</v>
      </c>
      <c r="AL270" s="1225">
        <v>37.200000000000003</v>
      </c>
      <c r="AM270" s="1225">
        <v>164.70</v>
      </c>
      <c r="AN270" s="1225">
        <v>163.09999999999999</v>
      </c>
      <c r="AO270" s="1047">
        <f>AP270-SUM(AL270,AM270,AN270)</f>
        <v>74.399999999999977</v>
      </c>
      <c r="AP270" s="1364">
        <v>439.40</v>
      </c>
      <c r="AQ270" s="1225">
        <v>65.099999999999994</v>
      </c>
      <c r="AR270" s="1225">
        <v>211.80</v>
      </c>
      <c r="AS270" s="1225">
        <v>421.10</v>
      </c>
      <c r="AT270" s="1047">
        <f>AU270-SUM(AQ270,AR270,AS270)</f>
        <v>-46</v>
      </c>
      <c r="AU270" s="1364">
        <v>652</v>
      </c>
      <c r="AV270" s="1225">
        <v>44.50</v>
      </c>
      <c r="AW270" s="1225">
        <v>285.20</v>
      </c>
      <c r="AX270" s="1225">
        <v>671.50</v>
      </c>
      <c r="AY270" s="1047">
        <f>AZ270-SUM(AV270,AW270,AX270)</f>
        <v>44.399999999999864</v>
      </c>
      <c r="AZ270" s="1364">
        <v>1045.5999999999999</v>
      </c>
      <c r="BA270" s="1225">
        <v>92.10</v>
      </c>
      <c r="BB270" s="1225">
        <v>590.70000000000005</v>
      </c>
      <c r="BC270" s="1225">
        <v>347.50</v>
      </c>
      <c r="BD270" s="1042">
        <f>BE270-SUM(BA270,BB270,BC270)</f>
        <v>63.099999999999909</v>
      </c>
      <c r="BE270" s="1364">
        <v>1093.4000000000001</v>
      </c>
      <c r="BF270" s="1225">
        <v>200.20</v>
      </c>
      <c r="BG270" s="1225">
        <v>686.80</v>
      </c>
      <c r="BH270" s="1226">
        <v>641.40</v>
      </c>
      <c r="BI270" s="1068">
        <f t="shared" si="652" ref="BI270:BR270">BI117</f>
        <v>293.33948293486111</v>
      </c>
      <c r="BJ270" s="1371">
        <f t="shared" si="652"/>
        <v>1821.7394829348611</v>
      </c>
      <c r="BK270" s="1068">
        <f t="shared" si="652"/>
        <v>346.43339236386305</v>
      </c>
      <c r="BL270" s="1068">
        <f t="shared" si="652"/>
        <v>330.62086864041231</v>
      </c>
      <c r="BM270" s="1068">
        <f t="shared" si="652"/>
        <v>360.48855813728687</v>
      </c>
      <c r="BN270" s="1068">
        <f t="shared" si="652"/>
        <v>330.15523925281303</v>
      </c>
      <c r="BO270" s="1371">
        <f t="shared" si="652"/>
        <v>1367.6980583943753</v>
      </c>
      <c r="BP270" s="1372">
        <f t="shared" si="652"/>
        <v>1458.4484144121773</v>
      </c>
      <c r="BQ270" s="1372">
        <f t="shared" si="652"/>
        <v>1517.3697303544293</v>
      </c>
      <c r="BR270" s="1371">
        <f t="shared" si="652"/>
        <v>1578.6714674607481</v>
      </c>
      <c r="BS270" s="648"/>
    </row>
    <row r="271" spans="1:71" s="665" customFormat="1" ht="15" hidden="1" outlineLevel="1">
      <c r="A271" s="524" t="s">
        <v>582</v>
      </c>
      <c r="B271" s="720"/>
      <c r="C271" s="1372"/>
      <c r="D271" s="1372"/>
      <c r="E271" s="1372"/>
      <c r="F271" s="1372"/>
      <c r="G271" s="1372"/>
      <c r="H271" s="1088"/>
      <c r="I271" s="1088"/>
      <c r="J271" s="1088"/>
      <c r="K271" s="1088"/>
      <c r="L271" s="1372"/>
      <c r="M271" s="1088"/>
      <c r="N271" s="1088"/>
      <c r="O271" s="1088"/>
      <c r="P271" s="1088"/>
      <c r="Q271" s="1372"/>
      <c r="R271" s="1088"/>
      <c r="S271" s="1088"/>
      <c r="T271" s="1088"/>
      <c r="U271" s="1088"/>
      <c r="V271" s="1372"/>
      <c r="W271" s="1088"/>
      <c r="X271" s="1088"/>
      <c r="Y271" s="1088"/>
      <c r="Z271" s="1088"/>
      <c r="AA271" s="1372"/>
      <c r="AB271" s="1088"/>
      <c r="AC271" s="1088"/>
      <c r="AD271" s="1088"/>
      <c r="AE271" s="1088"/>
      <c r="AF271" s="1372"/>
      <c r="AG271" s="1225">
        <v>1.50</v>
      </c>
      <c r="AH271" s="1225">
        <v>4.80</v>
      </c>
      <c r="AI271" s="1225">
        <v>3.40</v>
      </c>
      <c r="AJ271" s="1047">
        <f>AK271-SUM(AG271,AH271,AI271)</f>
        <v>3.9000000000000004</v>
      </c>
      <c r="AK271" s="1364">
        <v>13.60</v>
      </c>
      <c r="AL271" s="1225">
        <v>1.30</v>
      </c>
      <c r="AM271" s="1225">
        <v>6.30</v>
      </c>
      <c r="AN271" s="1225">
        <v>3.40</v>
      </c>
      <c r="AO271" s="1047">
        <f>AP271-SUM(AL271,AM271,AN271)</f>
        <v>3.8000000000000007</v>
      </c>
      <c r="AP271" s="1364">
        <v>14.80</v>
      </c>
      <c r="AQ271" s="1225">
        <v>1.80</v>
      </c>
      <c r="AR271" s="1225">
        <v>6.60</v>
      </c>
      <c r="AS271" s="1225">
        <v>11.70</v>
      </c>
      <c r="AT271" s="1047">
        <f>AU271-SUM(AQ271,AR271,AS271)</f>
        <v>6.5999999999999979</v>
      </c>
      <c r="AU271" s="1364">
        <v>26.70</v>
      </c>
      <c r="AV271" s="1225">
        <v>2.80</v>
      </c>
      <c r="AW271" s="1225">
        <v>9.60</v>
      </c>
      <c r="AX271" s="1225">
        <v>16.70</v>
      </c>
      <c r="AY271" s="1047">
        <f>AZ271-SUM(AV271,AW271,AX271)</f>
        <v>5.3000000000000007</v>
      </c>
      <c r="AZ271" s="1364">
        <v>34.40</v>
      </c>
      <c r="BA271" s="1225">
        <v>3.50</v>
      </c>
      <c r="BB271" s="1225">
        <v>18.90</v>
      </c>
      <c r="BC271" s="1225">
        <v>12.50</v>
      </c>
      <c r="BD271" s="1042">
        <f>BE271-SUM(BA271,BB271,BC271)</f>
        <v>6.3000000000000043</v>
      </c>
      <c r="BE271" s="1364">
        <v>41.20</v>
      </c>
      <c r="BF271" s="1225">
        <v>8.90</v>
      </c>
      <c r="BG271" s="1225">
        <v>25.90</v>
      </c>
      <c r="BH271" s="1226">
        <v>33.799999999999997</v>
      </c>
      <c r="BI271" s="1068">
        <f t="shared" si="653" ref="BI271:BR271">BI152</f>
        <v>10.66947572338208</v>
      </c>
      <c r="BJ271" s="1371">
        <f t="shared" si="653"/>
        <v>79.269475723382072</v>
      </c>
      <c r="BK271" s="1068">
        <f t="shared" si="653"/>
        <v>16.827821999499388</v>
      </c>
      <c r="BL271" s="1068">
        <f t="shared" si="653"/>
        <v>11.516509454023973</v>
      </c>
      <c r="BM271" s="1068">
        <f t="shared" si="653"/>
        <v>10.990002764505133</v>
      </c>
      <c r="BN271" s="1068">
        <f t="shared" si="653"/>
        <v>12.159655939654691</v>
      </c>
      <c r="BO271" s="1371">
        <f t="shared" si="653"/>
        <v>51.493990157683186</v>
      </c>
      <c r="BP271" s="1372">
        <f t="shared" si="653"/>
        <v>56.391521528817364</v>
      </c>
      <c r="BQ271" s="1372">
        <f t="shared" si="653"/>
        <v>58.669738998581579</v>
      </c>
      <c r="BR271" s="1371">
        <f t="shared" si="653"/>
        <v>61.039996454124292</v>
      </c>
      <c r="BS271" s="648"/>
    </row>
    <row r="272" spans="1:71" s="665" customFormat="1" ht="15" hidden="1" outlineLevel="1">
      <c r="A272" s="309" t="s">
        <v>584</v>
      </c>
      <c r="B272" s="260"/>
      <c r="C272" s="1324"/>
      <c r="D272" s="1324"/>
      <c r="E272" s="1324"/>
      <c r="F272" s="1324"/>
      <c r="G272" s="1324"/>
      <c r="H272" s="1029"/>
      <c r="I272" s="1029"/>
      <c r="J272" s="1029"/>
      <c r="K272" s="1029"/>
      <c r="L272" s="1324"/>
      <c r="M272" s="1029"/>
      <c r="N272" s="1228">
        <v>54.30</v>
      </c>
      <c r="O272" s="1228">
        <v>25.50</v>
      </c>
      <c r="P272" s="1029">
        <f>Q272-SUM(M272,N272,O272)</f>
        <v>22.100000000000009</v>
      </c>
      <c r="Q272" s="1365">
        <v>101.90000000000001</v>
      </c>
      <c r="R272" s="1228">
        <v>45.30</v>
      </c>
      <c r="S272" s="1228">
        <v>68.099999999999994</v>
      </c>
      <c r="T272" s="1228">
        <v>33.799999999999997</v>
      </c>
      <c r="U272" s="1029">
        <f>V272-SUM(R272,S272,T272)</f>
        <v>23.50</v>
      </c>
      <c r="V272" s="1365">
        <v>170.70</v>
      </c>
      <c r="W272" s="1228">
        <v>49.60</v>
      </c>
      <c r="X272" s="1228">
        <v>73.599999999999994</v>
      </c>
      <c r="Y272" s="1228">
        <v>96.90</v>
      </c>
      <c r="Z272" s="1029">
        <f>AA272-SUM(W272,X272,Y272)</f>
        <v>79.200000000000017</v>
      </c>
      <c r="AA272" s="1365">
        <v>299.30</v>
      </c>
      <c r="AB272" s="1228">
        <v>23.80</v>
      </c>
      <c r="AC272" s="1228">
        <v>81.599999999999994</v>
      </c>
      <c r="AD272" s="1228">
        <v>31.80</v>
      </c>
      <c r="AE272" s="1029">
        <f>AF272-SUM(AB272,AC272,AD272)</f>
        <v>131.60000000000002</v>
      </c>
      <c r="AF272" s="1365">
        <v>268.80</v>
      </c>
      <c r="AG272" s="1228">
        <v>25.60</v>
      </c>
      <c r="AH272" s="1228">
        <v>81.900000000000006</v>
      </c>
      <c r="AI272" s="1228">
        <v>33.40</v>
      </c>
      <c r="AJ272" s="1029">
        <f>AK272-SUM(AG272,AH272,AI272)</f>
        <v>73.599999999999994</v>
      </c>
      <c r="AK272" s="1365">
        <v>214.50</v>
      </c>
      <c r="AL272" s="1228">
        <v>41.90</v>
      </c>
      <c r="AM272" s="1228">
        <v>234.80</v>
      </c>
      <c r="AN272" s="1228">
        <v>115.09999999999999</v>
      </c>
      <c r="AO272" s="1029">
        <f>AP272-SUM(AL272,AM272,AN272)</f>
        <v>32.000000000000057</v>
      </c>
      <c r="AP272" s="1365">
        <v>423.80</v>
      </c>
      <c r="AQ272" s="1228">
        <v>144.59999999999999</v>
      </c>
      <c r="AR272" s="1228">
        <v>128</v>
      </c>
      <c r="AS272" s="1228">
        <v>289.10000000000002</v>
      </c>
      <c r="AT272" s="1029">
        <f>AU272-SUM(AQ272,AR272,AS272)</f>
        <v>71.699999999999932</v>
      </c>
      <c r="AU272" s="1365">
        <v>633.40</v>
      </c>
      <c r="AV272" s="1228">
        <v>99.30</v>
      </c>
      <c r="AW272" s="1228">
        <v>233.50</v>
      </c>
      <c r="AX272" s="1228">
        <v>195</v>
      </c>
      <c r="AY272" s="1029">
        <f>AZ272-SUM(AV272,AW272,AX272)</f>
        <v>52.600000000000023</v>
      </c>
      <c r="AZ272" s="1365">
        <v>580.40</v>
      </c>
      <c r="BA272" s="1228">
        <v>145.30000000000001</v>
      </c>
      <c r="BB272" s="1228">
        <v>415</v>
      </c>
      <c r="BC272" s="1228">
        <v>110.80</v>
      </c>
      <c r="BD272" s="1027">
        <f>BE272-SUM(BA272,BB272,BC272)</f>
        <v>-11.899999999999864</v>
      </c>
      <c r="BE272" s="1365">
        <v>659.20</v>
      </c>
      <c r="BF272" s="1228">
        <v>137.40000000000001</v>
      </c>
      <c r="BG272" s="1228">
        <v>556.60</v>
      </c>
      <c r="BH272" s="1229">
        <v>57</v>
      </c>
      <c r="BI272" s="1029">
        <f t="shared" si="654" ref="BI272:BR272">BI187</f>
        <v>75.84322617307582</v>
      </c>
      <c r="BJ272" s="1324">
        <f t="shared" si="654"/>
        <v>826.84322617307578</v>
      </c>
      <c r="BK272" s="1029">
        <f t="shared" si="654"/>
        <v>75.481011624121592</v>
      </c>
      <c r="BL272" s="1029">
        <f t="shared" si="654"/>
        <v>382.17397155703117</v>
      </c>
      <c r="BM272" s="1029">
        <f t="shared" si="654"/>
        <v>158.16795537013232</v>
      </c>
      <c r="BN272" s="1029">
        <f t="shared" si="654"/>
        <v>83.966466645984298</v>
      </c>
      <c r="BO272" s="1324">
        <f t="shared" si="654"/>
        <v>699.78940519726939</v>
      </c>
      <c r="BP272" s="1324">
        <f t="shared" si="654"/>
        <v>354.22280151548898</v>
      </c>
      <c r="BQ272" s="1324">
        <f t="shared" si="654"/>
        <v>368.5334026967148</v>
      </c>
      <c r="BR272" s="1324">
        <f t="shared" si="654"/>
        <v>383.42215216566211</v>
      </c>
      <c r="BS272" s="648"/>
    </row>
    <row r="273" spans="1:71" s="665" customFormat="1" ht="15" hidden="1" outlineLevel="1">
      <c r="A273" s="41" t="s">
        <v>333</v>
      </c>
      <c r="B273" s="1004"/>
      <c r="C273" s="1375">
        <f>C236*C254</f>
        <v>98.089600000000004</v>
      </c>
      <c r="D273" s="1375">
        <f>D236*D254</f>
        <v>114.51840000000001</v>
      </c>
      <c r="E273" s="1374">
        <v>211.90</v>
      </c>
      <c r="F273" s="1374">
        <v>279.10000000000002</v>
      </c>
      <c r="G273" s="1374">
        <v>175.10</v>
      </c>
      <c r="H273" s="1235">
        <v>9.1999999999999993</v>
      </c>
      <c r="I273" s="1235">
        <v>129.80000000000001</v>
      </c>
      <c r="J273" s="1235">
        <v>32.40</v>
      </c>
      <c r="K273" s="1072">
        <f>L273-SUM(H273,I273,J273)</f>
        <v>20.799999999999983</v>
      </c>
      <c r="L273" s="1374">
        <v>192.20</v>
      </c>
      <c r="M273" s="1235">
        <v>9.40</v>
      </c>
      <c r="N273" s="1235">
        <v>154.59999999999999</v>
      </c>
      <c r="O273" s="1235">
        <v>37.700000000000003</v>
      </c>
      <c r="P273" s="1072">
        <f>Q273-SUM(M273,N273,O273)</f>
        <v>52.800000000000011</v>
      </c>
      <c r="Q273" s="1374">
        <v>254.50</v>
      </c>
      <c r="R273" s="1235">
        <v>102.40000000000001</v>
      </c>
      <c r="S273" s="1235">
        <v>216.50</v>
      </c>
      <c r="T273" s="1235">
        <v>158.69999999999999</v>
      </c>
      <c r="U273" s="1072">
        <f>V273-SUM(R273,S273,T273)</f>
        <v>74.199999999999989</v>
      </c>
      <c r="V273" s="1374">
        <v>551.79999999999995</v>
      </c>
      <c r="W273" s="1235">
        <v>94.20</v>
      </c>
      <c r="X273" s="1235">
        <v>235.60</v>
      </c>
      <c r="Y273" s="1235">
        <v>431.10</v>
      </c>
      <c r="Z273" s="1072">
        <f>AA273-SUM(W273,X273,Y273)</f>
        <v>69.599999999999909</v>
      </c>
      <c r="AA273" s="1374">
        <v>830.50</v>
      </c>
      <c r="AB273" s="1235">
        <v>49.30</v>
      </c>
      <c r="AC273" s="1235">
        <v>206.50</v>
      </c>
      <c r="AD273" s="1235">
        <v>127.20</v>
      </c>
      <c r="AE273" s="1072">
        <f>AF273-SUM(AB273,AC273,AD273)</f>
        <v>222.89999999999998</v>
      </c>
      <c r="AF273" s="1374">
        <v>605.90</v>
      </c>
      <c r="AG273" s="1235">
        <v>71.900000000000006</v>
      </c>
      <c r="AH273" s="1235">
        <v>211.70</v>
      </c>
      <c r="AI273" s="1235">
        <v>158.80000000000001</v>
      </c>
      <c r="AJ273" s="1072">
        <f>AK273-SUM(AG273,AH273,AI273)</f>
        <v>109.09999999999997</v>
      </c>
      <c r="AK273" s="1374">
        <v>551.50</v>
      </c>
      <c r="AL273" s="1235">
        <v>80.400000000000006</v>
      </c>
      <c r="AM273" s="1235">
        <v>405.80</v>
      </c>
      <c r="AN273" s="1235">
        <v>281.60000000000002</v>
      </c>
      <c r="AO273" s="1072">
        <f>AP273-SUM(AL273,AM273,AN273)</f>
        <v>110.19999999999993</v>
      </c>
      <c r="AP273" s="1374">
        <v>878</v>
      </c>
      <c r="AQ273" s="1072">
        <f t="shared" si="655" ref="AQ273:AU273">SUM(AQ270:AQ272)</f>
        <v>211.50</v>
      </c>
      <c r="AR273" s="1072">
        <f t="shared" si="655"/>
        <v>346.40</v>
      </c>
      <c r="AS273" s="1072">
        <f t="shared" si="655"/>
        <v>721.90000000000009</v>
      </c>
      <c r="AT273" s="1072">
        <f t="shared" si="655"/>
        <v>32.299999999999926</v>
      </c>
      <c r="AU273" s="1375">
        <f t="shared" si="655"/>
        <v>1312.10</v>
      </c>
      <c r="AV273" s="1072">
        <f t="shared" si="656" ref="AV273:BA273">SUM(AV270:AV272)</f>
        <v>146.59999999999999</v>
      </c>
      <c r="AW273" s="1072">
        <f t="shared" si="656"/>
        <v>528.29999999999995</v>
      </c>
      <c r="AX273" s="1072">
        <f t="shared" si="656"/>
        <v>883.20</v>
      </c>
      <c r="AY273" s="1072">
        <f t="shared" si="656"/>
        <v>102.29999999999988</v>
      </c>
      <c r="AZ273" s="1375">
        <f t="shared" si="656"/>
        <v>1660.40</v>
      </c>
      <c r="BA273" s="1072">
        <f t="shared" si="656"/>
        <v>240.90</v>
      </c>
      <c r="BB273" s="1072">
        <f t="shared" si="657" ref="BB273:BG273">SUM(BB270:BB272)</f>
        <v>1024.5999999999999</v>
      </c>
      <c r="BC273" s="1072">
        <f t="shared" si="657"/>
        <v>470.80</v>
      </c>
      <c r="BD273" s="1072">
        <f t="shared" si="657"/>
        <v>57.500000000000057</v>
      </c>
      <c r="BE273" s="1375">
        <f t="shared" si="657"/>
        <v>1793.8000000000002</v>
      </c>
      <c r="BF273" s="1072">
        <f t="shared" si="657"/>
        <v>346.50</v>
      </c>
      <c r="BG273" s="1072">
        <f t="shared" si="657"/>
        <v>1269.30</v>
      </c>
      <c r="BH273" s="1090">
        <f>SUM(BH270:BH272)</f>
        <v>732.20</v>
      </c>
      <c r="BI273" s="1072">
        <f t="shared" si="658" ref="BI273:BR273">BI270+BI271+BI272</f>
        <v>379.85218483131905</v>
      </c>
      <c r="BJ273" s="1375">
        <f t="shared" si="658"/>
        <v>2727.8521848313189</v>
      </c>
      <c r="BK273" s="1072">
        <f t="shared" si="658"/>
        <v>438.74222598748406</v>
      </c>
      <c r="BL273" s="1072">
        <f t="shared" si="658"/>
        <v>724.31134965146748</v>
      </c>
      <c r="BM273" s="1072">
        <f t="shared" si="658"/>
        <v>529.64651627192427</v>
      </c>
      <c r="BN273" s="1072">
        <f t="shared" si="658"/>
        <v>426.28136183845197</v>
      </c>
      <c r="BO273" s="1375">
        <f t="shared" si="658"/>
        <v>2118.9814537493276</v>
      </c>
      <c r="BP273" s="1375">
        <f t="shared" si="658"/>
        <v>1869.0627374564835</v>
      </c>
      <c r="BQ273" s="1375">
        <f t="shared" si="658"/>
        <v>1944.5728720497257</v>
      </c>
      <c r="BR273" s="1375">
        <f t="shared" si="658"/>
        <v>2023.1336160805345</v>
      </c>
      <c r="BS273" s="648"/>
    </row>
    <row r="274" spans="1:71" s="665" customFormat="1" ht="15" hidden="1" outlineLevel="1">
      <c r="A274" s="566" t="s">
        <v>327</v>
      </c>
      <c r="B274" s="1003"/>
      <c r="C274" s="1370">
        <f t="shared" si="659" ref="C274:AM274">C276-C275</f>
        <v>10040.90</v>
      </c>
      <c r="D274" s="1370">
        <f t="shared" si="659"/>
        <v>10451.699999999999</v>
      </c>
      <c r="E274" s="1370">
        <f t="shared" si="659"/>
        <v>10876.80</v>
      </c>
      <c r="F274" s="1370">
        <f t="shared" si="659"/>
        <v>11926</v>
      </c>
      <c r="G274" s="1370">
        <f t="shared" si="659"/>
        <v>12427.299999999999</v>
      </c>
      <c r="H274" s="1066">
        <f t="shared" si="659"/>
        <v>3143</v>
      </c>
      <c r="I274" s="1066">
        <f t="shared" si="659"/>
        <v>3276.60</v>
      </c>
      <c r="J274" s="1066">
        <f t="shared" si="659"/>
        <v>3314.6000000000004</v>
      </c>
      <c r="K274" s="1066">
        <f t="shared" si="659"/>
        <v>3596.1000000000013</v>
      </c>
      <c r="L274" s="1370">
        <f t="shared" si="659"/>
        <v>13330.300000000001</v>
      </c>
      <c r="M274" s="1066">
        <f t="shared" si="659"/>
        <v>3466.50</v>
      </c>
      <c r="N274" s="1066">
        <f t="shared" si="659"/>
        <v>3706</v>
      </c>
      <c r="O274" s="1066">
        <f t="shared" si="659"/>
        <v>3746.6000000000004</v>
      </c>
      <c r="P274" s="1066">
        <f t="shared" si="659"/>
        <v>3738.0000000000014</v>
      </c>
      <c r="Q274" s="1370">
        <f t="shared" si="659"/>
        <v>14657.10</v>
      </c>
      <c r="R274" s="1066">
        <f t="shared" si="659"/>
        <v>3853</v>
      </c>
      <c r="S274" s="1066">
        <f t="shared" si="659"/>
        <v>4273.80</v>
      </c>
      <c r="T274" s="1066">
        <f t="shared" si="659"/>
        <v>4450.70</v>
      </c>
      <c r="U274" s="1066">
        <f t="shared" si="659"/>
        <v>4389.6000000000004</v>
      </c>
      <c r="V274" s="1370">
        <f t="shared" si="659"/>
        <v>16967.099999999999</v>
      </c>
      <c r="W274" s="1066">
        <f t="shared" si="659"/>
        <v>4152.20</v>
      </c>
      <c r="X274" s="1066">
        <f t="shared" si="659"/>
        <v>4651.8999999999996</v>
      </c>
      <c r="Y274" s="1066">
        <f t="shared" si="659"/>
        <v>5087.6000000000004</v>
      </c>
      <c r="Z274" s="1066">
        <f t="shared" si="659"/>
        <v>4890.4000000000005</v>
      </c>
      <c r="AA274" s="1370">
        <f t="shared" si="659"/>
        <v>18782.099999999999</v>
      </c>
      <c r="AB274" s="1066">
        <f t="shared" si="659"/>
        <v>4815.20</v>
      </c>
      <c r="AC274" s="1066">
        <f t="shared" si="659"/>
        <v>5349.40</v>
      </c>
      <c r="AD274" s="1066">
        <f t="shared" si="659"/>
        <v>5557.60</v>
      </c>
      <c r="AE274" s="1066">
        <f t="shared" si="659"/>
        <v>5910.2999999999993</v>
      </c>
      <c r="AF274" s="1370">
        <f t="shared" si="659"/>
        <v>21632.50</v>
      </c>
      <c r="AG274" s="1066">
        <f t="shared" si="659"/>
        <v>5616.40</v>
      </c>
      <c r="AH274" s="1066">
        <f t="shared" si="659"/>
        <v>6070.7000000000007</v>
      </c>
      <c r="AI274" s="1066">
        <f t="shared" si="659"/>
        <v>6421.10</v>
      </c>
      <c r="AJ274" s="1066">
        <f t="shared" si="659"/>
        <v>7129.9999999999982</v>
      </c>
      <c r="AK274" s="1370">
        <f t="shared" si="659"/>
        <v>25238.200000000001</v>
      </c>
      <c r="AL274" s="1066">
        <f t="shared" si="659"/>
        <v>6011.10</v>
      </c>
      <c r="AM274" s="1066">
        <f t="shared" si="659"/>
        <v>5349.40</v>
      </c>
      <c r="AN274" s="1066">
        <f t="shared" si="660" ref="AN274:AT274">AN276-AN275</f>
        <v>6945.30</v>
      </c>
      <c r="AO274" s="1066">
        <f t="shared" si="660"/>
        <v>6620.7000000000025</v>
      </c>
      <c r="AP274" s="1370">
        <f t="shared" si="660"/>
        <v>24926.50</v>
      </c>
      <c r="AQ274" s="1066">
        <f t="shared" si="660"/>
        <v>6986.10</v>
      </c>
      <c r="AR274" s="1066">
        <f t="shared" si="660"/>
        <v>8333.7999999999993</v>
      </c>
      <c r="AS274" s="1066">
        <f t="shared" si="660"/>
        <v>9563.8000000000011</v>
      </c>
      <c r="AT274" s="1066">
        <f t="shared" si="660"/>
        <v>8748.60</v>
      </c>
      <c r="AU274" s="1370">
        <f t="shared" si="661" ref="AU274:AZ274">AU276-AU275</f>
        <v>33632.299999999996</v>
      </c>
      <c r="AV274" s="1066">
        <f t="shared" si="661"/>
        <v>8667.60</v>
      </c>
      <c r="AW274" s="1066">
        <f t="shared" si="661"/>
        <v>9662.3000000000011</v>
      </c>
      <c r="AX274" s="1066">
        <f t="shared" si="661"/>
        <v>10071.300000000001</v>
      </c>
      <c r="AY274" s="1066">
        <f t="shared" si="661"/>
        <v>9826.9999999999964</v>
      </c>
      <c r="AZ274" s="1370">
        <f t="shared" si="661"/>
        <v>38228.199999999997</v>
      </c>
      <c r="BA274" s="1066">
        <f t="shared" si="662" ref="BA274:BF274">BA276-BA275</f>
        <v>10623.700000000001</v>
      </c>
      <c r="BB274" s="1066">
        <f t="shared" si="662"/>
        <v>12376.999999999998</v>
      </c>
      <c r="BC274" s="1066">
        <f t="shared" si="662"/>
        <v>11520.90</v>
      </c>
      <c r="BD274" s="1066">
        <f t="shared" si="662"/>
        <v>11586.899999999998</v>
      </c>
      <c r="BE274" s="1370">
        <f t="shared" si="662"/>
        <v>46108.50</v>
      </c>
      <c r="BF274" s="1066">
        <f t="shared" si="662"/>
        <v>11034.90</v>
      </c>
      <c r="BG274" s="1066">
        <f>BG276-BG275</f>
        <v>12650.500000000002</v>
      </c>
      <c r="BH274" s="1067">
        <f>BH276-BH275</f>
        <v>12623.199999999993</v>
      </c>
      <c r="BI274" s="1068">
        <f t="shared" si="663" ref="BI274:BR274">SUM(BI269,BI273)</f>
        <v>13475.538494667986</v>
      </c>
      <c r="BJ274" s="1371">
        <f t="shared" si="663"/>
        <v>49784.138494667975</v>
      </c>
      <c r="BK274" s="1068">
        <f t="shared" si="663"/>
        <v>15978.950545034093</v>
      </c>
      <c r="BL274" s="1068">
        <f t="shared" si="663"/>
        <v>14913.849673999246</v>
      </c>
      <c r="BM274" s="1068">
        <f t="shared" si="663"/>
        <v>15430.216722821046</v>
      </c>
      <c r="BN274" s="1068">
        <f t="shared" si="663"/>
        <v>14765.637035806893</v>
      </c>
      <c r="BO274" s="1371">
        <f t="shared" si="663"/>
        <v>61088.653977661284</v>
      </c>
      <c r="BP274" s="1372">
        <f t="shared" si="663"/>
        <v>65487.191790231365</v>
      </c>
      <c r="BQ274" s="1372">
        <f t="shared" si="663"/>
        <v>68132.874338556707</v>
      </c>
      <c r="BR274" s="1371">
        <f t="shared" si="663"/>
        <v>70885.442461834406</v>
      </c>
      <c r="BS274" s="648"/>
    </row>
    <row r="275" spans="1:71" s="665" customFormat="1" ht="15" hidden="1" outlineLevel="1">
      <c r="A275" s="1000" t="s">
        <v>328</v>
      </c>
      <c r="B275" s="1004"/>
      <c r="C275" s="1374">
        <v>-136</v>
      </c>
      <c r="D275" s="1374">
        <v>-320.39999999999998</v>
      </c>
      <c r="E275" s="1374">
        <v>-242</v>
      </c>
      <c r="F275" s="1374">
        <v>22</v>
      </c>
      <c r="G275" s="1374">
        <v>45.10</v>
      </c>
      <c r="H275" s="1235">
        <v>62.90</v>
      </c>
      <c r="I275" s="1235">
        <v>-7.50</v>
      </c>
      <c r="J275" s="1235">
        <v>-22.80</v>
      </c>
      <c r="K275" s="1073">
        <f>L275-SUM(H275,I275,J275)</f>
        <v>-56.70</v>
      </c>
      <c r="L275" s="1374">
        <v>-24.10</v>
      </c>
      <c r="M275" s="1235">
        <v>-97.90</v>
      </c>
      <c r="N275" s="1235">
        <v>-88.80</v>
      </c>
      <c r="O275" s="1235">
        <v>-92.30</v>
      </c>
      <c r="P275" s="1073">
        <f>Q275-SUM(M275,N275,O275)</f>
        <v>-36.100000000000023</v>
      </c>
      <c r="Q275" s="1374">
        <v>-315.10000000000002</v>
      </c>
      <c r="R275" s="1235">
        <v>60.40</v>
      </c>
      <c r="S275" s="1235">
        <v>-30.80</v>
      </c>
      <c r="T275" s="1235">
        <v>-52.50</v>
      </c>
      <c r="U275" s="1073">
        <f>V275-SUM(R275,S275,T275)</f>
        <v>-64.599999999999994</v>
      </c>
      <c r="V275" s="1374">
        <v>-87.50</v>
      </c>
      <c r="W275" s="1235">
        <v>111.20</v>
      </c>
      <c r="X275" s="1235">
        <v>-37</v>
      </c>
      <c r="Y275" s="1235">
        <v>-37.10</v>
      </c>
      <c r="Z275" s="1073">
        <f>AA275-SUM(W275,X275,Y275)</f>
        <v>-11.200000000000003</v>
      </c>
      <c r="AA275" s="1374">
        <v>25.90</v>
      </c>
      <c r="AB275" s="1235">
        <v>55.60</v>
      </c>
      <c r="AC275" s="1235">
        <v>25.90</v>
      </c>
      <c r="AD275" s="1235">
        <v>-34.50</v>
      </c>
      <c r="AE275" s="1073">
        <f>AF275-SUM(AB275,AC275,AD275)</f>
        <v>41.50</v>
      </c>
      <c r="AF275" s="1374">
        <v>88.50</v>
      </c>
      <c r="AG275" s="1235">
        <v>142.59999999999999</v>
      </c>
      <c r="AH275" s="1235">
        <v>67.400000000000006</v>
      </c>
      <c r="AI275" s="1235">
        <v>5.20</v>
      </c>
      <c r="AJ275" s="1073">
        <f>AK275-SUM(AG275,AH275,AI275)</f>
        <v>17.100000000000023</v>
      </c>
      <c r="AK275" s="1374">
        <v>232.30</v>
      </c>
      <c r="AL275" s="1235">
        <v>144.09999999999999</v>
      </c>
      <c r="AM275" s="1235">
        <v>-28</v>
      </c>
      <c r="AN275" s="1073">
        <f>-116.1-AL275-AM275</f>
        <v>-232.20</v>
      </c>
      <c r="AO275" s="1073">
        <f>AP275-SUM(AL275,AM275,AN275)</f>
        <v>311.39999999999998</v>
      </c>
      <c r="AP275" s="1374">
        <v>195.30</v>
      </c>
      <c r="AQ275" s="1235">
        <v>124.40000000000001</v>
      </c>
      <c r="AR275" s="1073">
        <f>197-AQ275</f>
        <v>72.599999999999994</v>
      </c>
      <c r="AS275" s="1073">
        <f>-116.1-AQ275-AR275</f>
        <v>-313.10000000000002</v>
      </c>
      <c r="AT275" s="1073">
        <f>AU275-SUM(AQ275,AR275,AS275)</f>
        <v>111.40000000000002</v>
      </c>
      <c r="AU275" s="1374">
        <v>-4.70</v>
      </c>
      <c r="AV275" s="1235">
        <v>190.80</v>
      </c>
      <c r="AW275" s="1073">
        <f>-50.4-AV275</f>
        <v>-241.20000000000002</v>
      </c>
      <c r="AX275" s="1073">
        <f>-103-AV275-AW275</f>
        <v>-52.599999999999994</v>
      </c>
      <c r="AY275" s="1073">
        <f>AZ275-SUM(AV275,AW275,AX275)</f>
        <v>-2.50</v>
      </c>
      <c r="AZ275" s="1374">
        <v>-105.50</v>
      </c>
      <c r="BA275" s="1235">
        <v>0.30</v>
      </c>
      <c r="BB275" s="1235">
        <v>-206.90</v>
      </c>
      <c r="BC275" s="1235">
        <v>-133</v>
      </c>
      <c r="BD275" s="1073">
        <f>BE275-SUM(BA275,BB275,BC275)</f>
        <v>-114.29999999999995</v>
      </c>
      <c r="BE275" s="1374">
        <v>-453.90</v>
      </c>
      <c r="BF275" s="1235">
        <v>-63.30</v>
      </c>
      <c r="BG275" s="1235">
        <v>-55.20</v>
      </c>
      <c r="BH275" s="1236">
        <v>-112.90000000000001</v>
      </c>
      <c r="BI275" s="1072">
        <f>BI$236*BI256</f>
        <v>87.796507765751144</v>
      </c>
      <c r="BJ275" s="1375">
        <f>SUM(BF275,BG275,BH275,BI275)</f>
        <v>-143.60349223424885</v>
      </c>
      <c r="BK275" s="1072">
        <f>BK$236*BK256</f>
        <v>107.21022067167124</v>
      </c>
      <c r="BL275" s="1072">
        <f>BL$236*BL256</f>
        <v>98.418104075871852</v>
      </c>
      <c r="BM275" s="1072">
        <f>BM$236*BM256</f>
        <v>105.06634118308017</v>
      </c>
      <c r="BN275" s="1072">
        <f>BN$236*BN256</f>
        <v>98.896789085157181</v>
      </c>
      <c r="BO275" s="1375">
        <f>SUM(BK275,BL275,BM275,BN275)</f>
        <v>409.59145501578047</v>
      </c>
      <c r="BP275" s="1375">
        <f>BP$236*BP256</f>
        <v>438.71476520763616</v>
      </c>
      <c r="BQ275" s="1375">
        <f>BQ$236*BQ256</f>
        <v>456.43884172202468</v>
      </c>
      <c r="BR275" s="1375">
        <f>BR$236*BR256</f>
        <v>474.87897092759442</v>
      </c>
      <c r="BS275" s="648"/>
    </row>
    <row r="276" spans="1:71" s="668" customFormat="1" ht="15" hidden="1" outlineLevel="1">
      <c r="A276" s="44" t="s">
        <v>15</v>
      </c>
      <c r="B276" s="1005"/>
      <c r="C276" s="1348">
        <f t="shared" si="664" ref="C276:AU276">C583</f>
        <v>9904.90</v>
      </c>
      <c r="D276" s="1348">
        <f t="shared" si="664"/>
        <v>10131.299999999999</v>
      </c>
      <c r="E276" s="1348">
        <f t="shared" si="664"/>
        <v>10634.80</v>
      </c>
      <c r="F276" s="1348">
        <f t="shared" si="664"/>
        <v>11948</v>
      </c>
      <c r="G276" s="1348">
        <f t="shared" si="664"/>
        <v>12472.40</v>
      </c>
      <c r="H276" s="1039">
        <f t="shared" si="664"/>
        <v>3205.90</v>
      </c>
      <c r="I276" s="1039">
        <f t="shared" si="664"/>
        <v>3269.10</v>
      </c>
      <c r="J276" s="1039">
        <f t="shared" si="664"/>
        <v>3291.80</v>
      </c>
      <c r="K276" s="1039">
        <f t="shared" si="664"/>
        <v>3539.4000000000015</v>
      </c>
      <c r="L276" s="1348">
        <f t="shared" si="664"/>
        <v>13306.20</v>
      </c>
      <c r="M276" s="1039">
        <f t="shared" si="664"/>
        <v>3368.60</v>
      </c>
      <c r="N276" s="1039">
        <f t="shared" si="664"/>
        <v>3617.20</v>
      </c>
      <c r="O276" s="1039">
        <f t="shared" si="664"/>
        <v>3654.30</v>
      </c>
      <c r="P276" s="1039">
        <f t="shared" si="664"/>
        <v>3701.9000000000015</v>
      </c>
      <c r="Q276" s="1348">
        <f t="shared" si="664"/>
        <v>14342</v>
      </c>
      <c r="R276" s="1039">
        <f t="shared" si="664"/>
        <v>3913.40</v>
      </c>
      <c r="S276" s="1039">
        <f t="shared" si="664"/>
        <v>4243</v>
      </c>
      <c r="T276" s="1039">
        <f t="shared" si="664"/>
        <v>4398.20</v>
      </c>
      <c r="U276" s="1039">
        <f t="shared" si="664"/>
        <v>4325</v>
      </c>
      <c r="V276" s="1348">
        <f t="shared" si="664"/>
        <v>16879.60</v>
      </c>
      <c r="W276" s="1039">
        <f t="shared" si="664"/>
        <v>4263.3999999999996</v>
      </c>
      <c r="X276" s="1039">
        <f t="shared" si="664"/>
        <v>4614.8999999999996</v>
      </c>
      <c r="Y276" s="1039">
        <f t="shared" si="664"/>
        <v>5050.50</v>
      </c>
      <c r="Z276" s="1039">
        <f t="shared" si="664"/>
        <v>4879.2000000000007</v>
      </c>
      <c r="AA276" s="1348">
        <f t="shared" si="664"/>
        <v>18808</v>
      </c>
      <c r="AB276" s="1039">
        <f t="shared" si="664"/>
        <v>4870.80</v>
      </c>
      <c r="AC276" s="1039">
        <f t="shared" si="664"/>
        <v>5375.30</v>
      </c>
      <c r="AD276" s="1039">
        <f t="shared" si="664"/>
        <v>5523.10</v>
      </c>
      <c r="AE276" s="1039">
        <f t="shared" si="664"/>
        <v>5951.7999999999993</v>
      </c>
      <c r="AF276" s="1348">
        <f t="shared" si="664"/>
        <v>21721</v>
      </c>
      <c r="AG276" s="1039">
        <f t="shared" si="664"/>
        <v>5759</v>
      </c>
      <c r="AH276" s="1039">
        <f t="shared" si="664"/>
        <v>6138.10</v>
      </c>
      <c r="AI276" s="1039">
        <f t="shared" si="664"/>
        <v>6426.30</v>
      </c>
      <c r="AJ276" s="1039">
        <f t="shared" si="664"/>
        <v>7147.0999999999985</v>
      </c>
      <c r="AK276" s="1348">
        <f t="shared" si="664"/>
        <v>25470.50</v>
      </c>
      <c r="AL276" s="1039">
        <f t="shared" si="664"/>
        <v>6155.20</v>
      </c>
      <c r="AM276" s="1039">
        <f t="shared" si="664"/>
        <v>5321.40</v>
      </c>
      <c r="AN276" s="1039">
        <f t="shared" si="664"/>
        <v>6713.10</v>
      </c>
      <c r="AO276" s="1039">
        <f t="shared" si="664"/>
        <v>6932.1000000000022</v>
      </c>
      <c r="AP276" s="1348">
        <f t="shared" si="664"/>
        <v>25121.799999999999</v>
      </c>
      <c r="AQ276" s="1039">
        <f t="shared" si="664"/>
        <v>7110.50</v>
      </c>
      <c r="AR276" s="1039">
        <f t="shared" si="664"/>
        <v>8406.40</v>
      </c>
      <c r="AS276" s="1039">
        <f t="shared" si="664"/>
        <v>9250.7000000000007</v>
      </c>
      <c r="AT276" s="1039">
        <f t="shared" si="664"/>
        <v>8860</v>
      </c>
      <c r="AU276" s="1348">
        <f t="shared" si="664"/>
        <v>33627.60</v>
      </c>
      <c r="AV276" s="1039">
        <f t="shared" si="665" ref="AV276:BA276">AV583</f>
        <v>8858.40</v>
      </c>
      <c r="AW276" s="1039">
        <f t="shared" si="665"/>
        <v>9421.10</v>
      </c>
      <c r="AX276" s="1039">
        <f t="shared" si="665"/>
        <v>10018.700000000001</v>
      </c>
      <c r="AY276" s="1039">
        <f t="shared" si="665"/>
        <v>9824.4999999999964</v>
      </c>
      <c r="AZ276" s="1348">
        <f t="shared" si="665"/>
        <v>38122.699999999997</v>
      </c>
      <c r="BA276" s="1039">
        <f t="shared" si="665"/>
        <v>10624</v>
      </c>
      <c r="BB276" s="1039">
        <f t="shared" si="666" ref="BB276:BG276">BB583</f>
        <v>12170.099999999999</v>
      </c>
      <c r="BC276" s="1039">
        <f t="shared" si="666"/>
        <v>11387.90</v>
      </c>
      <c r="BD276" s="1039">
        <f t="shared" si="666"/>
        <v>11472.60</v>
      </c>
      <c r="BE276" s="1348">
        <f t="shared" si="666"/>
        <v>45654.599999999999</v>
      </c>
      <c r="BF276" s="1039">
        <f t="shared" si="666"/>
        <v>10971.60</v>
      </c>
      <c r="BG276" s="1039">
        <f t="shared" si="666"/>
        <v>12595.300000000001</v>
      </c>
      <c r="BH276" s="1040">
        <f>BH583</f>
        <v>12510.299999999994</v>
      </c>
      <c r="BI276" s="1092">
        <f t="shared" si="667" ref="BI276:BR276">SUM(BI274,BI275)</f>
        <v>13563.335002433738</v>
      </c>
      <c r="BJ276" s="1393">
        <f t="shared" si="667"/>
        <v>49640.535002433724</v>
      </c>
      <c r="BK276" s="1092">
        <f t="shared" si="667"/>
        <v>16086.160765705765</v>
      </c>
      <c r="BL276" s="1092">
        <f t="shared" si="667"/>
        <v>15012.267778075118</v>
      </c>
      <c r="BM276" s="1092">
        <f t="shared" si="667"/>
        <v>15535.283064004127</v>
      </c>
      <c r="BN276" s="1092">
        <f t="shared" si="667"/>
        <v>14864.533824892049</v>
      </c>
      <c r="BO276" s="1393">
        <f t="shared" si="667"/>
        <v>61498.245432677068</v>
      </c>
      <c r="BP276" s="1363">
        <f t="shared" si="667"/>
        <v>65925.906555438996</v>
      </c>
      <c r="BQ276" s="1363">
        <f t="shared" si="667"/>
        <v>68589.313180278725</v>
      </c>
      <c r="BR276" s="1393">
        <f t="shared" si="667"/>
        <v>71360.321432761993</v>
      </c>
      <c r="BS276" s="648"/>
    </row>
    <row r="277" spans="1:71" s="668" customFormat="1" ht="15" hidden="1" outlineLevel="1">
      <c r="A277" s="904"/>
      <c r="B277" s="1005"/>
      <c r="C277" s="1363"/>
      <c r="D277" s="1363"/>
      <c r="E277" s="1363"/>
      <c r="F277" s="1363"/>
      <c r="G277" s="1363"/>
      <c r="H277" s="1062"/>
      <c r="I277" s="1062"/>
      <c r="J277" s="1062"/>
      <c r="K277" s="1062"/>
      <c r="L277" s="1363"/>
      <c r="M277" s="1062"/>
      <c r="N277" s="1062"/>
      <c r="O277" s="1062"/>
      <c r="P277" s="1062"/>
      <c r="Q277" s="1363"/>
      <c r="R277" s="1062"/>
      <c r="S277" s="1062"/>
      <c r="T277" s="1062"/>
      <c r="U277" s="1062"/>
      <c r="V277" s="1363"/>
      <c r="W277" s="1062"/>
      <c r="X277" s="1062"/>
      <c r="Y277" s="1062"/>
      <c r="Z277" s="1062"/>
      <c r="AA277" s="1363"/>
      <c r="AB277" s="1062"/>
      <c r="AC277" s="1062"/>
      <c r="AD277" s="1062"/>
      <c r="AE277" s="1062"/>
      <c r="AF277" s="1363"/>
      <c r="AG277" s="1062"/>
      <c r="AH277" s="1062"/>
      <c r="AI277" s="1062"/>
      <c r="AJ277" s="1062"/>
      <c r="AK277" s="1363"/>
      <c r="AL277" s="1062"/>
      <c r="AM277" s="1062"/>
      <c r="AN277" s="1062"/>
      <c r="AO277" s="1062"/>
      <c r="AP277" s="1363"/>
      <c r="AQ277" s="1062"/>
      <c r="AR277" s="1062"/>
      <c r="AS277" s="1062"/>
      <c r="AT277" s="1062"/>
      <c r="AU277" s="1363"/>
      <c r="AV277" s="1062"/>
      <c r="AW277" s="1062"/>
      <c r="AX277" s="1062"/>
      <c r="AY277" s="1062"/>
      <c r="AZ277" s="1363"/>
      <c r="BA277" s="1062"/>
      <c r="BB277" s="1062"/>
      <c r="BC277" s="1062"/>
      <c r="BD277" s="1062"/>
      <c r="BE277" s="1363"/>
      <c r="BF277" s="1062"/>
      <c r="BG277" s="1062"/>
      <c r="BH277" s="1094"/>
      <c r="BI277" s="1092"/>
      <c r="BJ277" s="1393"/>
      <c r="BK277" s="1092"/>
      <c r="BL277" s="1092"/>
      <c r="BM277" s="1092"/>
      <c r="BN277" s="1092"/>
      <c r="BO277" s="1393"/>
      <c r="BP277" s="1363"/>
      <c r="BQ277" s="1363"/>
      <c r="BR277" s="1393"/>
      <c r="BS277" s="648"/>
    </row>
    <row r="278" spans="1:71" s="665" customFormat="1" ht="15" hidden="1" outlineLevel="1">
      <c r="A278" s="571" t="s">
        <v>670</v>
      </c>
      <c r="B278" s="1003"/>
      <c r="C278" s="1370">
        <f t="shared" si="668" ref="C278:J279">C259*C230</f>
        <v>5271.9228000000003</v>
      </c>
      <c r="D278" s="1370">
        <f t="shared" si="668"/>
        <v>5238.3081999999995</v>
      </c>
      <c r="E278" s="1370">
        <f t="shared" si="668"/>
        <v>5476.4731999999995</v>
      </c>
      <c r="F278" s="1370">
        <f t="shared" si="668"/>
        <v>6094.1327999999994</v>
      </c>
      <c r="G278" s="1370">
        <f t="shared" si="668"/>
        <v>6322.1025</v>
      </c>
      <c r="H278" s="1066">
        <f t="shared" si="668"/>
        <v>1592.9135999999999</v>
      </c>
      <c r="I278" s="1066">
        <f t="shared" si="668"/>
        <v>1650.3328000000001</v>
      </c>
      <c r="J278" s="1066">
        <f t="shared" si="668"/>
        <v>1645.1071999999999</v>
      </c>
      <c r="K278" s="1066">
        <f>L278-SUM(H278,I278,J278)</f>
        <v>1726.9823999999999</v>
      </c>
      <c r="L278" s="1370">
        <f t="shared" si="669" ref="L278:O279">L259*L230</f>
        <v>6615.3360000000002</v>
      </c>
      <c r="M278" s="1066">
        <f t="shared" si="669"/>
        <v>1611.5509999999999</v>
      </c>
      <c r="N278" s="1066">
        <f t="shared" si="669"/>
        <v>1664.0484000000001</v>
      </c>
      <c r="O278" s="1066">
        <f t="shared" si="669"/>
        <v>1663.1887999999999</v>
      </c>
      <c r="P278" s="1066">
        <f>Q278-SUM(M278,N278,O278)</f>
        <v>1674.0554000000002</v>
      </c>
      <c r="Q278" s="1370">
        <f t="shared" si="670" ref="Q278:T279">Q259*Q230</f>
        <v>6612.8436000000002</v>
      </c>
      <c r="R278" s="1066">
        <f t="shared" si="670"/>
        <v>1718.6628000000001</v>
      </c>
      <c r="S278" s="1066">
        <f t="shared" si="670"/>
        <v>1861.0944000000002</v>
      </c>
      <c r="T278" s="1066">
        <f t="shared" si="670"/>
        <v>1890.3652000000002</v>
      </c>
      <c r="U278" s="1066">
        <f>V278-SUM(R278,S278,T278)</f>
        <v>1903.0277000000006</v>
      </c>
      <c r="V278" s="1370">
        <f t="shared" si="671" ref="V278:Y279">V259*V230</f>
        <v>7373.1501000000007</v>
      </c>
      <c r="W278" s="1066">
        <f t="shared" si="671"/>
        <v>1860.4704999999999</v>
      </c>
      <c r="X278" s="1066">
        <f t="shared" si="671"/>
        <v>2009.325</v>
      </c>
      <c r="Y278" s="1066">
        <f t="shared" si="671"/>
        <v>2223.7200000000003</v>
      </c>
      <c r="Z278" s="1066">
        <f>AA278-SUM(W278,X278,Y278)</f>
        <v>2066.1324999999997</v>
      </c>
      <c r="AA278" s="1370">
        <f t="shared" si="672" ref="AA278:AD279">AA259*AA230</f>
        <v>8159.6480000000001</v>
      </c>
      <c r="AB278" s="1066">
        <f t="shared" si="672"/>
        <v>2068.065</v>
      </c>
      <c r="AC278" s="1066">
        <f t="shared" si="672"/>
        <v>2238.6357999999996</v>
      </c>
      <c r="AD278" s="1066">
        <f t="shared" si="672"/>
        <v>2306.1489999999999</v>
      </c>
      <c r="AE278" s="1066">
        <f>AF278-SUM(AB278,AC278,AD278)</f>
        <v>2473.1558000000005</v>
      </c>
      <c r="AF278" s="1370">
        <f t="shared" si="673" ref="AF278:AI279">AF259*AF230</f>
        <v>9086.0056000000004</v>
      </c>
      <c r="AG278" s="1066">
        <f t="shared" si="673"/>
        <v>2378.7630000000004</v>
      </c>
      <c r="AH278" s="1066">
        <f t="shared" si="673"/>
        <v>2507.6843999999996</v>
      </c>
      <c r="AI278" s="1066">
        <f t="shared" si="673"/>
        <v>2629.4139999999998</v>
      </c>
      <c r="AJ278" s="1066">
        <f>AK278-SUM(AG278,AH278,AI278)</f>
        <v>2887.2003999999997</v>
      </c>
      <c r="AK278" s="1370">
        <f t="shared" si="674" ref="AK278:AN279">AK259*AK230</f>
        <v>10403.061799999999</v>
      </c>
      <c r="AL278" s="1066">
        <f t="shared" si="674"/>
        <v>2477.1689000000001</v>
      </c>
      <c r="AM278" s="1066">
        <f t="shared" si="674"/>
        <v>2084.9079999999999</v>
      </c>
      <c r="AN278" s="1066">
        <f t="shared" si="674"/>
        <v>2681.0720000000001</v>
      </c>
      <c r="AO278" s="1066">
        <f>AP278-SUM(AL278,AM278,AN278)</f>
        <v>2783.1836000000003</v>
      </c>
      <c r="AP278" s="1370">
        <f t="shared" si="675" ref="AP278:AS279">AP259*AP230</f>
        <v>10026.3325</v>
      </c>
      <c r="AQ278" s="1066">
        <f t="shared" si="675"/>
        <v>2778.5796</v>
      </c>
      <c r="AR278" s="1066">
        <f t="shared" si="675"/>
        <v>3228.5295000000001</v>
      </c>
      <c r="AS278" s="1066">
        <f t="shared" si="675"/>
        <v>3452.7311</v>
      </c>
      <c r="AT278" s="1066">
        <f>AU278-SUM(AQ278,AR278,AS278)</f>
        <v>3302.1958000000013</v>
      </c>
      <c r="AU278" s="1370">
        <f t="shared" si="676" ref="AU278:AW279">AU259*AU230</f>
        <v>12762.036</v>
      </c>
      <c r="AV278" s="1066">
        <f t="shared" si="676"/>
        <v>3246.7982999999999</v>
      </c>
      <c r="AW278" s="1066">
        <f t="shared" si="676"/>
        <v>3375.3044999999993</v>
      </c>
      <c r="AX278" s="1066">
        <f>AX259*AX230</f>
        <v>3682.3350999999993</v>
      </c>
      <c r="AY278" s="1066">
        <f>AZ278-SUM(AV278,AW278,AX278)</f>
        <v>3554.1728000000039</v>
      </c>
      <c r="AZ278" s="1370">
        <f t="shared" si="677" ref="AZ278:BB279">AZ259*AZ230</f>
        <v>13858.610700000001</v>
      </c>
      <c r="BA278" s="1066">
        <f t="shared" si="677"/>
        <v>3790.9560000000001</v>
      </c>
      <c r="BB278" s="1066">
        <f t="shared" si="677"/>
        <v>4348.0119999999997</v>
      </c>
      <c r="BC278" s="1066">
        <f>BC259*BC230</f>
        <v>4103.8119999999999</v>
      </c>
      <c r="BD278" s="1066">
        <f>BE278-SUM(BA278,BB278,BC278)</f>
        <v>4079.8340000000026</v>
      </c>
      <c r="BE278" s="1370">
        <f t="shared" si="678" ref="BE278:BG279">BE259*BE230</f>
        <v>16322.614000000001</v>
      </c>
      <c r="BF278" s="1066">
        <f t="shared" si="678"/>
        <v>3860.2242999999999</v>
      </c>
      <c r="BG278" s="1066">
        <f t="shared" si="678"/>
        <v>4299.6728000000003</v>
      </c>
      <c r="BH278" s="1067">
        <f>BH259*BH230</f>
        <v>4500.2762000000002</v>
      </c>
      <c r="BI278" s="1068"/>
      <c r="BJ278" s="1371"/>
      <c r="BK278" s="1068"/>
      <c r="BL278" s="1068"/>
      <c r="BM278" s="1068"/>
      <c r="BN278" s="1068"/>
      <c r="BO278" s="1371"/>
      <c r="BP278" s="1372"/>
      <c r="BQ278" s="1372"/>
      <c r="BR278" s="1371"/>
      <c r="BS278" s="648"/>
    </row>
    <row r="279" spans="1:71" s="665" customFormat="1" ht="15" hidden="1" outlineLevel="1">
      <c r="A279" s="572" t="s">
        <v>671</v>
      </c>
      <c r="B279" s="1004"/>
      <c r="C279" s="1392">
        <f t="shared" si="668"/>
        <v>3579.6453000000001</v>
      </c>
      <c r="D279" s="1392">
        <f t="shared" si="668"/>
        <v>3925.6271999999999</v>
      </c>
      <c r="E279" s="1392">
        <f t="shared" si="668"/>
        <v>4143.8417999999992</v>
      </c>
      <c r="F279" s="1392">
        <f t="shared" si="668"/>
        <v>4648.0364</v>
      </c>
      <c r="G279" s="1392">
        <f t="shared" si="668"/>
        <v>4873.0923000000003</v>
      </c>
      <c r="H279" s="1073">
        <f t="shared" si="668"/>
        <v>1311.0768</v>
      </c>
      <c r="I279" s="1073">
        <f t="shared" si="668"/>
        <v>1344.288</v>
      </c>
      <c r="J279" s="1073">
        <f t="shared" si="668"/>
        <v>1373.7327</v>
      </c>
      <c r="K279" s="1073">
        <f>L279-SUM(H279,I279,J279)</f>
        <v>1516.6104999999993</v>
      </c>
      <c r="L279" s="1392">
        <f t="shared" si="669"/>
        <v>5545.7079999999996</v>
      </c>
      <c r="M279" s="1073">
        <f t="shared" si="669"/>
        <v>1472.4162000000001</v>
      </c>
      <c r="N279" s="1073">
        <f t="shared" si="669"/>
        <v>1517.7546</v>
      </c>
      <c r="O279" s="1073">
        <f t="shared" si="669"/>
        <v>1545.9165</v>
      </c>
      <c r="P279" s="1073">
        <f>Q279-SUM(M279,N279,O279)</f>
        <v>1603.3376999999991</v>
      </c>
      <c r="Q279" s="1392">
        <f t="shared" si="670"/>
        <v>6139.4249999999993</v>
      </c>
      <c r="R279" s="1073">
        <f t="shared" si="670"/>
        <v>1674.4078</v>
      </c>
      <c r="S279" s="1073">
        <f t="shared" si="670"/>
        <v>1804.8004000000001</v>
      </c>
      <c r="T279" s="1073">
        <f t="shared" si="670"/>
        <v>1867.5272</v>
      </c>
      <c r="U279" s="1073">
        <f>V279-SUM(R279,S279,T279)</f>
        <v>1869.7766000000001</v>
      </c>
      <c r="V279" s="1392">
        <f t="shared" si="671"/>
        <v>7216.5119999999997</v>
      </c>
      <c r="W279" s="1073">
        <f t="shared" si="671"/>
        <v>1832.2061999999999</v>
      </c>
      <c r="X279" s="1073">
        <f t="shared" si="671"/>
        <v>1987.50</v>
      </c>
      <c r="Y279" s="1073">
        <f t="shared" si="671"/>
        <v>2070.2436000000002</v>
      </c>
      <c r="Z279" s="1073">
        <f>AA279-SUM(W279,X279,Y279)</f>
        <v>2090.3238000000001</v>
      </c>
      <c r="AA279" s="1392">
        <f t="shared" si="672"/>
        <v>7980.2736000000004</v>
      </c>
      <c r="AB279" s="1073">
        <f t="shared" si="672"/>
        <v>2099.3447999999999</v>
      </c>
      <c r="AC279" s="1073">
        <f t="shared" si="672"/>
        <v>2277.1662000000001</v>
      </c>
      <c r="AD279" s="1073">
        <f t="shared" si="672"/>
        <v>2349.3887999999997</v>
      </c>
      <c r="AE279" s="1073">
        <f>AF279-SUM(AB279,AC279,AD279)</f>
        <v>2568.5951999999988</v>
      </c>
      <c r="AF279" s="1392">
        <f t="shared" si="673"/>
        <v>9294.494999999999</v>
      </c>
      <c r="AG279" s="1073">
        <f t="shared" si="673"/>
        <v>2499.8337000000001</v>
      </c>
      <c r="AH279" s="1073">
        <f t="shared" si="673"/>
        <v>2617.1133999999997</v>
      </c>
      <c r="AI279" s="1073">
        <f t="shared" si="673"/>
        <v>2712.252</v>
      </c>
      <c r="AJ279" s="1073">
        <f>AK279-SUM(AG279,AH279,AI279)</f>
        <v>3099.2134999999998</v>
      </c>
      <c r="AK279" s="1392">
        <f t="shared" si="674"/>
        <v>10928.4126</v>
      </c>
      <c r="AL279" s="1073">
        <f t="shared" si="674"/>
        <v>2623.0068000000001</v>
      </c>
      <c r="AM279" s="1073">
        <f t="shared" si="674"/>
        <v>2096.4537</v>
      </c>
      <c r="AN279" s="1073">
        <f t="shared" si="674"/>
        <v>2861.7072000000003</v>
      </c>
      <c r="AO279" s="1073">
        <f>AP279-SUM(AL279,AM279,AN279)</f>
        <v>3005.2796999999991</v>
      </c>
      <c r="AP279" s="1392">
        <f t="shared" si="675"/>
        <v>10586.447399999999</v>
      </c>
      <c r="AQ279" s="1073">
        <f t="shared" si="675"/>
        <v>3031.2828</v>
      </c>
      <c r="AR279" s="1073">
        <f t="shared" si="675"/>
        <v>3568.1030000000005</v>
      </c>
      <c r="AS279" s="1073">
        <f t="shared" si="675"/>
        <v>3878.7953999999995</v>
      </c>
      <c r="AT279" s="1073">
        <f>AU279-SUM(AQ279,AR279,AS279)</f>
        <v>3797.8744000000006</v>
      </c>
      <c r="AU279" s="1392">
        <f t="shared" si="676"/>
        <v>14276.0556</v>
      </c>
      <c r="AV279" s="1073">
        <f t="shared" si="676"/>
        <v>3700.6592000000005</v>
      </c>
      <c r="AW279" s="1073">
        <f t="shared" si="676"/>
        <v>3821.6960999999997</v>
      </c>
      <c r="AX279" s="1073">
        <f>AX260*AX231</f>
        <v>4133.0035999999991</v>
      </c>
      <c r="AY279" s="1073">
        <f>AZ279-SUM(AV279,AW279,AX279)</f>
        <v>4171.1441000000013</v>
      </c>
      <c r="AZ279" s="1392">
        <f t="shared" si="677"/>
        <v>15826.503000000001</v>
      </c>
      <c r="BA279" s="1073">
        <f t="shared" si="677"/>
        <v>4556.7677999999996</v>
      </c>
      <c r="BB279" s="1073">
        <f t="shared" si="677"/>
        <v>5247.4142999999995</v>
      </c>
      <c r="BC279" s="1073">
        <f>BC260*BC231</f>
        <v>4898.5860000000002</v>
      </c>
      <c r="BD279" s="1073">
        <f>BE279-SUM(BA279,BB279,BC279)</f>
        <v>4909.070300000003</v>
      </c>
      <c r="BE279" s="1392">
        <f t="shared" si="678"/>
        <v>19611.838400000001</v>
      </c>
      <c r="BF279" s="1073">
        <f t="shared" si="678"/>
        <v>4766.9195</v>
      </c>
      <c r="BG279" s="1073">
        <f t="shared" si="678"/>
        <v>5392.8049999999994</v>
      </c>
      <c r="BH279" s="1074">
        <f>BH260*BH231</f>
        <v>5717.9598000000005</v>
      </c>
      <c r="BI279" s="1072"/>
      <c r="BJ279" s="1375"/>
      <c r="BK279" s="1072"/>
      <c r="BL279" s="1072"/>
      <c r="BM279" s="1072"/>
      <c r="BN279" s="1072"/>
      <c r="BO279" s="1375"/>
      <c r="BP279" s="1375"/>
      <c r="BQ279" s="1375"/>
      <c r="BR279" s="1375"/>
      <c r="BS279" s="648"/>
    </row>
    <row r="280" spans="1:71" s="665" customFormat="1" ht="15" hidden="1" outlineLevel="1">
      <c r="A280" s="41" t="s">
        <v>672</v>
      </c>
      <c r="B280" s="1003"/>
      <c r="C280" s="1370">
        <f>C278+C279</f>
        <v>8851.5681000000004</v>
      </c>
      <c r="D280" s="1370">
        <f t="shared" si="679" ref="D280:AU280">D278+D279</f>
        <v>9163.9353999999985</v>
      </c>
      <c r="E280" s="1370">
        <f t="shared" si="679"/>
        <v>9620.3149999999987</v>
      </c>
      <c r="F280" s="1370">
        <f t="shared" si="679"/>
        <v>10742.1692</v>
      </c>
      <c r="G280" s="1370">
        <f t="shared" si="679"/>
        <v>11195.194800000001</v>
      </c>
      <c r="H280" s="1066">
        <f t="shared" si="679"/>
        <v>2903.9903999999997</v>
      </c>
      <c r="I280" s="1066">
        <f t="shared" si="679"/>
        <v>2994.6208000000001</v>
      </c>
      <c r="J280" s="1066">
        <f t="shared" si="679"/>
        <v>3018.8398999999999</v>
      </c>
      <c r="K280" s="1066">
        <f t="shared" si="679"/>
        <v>3243.5928999999992</v>
      </c>
      <c r="L280" s="1370">
        <f t="shared" si="679"/>
        <v>12161.044</v>
      </c>
      <c r="M280" s="1066">
        <f t="shared" si="679"/>
        <v>3083.9672</v>
      </c>
      <c r="N280" s="1066">
        <f t="shared" si="679"/>
        <v>3181.8029999999999</v>
      </c>
      <c r="O280" s="1066">
        <f t="shared" si="679"/>
        <v>3209.1053000000002</v>
      </c>
      <c r="P280" s="1066">
        <f t="shared" si="679"/>
        <v>3277.3930999999993</v>
      </c>
      <c r="Q280" s="1370">
        <f t="shared" si="679"/>
        <v>12752.268599999999</v>
      </c>
      <c r="R280" s="1066">
        <f t="shared" si="679"/>
        <v>3393.0706</v>
      </c>
      <c r="S280" s="1066">
        <f t="shared" si="679"/>
        <v>3665.8948</v>
      </c>
      <c r="T280" s="1066">
        <f t="shared" si="679"/>
        <v>3757.8924000000002</v>
      </c>
      <c r="U280" s="1066">
        <f t="shared" si="679"/>
        <v>3772.8043000000007</v>
      </c>
      <c r="V280" s="1370">
        <f t="shared" si="679"/>
        <v>14589.662100000001</v>
      </c>
      <c r="W280" s="1066">
        <f t="shared" si="679"/>
        <v>3692.6767</v>
      </c>
      <c r="X280" s="1066">
        <f t="shared" si="679"/>
        <v>3996.8249999999998</v>
      </c>
      <c r="Y280" s="1066">
        <f t="shared" si="679"/>
        <v>4293.963600000001</v>
      </c>
      <c r="Z280" s="1066">
        <f t="shared" si="679"/>
        <v>4156.4562999999998</v>
      </c>
      <c r="AA280" s="1370">
        <f t="shared" si="679"/>
        <v>16139.921600000001</v>
      </c>
      <c r="AB280" s="1066">
        <f t="shared" si="679"/>
        <v>4167.4097999999994</v>
      </c>
      <c r="AC280" s="1066">
        <f t="shared" si="679"/>
        <v>4515.8019999999997</v>
      </c>
      <c r="AD280" s="1066">
        <f t="shared" si="679"/>
        <v>4655.5378000000001</v>
      </c>
      <c r="AE280" s="1066">
        <f t="shared" si="679"/>
        <v>5041.7509999999993</v>
      </c>
      <c r="AF280" s="1370">
        <f t="shared" si="679"/>
        <v>18380.500599999999</v>
      </c>
      <c r="AG280" s="1066">
        <f t="shared" si="679"/>
        <v>4878.5967000000001</v>
      </c>
      <c r="AH280" s="1066">
        <f t="shared" si="679"/>
        <v>5124.7977999999994</v>
      </c>
      <c r="AI280" s="1066">
        <f t="shared" si="679"/>
        <v>5341.6659999999993</v>
      </c>
      <c r="AJ280" s="1066">
        <f t="shared" si="679"/>
        <v>5986.4138999999996</v>
      </c>
      <c r="AK280" s="1370">
        <f t="shared" si="679"/>
        <v>21331.474399999999</v>
      </c>
      <c r="AL280" s="1066">
        <f t="shared" si="679"/>
        <v>5100.1756999999998</v>
      </c>
      <c r="AM280" s="1066">
        <f t="shared" si="679"/>
        <v>4181.3616999999995</v>
      </c>
      <c r="AN280" s="1066">
        <f t="shared" si="679"/>
        <v>5542.7792000000009</v>
      </c>
      <c r="AO280" s="1066">
        <f t="shared" si="679"/>
        <v>5788.4632999999994</v>
      </c>
      <c r="AP280" s="1370">
        <f t="shared" si="679"/>
        <v>20612.779900000001</v>
      </c>
      <c r="AQ280" s="1066">
        <f t="shared" si="679"/>
        <v>5809.8624</v>
      </c>
      <c r="AR280" s="1066">
        <f t="shared" si="679"/>
        <v>6796.6325000000006</v>
      </c>
      <c r="AS280" s="1066">
        <f t="shared" si="679"/>
        <v>7331.5264999999999</v>
      </c>
      <c r="AT280" s="1066">
        <f t="shared" si="679"/>
        <v>7100.0702000000019</v>
      </c>
      <c r="AU280" s="1370">
        <f t="shared" si="679"/>
        <v>27038.0916</v>
      </c>
      <c r="AV280" s="1066">
        <f t="shared" si="680" ref="AV280:BA280">AV278+AV279</f>
        <v>6947.4575000000004</v>
      </c>
      <c r="AW280" s="1066">
        <f t="shared" si="680"/>
        <v>7197.0005999999994</v>
      </c>
      <c r="AX280" s="1066">
        <f t="shared" si="680"/>
        <v>7815.3386999999984</v>
      </c>
      <c r="AY280" s="1066">
        <f t="shared" si="680"/>
        <v>7725.3169000000053</v>
      </c>
      <c r="AZ280" s="1370">
        <f t="shared" si="680"/>
        <v>29685.113700000002</v>
      </c>
      <c r="BA280" s="1066">
        <f t="shared" si="680"/>
        <v>8347.7237999999998</v>
      </c>
      <c r="BB280" s="1066">
        <f t="shared" si="681" ref="BB280:BG280">BB278+BB279</f>
        <v>9595.4262999999992</v>
      </c>
      <c r="BC280" s="1066">
        <f t="shared" si="681"/>
        <v>9002.398000000001</v>
      </c>
      <c r="BD280" s="1066">
        <f t="shared" si="681"/>
        <v>8988.9043000000056</v>
      </c>
      <c r="BE280" s="1370">
        <f t="shared" si="681"/>
        <v>35934.452400000002</v>
      </c>
      <c r="BF280" s="1066">
        <f t="shared" si="681"/>
        <v>8627.1437999999998</v>
      </c>
      <c r="BG280" s="1066">
        <f t="shared" si="681"/>
        <v>9692.4778000000006</v>
      </c>
      <c r="BH280" s="1067">
        <f>BH278+BH279</f>
        <v>10218.236000000001</v>
      </c>
      <c r="BI280" s="1068">
        <f t="shared" si="682" ref="BI280:BR280">BI118</f>
        <v>11440.239834459582</v>
      </c>
      <c r="BJ280" s="1371">
        <f t="shared" si="682"/>
        <v>39978.097434459589</v>
      </c>
      <c r="BK280" s="1068">
        <f t="shared" si="682"/>
        <v>13077.860561735828</v>
      </c>
      <c r="BL280" s="1068">
        <f t="shared" si="682"/>
        <v>12398.28257401546</v>
      </c>
      <c r="BM280" s="1068">
        <f t="shared" si="682"/>
        <v>13247.954511545293</v>
      </c>
      <c r="BN280" s="1068">
        <f t="shared" si="682"/>
        <v>12463.360281793694</v>
      </c>
      <c r="BO280" s="1371">
        <f t="shared" si="682"/>
        <v>51187.457929090277</v>
      </c>
      <c r="BP280" s="1372">
        <f t="shared" si="682"/>
        <v>55056.427644059688</v>
      </c>
      <c r="BQ280" s="1372">
        <f t="shared" si="682"/>
        <v>57280.707320879708</v>
      </c>
      <c r="BR280" s="1371">
        <f t="shared" si="682"/>
        <v>59594.847896643245</v>
      </c>
      <c r="BS280" s="648"/>
    </row>
    <row r="281" spans="1:71" s="665" customFormat="1" ht="15" hidden="1" outlineLevel="1">
      <c r="A281" s="41" t="s">
        <v>673</v>
      </c>
      <c r="B281" s="1003"/>
      <c r="C281" s="1370">
        <f t="shared" si="683" ref="C281:J281">C262*C233</f>
        <v>1050.2751000000001</v>
      </c>
      <c r="D281" s="1370">
        <f t="shared" si="683"/>
        <v>959.70420000000001</v>
      </c>
      <c r="E281" s="1370">
        <f t="shared" si="683"/>
        <v>1010.8318999999999</v>
      </c>
      <c r="F281" s="1370">
        <f t="shared" si="683"/>
        <v>1197.174</v>
      </c>
      <c r="G281" s="1370">
        <f t="shared" si="683"/>
        <v>1266.5903999999998</v>
      </c>
      <c r="H281" s="1066">
        <f t="shared" si="683"/>
        <v>302.77169999999995</v>
      </c>
      <c r="I281" s="1066">
        <f t="shared" si="683"/>
        <v>269.66159999999996</v>
      </c>
      <c r="J281" s="1066">
        <f t="shared" si="683"/>
        <v>273.59999999999997</v>
      </c>
      <c r="K281" s="1066">
        <f>L281-SUM(H281,I281,J281)</f>
        <v>287.70420000000013</v>
      </c>
      <c r="L281" s="1370">
        <f>L262*L233</f>
        <v>1133.7375</v>
      </c>
      <c r="M281" s="1066">
        <f>M262*M233</f>
        <v>284.50399999999996</v>
      </c>
      <c r="N281" s="1066">
        <f>N262*N233</f>
        <v>299.9409</v>
      </c>
      <c r="O281" s="1066">
        <f>O262*O233</f>
        <v>324.6755</v>
      </c>
      <c r="P281" s="1066">
        <f>Q281-SUM(M281,N281,O281)</f>
        <v>336.32120000000009</v>
      </c>
      <c r="Q281" s="1370">
        <f>Q262*Q233</f>
        <v>1245.4416000000001</v>
      </c>
      <c r="R281" s="1066">
        <f>R262*R233</f>
        <v>364.40319999999997</v>
      </c>
      <c r="S281" s="1066">
        <f>S262*S233</f>
        <v>426.06119999999999</v>
      </c>
      <c r="T281" s="1066">
        <f>T262*T233</f>
        <v>492.81640000000004</v>
      </c>
      <c r="U281" s="1066">
        <f>V281-SUM(R281,S281,T281)</f>
        <v>457.63390000000004</v>
      </c>
      <c r="V281" s="1370">
        <f>V262*V233</f>
        <v>1740.9147</v>
      </c>
      <c r="W281" s="1066">
        <f>W262*W233</f>
        <v>436.358</v>
      </c>
      <c r="X281" s="1066">
        <f>X262*X233</f>
        <v>466.15980000000002</v>
      </c>
      <c r="Y281" s="1066">
        <f>Y262*Y233</f>
        <v>515.50800000000004</v>
      </c>
      <c r="Z281" s="1066">
        <f>AA281-SUM(W281,X281,Y281)</f>
        <v>546.08589999999981</v>
      </c>
      <c r="AA281" s="1370">
        <f>AA262*AA233</f>
        <v>1964.1116999999999</v>
      </c>
      <c r="AB281" s="1066">
        <f>AB262*AB233</f>
        <v>544.99639999999999</v>
      </c>
      <c r="AC281" s="1066">
        <f>AC262*AC233</f>
        <v>607.51409999999998</v>
      </c>
      <c r="AD281" s="1066">
        <f>AD262*AD233</f>
        <v>635.16960000000006</v>
      </c>
      <c r="AE281" s="1066">
        <f>AF281-SUM(AB281,AC281,AD281)</f>
        <v>606.34660000000031</v>
      </c>
      <c r="AF281" s="1370">
        <f>AF262*AF233</f>
        <v>2394.0267000000003</v>
      </c>
      <c r="AG281" s="1066">
        <f>AG262*AG233</f>
        <v>635.15099999999995</v>
      </c>
      <c r="AH281" s="1066">
        <f>AH262*AH233</f>
        <v>720.44650000000001</v>
      </c>
      <c r="AI281" s="1066">
        <f>AI262*AI233</f>
        <v>799.18180000000007</v>
      </c>
      <c r="AJ281" s="1066">
        <f>AK281-SUM(AG281,AH281,AI281)</f>
        <v>878.12670000000026</v>
      </c>
      <c r="AK281" s="1370">
        <f>AK262*AK233</f>
        <v>3032.9060000000004</v>
      </c>
      <c r="AL281" s="1066">
        <f>AL262*AL233</f>
        <v>809.70900000000006</v>
      </c>
      <c r="AM281" s="1066">
        <f>AM262*AM233</f>
        <v>646.91699999999992</v>
      </c>
      <c r="AN281" s="1066">
        <f>AN262*AN233</f>
        <v>809.05680000000007</v>
      </c>
      <c r="AO281" s="1066">
        <f>AP281-SUM(AL281,AM281,AN281)</f>
        <v>879.20820000000003</v>
      </c>
      <c r="AP281" s="1370">
        <f>AP262*AP233</f>
        <v>3144.8910000000001</v>
      </c>
      <c r="AQ281" s="1066">
        <f>AQ262*AQ233</f>
        <v>900.303</v>
      </c>
      <c r="AR281" s="1066">
        <f>AR262*AR233</f>
        <v>1164.4523999999999</v>
      </c>
      <c r="AS281" s="1066">
        <f>AS262*AS233</f>
        <v>1317.9348</v>
      </c>
      <c r="AT281" s="1066">
        <f>AU281-SUM(AQ281,AR281,AS281)</f>
        <v>1430.3333999999995</v>
      </c>
      <c r="AU281" s="1370">
        <f>AU262*AU233</f>
        <v>4813.0235999999995</v>
      </c>
      <c r="AV281" s="1066">
        <f>AV262*AV233</f>
        <v>1510.3119999999999</v>
      </c>
      <c r="AW281" s="1066">
        <f>AW262*AW233</f>
        <v>1622.2976000000003</v>
      </c>
      <c r="AX281" s="1066">
        <f>AX262*AX233</f>
        <v>1634.1195</v>
      </c>
      <c r="AY281" s="1066">
        <f>AZ281-SUM(AV281,AW281,AX281)</f>
        <v>1731.4053999999987</v>
      </c>
      <c r="AZ281" s="1370">
        <f>AZ262*AZ233</f>
        <v>6498.1344999999992</v>
      </c>
      <c r="BA281" s="1066">
        <f>BA262*BA233</f>
        <v>1797.7042999999999</v>
      </c>
      <c r="BB281" s="1066">
        <f>BB262*BB233</f>
        <v>1894.5652</v>
      </c>
      <c r="BC281" s="1066">
        <f>BC262*BC233</f>
        <v>1981.8202000000001</v>
      </c>
      <c r="BD281" s="1066">
        <f>BE281-SUM(BA281,BB281,BC281)</f>
        <v>2145.8833000000004</v>
      </c>
      <c r="BE281" s="1370">
        <f>BE262*BE233</f>
        <v>7819.9730000000009</v>
      </c>
      <c r="BF281" s="1066">
        <f>BF262*BF233</f>
        <v>1851.5576000000001</v>
      </c>
      <c r="BG281" s="1066">
        <f>BG262*BG233</f>
        <v>1854.4919999999995</v>
      </c>
      <c r="BH281" s="1067">
        <f>BH262*BH233</f>
        <v>1889.6031</v>
      </c>
      <c r="BI281" s="1068">
        <f t="shared" si="684" ref="BI281:BR281">BI153</f>
        <v>1504.396076996873</v>
      </c>
      <c r="BJ281" s="1371">
        <f t="shared" si="684"/>
        <v>7100.0487769968722</v>
      </c>
      <c r="BK281" s="1068">
        <f t="shared" si="684"/>
        <v>2372.7229019294136</v>
      </c>
      <c r="BL281" s="1068">
        <f t="shared" si="684"/>
        <v>1623.82783301738</v>
      </c>
      <c r="BM281" s="1068">
        <f t="shared" si="684"/>
        <v>1549.5903897952237</v>
      </c>
      <c r="BN281" s="1068">
        <f t="shared" si="684"/>
        <v>1714.5114874913111</v>
      </c>
      <c r="BO281" s="1371">
        <f t="shared" si="684"/>
        <v>7260.6526122333289</v>
      </c>
      <c r="BP281" s="1372">
        <f t="shared" si="684"/>
        <v>7951.2045355632481</v>
      </c>
      <c r="BQ281" s="1372">
        <f t="shared" si="684"/>
        <v>8272.4331988000031</v>
      </c>
      <c r="BR281" s="1371">
        <f t="shared" si="684"/>
        <v>8606.639500031526</v>
      </c>
      <c r="BS281" s="648"/>
    </row>
    <row r="282" spans="1:71" s="665" customFormat="1" ht="15" hidden="1" outlineLevel="1">
      <c r="A282" s="41" t="s">
        <v>674</v>
      </c>
      <c r="B282" s="1003"/>
      <c r="C282" s="1372"/>
      <c r="D282" s="1372"/>
      <c r="E282" s="1372"/>
      <c r="F282" s="1372"/>
      <c r="G282" s="1372"/>
      <c r="H282" s="1088"/>
      <c r="I282" s="1088"/>
      <c r="J282" s="1088"/>
      <c r="K282" s="1088"/>
      <c r="L282" s="1372"/>
      <c r="M282" s="1088"/>
      <c r="N282" s="1066">
        <f>N234*N263</f>
        <v>134.71860000000001</v>
      </c>
      <c r="O282" s="1066">
        <f>O234*O263</f>
        <v>121.27319999999999</v>
      </c>
      <c r="P282" s="1066">
        <f>Q282-SUM(M282,N282,O282)</f>
        <v>93.02249999999998</v>
      </c>
      <c r="Q282" s="1370">
        <f>Q234*Q263</f>
        <v>349.01429999999999</v>
      </c>
      <c r="R282" s="1066">
        <f>R234*R263</f>
        <v>155.80000000000001</v>
      </c>
      <c r="S282" s="1066">
        <f>S234*S263</f>
        <v>149.94390000000001</v>
      </c>
      <c r="T282" s="1066">
        <f>T234*T263</f>
        <v>145.27259999999998</v>
      </c>
      <c r="U282" s="1066">
        <f>V282-SUM(R282,S282,T282)</f>
        <v>95.347499999999968</v>
      </c>
      <c r="V282" s="1370">
        <f>V234*V263</f>
        <v>546.36400000000003</v>
      </c>
      <c r="W282" s="1066">
        <f>W234*W263</f>
        <v>134.018</v>
      </c>
      <c r="X282" s="1066">
        <f>X234*X263</f>
        <v>152.0676</v>
      </c>
      <c r="Y282" s="1066">
        <f>Y234*Y263</f>
        <v>242.43999999999997</v>
      </c>
      <c r="Z282" s="1066">
        <f>AA282-SUM(W282,X282,Y282)</f>
        <v>171.54480000000001</v>
      </c>
      <c r="AA282" s="1370">
        <f>AA234*AA263</f>
        <v>700.07039999999995</v>
      </c>
      <c r="AB282" s="1066">
        <f>AB234*AB263</f>
        <v>157.20030000000003</v>
      </c>
      <c r="AC282" s="1066">
        <f>AC234*AC263</f>
        <v>249.60759999999999</v>
      </c>
      <c r="AD282" s="1066">
        <f>AD234*AD263</f>
        <v>234.17899999999997</v>
      </c>
      <c r="AE282" s="1066">
        <f>AF282-SUM(AB282,AC282,AD282)</f>
        <v>296.45870000000002</v>
      </c>
      <c r="AF282" s="1370">
        <f>AF234*AF263</f>
        <v>937.44560000000001</v>
      </c>
      <c r="AG282" s="1066">
        <f>AG234*AG263</f>
        <v>246.52200000000002</v>
      </c>
      <c r="AH282" s="1066">
        <f>AH234*AH263</f>
        <v>296.19240000000002</v>
      </c>
      <c r="AI282" s="1066">
        <f>AI234*AI263</f>
        <v>284.10059999999999</v>
      </c>
      <c r="AJ282" s="1066">
        <f>AK282-SUM(AG282,AH282,AI282)</f>
        <v>280.20259999999985</v>
      </c>
      <c r="AK282" s="1370">
        <f>AK234*AK263</f>
        <v>1107.0175999999999</v>
      </c>
      <c r="AL282" s="1066">
        <f>AL234*AL263</f>
        <v>244.78919999999999</v>
      </c>
      <c r="AM282" s="1066">
        <f>AM234*AM263</f>
        <v>493.27799999999991</v>
      </c>
      <c r="AN282" s="1066">
        <f>AN234*AN263</f>
        <v>363.20760000000001</v>
      </c>
      <c r="AO282" s="1066">
        <f>AP282-SUM(AL282,AM282,AN282)</f>
        <v>263.61130000000026</v>
      </c>
      <c r="AP282" s="1370">
        <f>AP234*AP263</f>
        <v>1364.8861000000002</v>
      </c>
      <c r="AQ282" s="1066">
        <f>AQ234*AQ263</f>
        <v>401.1525</v>
      </c>
      <c r="AR282" s="1066">
        <f>AR234*AR263</f>
        <v>439.51249999999993</v>
      </c>
      <c r="AS282" s="1066">
        <f>AS234*AS263</f>
        <v>599.68349999999998</v>
      </c>
      <c r="AT282" s="1066">
        <f>AU282-SUM(AQ282,AR282,AS282)</f>
        <v>324.37149999999997</v>
      </c>
      <c r="AU282" s="1370">
        <f>AU234*AU263</f>
        <v>1764.72</v>
      </c>
      <c r="AV282" s="1066">
        <f>AV234*AV263</f>
        <v>394.01859999999999</v>
      </c>
      <c r="AW282" s="1066">
        <f>AW234*AW263</f>
        <v>580.19849999999985</v>
      </c>
      <c r="AX282" s="1066">
        <f>AX234*AX263</f>
        <v>545.29200000000003</v>
      </c>
      <c r="AY282" s="1066">
        <f>AZ282-SUM(AV282,AW282,AX282)</f>
        <v>371.40090000000009</v>
      </c>
      <c r="AZ282" s="1370">
        <f>AZ234*AZ263</f>
        <v>1890.91</v>
      </c>
      <c r="BA282" s="1066">
        <f>BA234*BA263</f>
        <v>451.41980000000001</v>
      </c>
      <c r="BB282" s="1066">
        <f>BB234*BB263</f>
        <v>657.14879999999994</v>
      </c>
      <c r="BC282" s="1066">
        <f>BC234*BC263</f>
        <v>371.49839999999995</v>
      </c>
      <c r="BD282" s="1066">
        <f>BE282-SUM(BA282,BB282,BC282)</f>
        <v>295.70740000000001</v>
      </c>
      <c r="BE282" s="1370">
        <f>BE234*BE263</f>
        <v>1775.7744</v>
      </c>
      <c r="BF282" s="1066">
        <f>BF234*BF263</f>
        <v>461.89439999999996</v>
      </c>
      <c r="BG282" s="1066">
        <f>BG234*BG263</f>
        <v>1011.1266000000002</v>
      </c>
      <c r="BH282" s="1067">
        <f>BH234*BH263</f>
        <v>370.23479999999995</v>
      </c>
      <c r="BI282" s="1068">
        <f t="shared" si="685" ref="BI282:BR282">BI188</f>
        <v>530.90258321153067</v>
      </c>
      <c r="BJ282" s="1371">
        <f t="shared" si="685"/>
        <v>2374.1583832115307</v>
      </c>
      <c r="BK282" s="1068">
        <f t="shared" si="685"/>
        <v>528.36708136885102</v>
      </c>
      <c r="BL282" s="1068">
        <f t="shared" si="685"/>
        <v>891.73926696640592</v>
      </c>
      <c r="BM282" s="1068">
        <f t="shared" si="685"/>
        <v>632.67182148052927</v>
      </c>
      <c r="BN282" s="1068">
        <f t="shared" si="685"/>
        <v>587.76526652189</v>
      </c>
      <c r="BO282" s="1371">
        <f t="shared" si="685"/>
        <v>2640.5434363376762</v>
      </c>
      <c r="BP282" s="1372">
        <f t="shared" si="685"/>
        <v>2479.5596106084231</v>
      </c>
      <c r="BQ282" s="1372">
        <f t="shared" si="685"/>
        <v>2579.7338188770032</v>
      </c>
      <c r="BR282" s="1371">
        <f t="shared" si="685"/>
        <v>2683.9550651596346</v>
      </c>
      <c r="BS282" s="648"/>
    </row>
    <row r="283" spans="1:71" s="665" customFormat="1" ht="15" hidden="1" outlineLevel="1">
      <c r="A283" s="41" t="s">
        <v>675</v>
      </c>
      <c r="B283" s="1003"/>
      <c r="C283" s="1372">
        <f t="shared" si="686" ref="C283:AT283">C284-SUM(C280:C282)</f>
        <v>3.056799999998475</v>
      </c>
      <c r="D283" s="1372">
        <f t="shared" si="686"/>
        <v>7.6604000000006636</v>
      </c>
      <c r="E283" s="1372">
        <f t="shared" si="686"/>
        <v>3.6531000000013591</v>
      </c>
      <c r="F283" s="1372">
        <f t="shared" si="686"/>
        <v>8.6568000000006577</v>
      </c>
      <c r="G283" s="1372">
        <f t="shared" si="686"/>
        <v>10.614799999999377</v>
      </c>
      <c r="H283" s="1088">
        <f t="shared" si="686"/>
        <v>-0.86209999999937281</v>
      </c>
      <c r="I283" s="1088">
        <f t="shared" si="686"/>
        <v>4.8175999999998567</v>
      </c>
      <c r="J283" s="1088">
        <f t="shared" si="686"/>
        <v>-0.6398999999996704</v>
      </c>
      <c r="K283" s="1088">
        <f t="shared" si="686"/>
        <v>8.1029000000021369</v>
      </c>
      <c r="L283" s="1372">
        <f t="shared" si="686"/>
        <v>11.418500000001586</v>
      </c>
      <c r="M283" s="1088">
        <f t="shared" si="686"/>
        <v>0.12879999999995562</v>
      </c>
      <c r="N283" s="1066">
        <f t="shared" si="686"/>
        <v>0.73749999999972715</v>
      </c>
      <c r="O283" s="1066">
        <f t="shared" si="686"/>
        <v>-0.75399999999990541</v>
      </c>
      <c r="P283" s="1066">
        <f t="shared" si="686"/>
        <v>-4.8367999999982203</v>
      </c>
      <c r="Q283" s="1370">
        <f t="shared" si="686"/>
        <v>-4.7245000000002619</v>
      </c>
      <c r="R283" s="1066">
        <f t="shared" si="686"/>
        <v>0.12620000000015352</v>
      </c>
      <c r="S283" s="1066">
        <f t="shared" si="686"/>
        <v>1.1000999999996566</v>
      </c>
      <c r="T283" s="1066">
        <f t="shared" si="686"/>
        <v>2.2185999999992418</v>
      </c>
      <c r="U283" s="1066">
        <f t="shared" si="686"/>
        <v>-0.78570000000036089</v>
      </c>
      <c r="V283" s="1370">
        <f t="shared" si="686"/>
        <v>2.6591999999982363</v>
      </c>
      <c r="W283" s="1066">
        <f t="shared" si="686"/>
        <v>0.34729999999944994</v>
      </c>
      <c r="X283" s="1066">
        <f t="shared" si="686"/>
        <v>-0.15240000000085274</v>
      </c>
      <c r="Y283" s="1066">
        <f t="shared" si="686"/>
        <v>-1.4116000000003623</v>
      </c>
      <c r="Z283" s="1066">
        <f t="shared" si="686"/>
        <v>5.1130000000011933</v>
      </c>
      <c r="AA283" s="1370">
        <f t="shared" si="686"/>
        <v>3.8962999999966996</v>
      </c>
      <c r="AB283" s="1066">
        <f t="shared" si="686"/>
        <v>1.1935000000003129</v>
      </c>
      <c r="AC283" s="1066">
        <f t="shared" si="686"/>
        <v>2.376299999999901</v>
      </c>
      <c r="AD283" s="1066">
        <f t="shared" si="686"/>
        <v>-1.7863999999999578</v>
      </c>
      <c r="AE283" s="1066">
        <f t="shared" si="686"/>
        <v>7.2436999999999898</v>
      </c>
      <c r="AF283" s="1370">
        <f t="shared" si="686"/>
        <v>9.0270999999993364</v>
      </c>
      <c r="AG283" s="1066">
        <f t="shared" si="686"/>
        <v>-1.2696999999998297</v>
      </c>
      <c r="AH283" s="1066">
        <f t="shared" si="686"/>
        <v>-3.3366999999989275</v>
      </c>
      <c r="AI283" s="1066">
        <f t="shared" si="686"/>
        <v>1.3516000000008717</v>
      </c>
      <c r="AJ283" s="1066">
        <f t="shared" si="686"/>
        <v>2.3567999999986569</v>
      </c>
      <c r="AK283" s="1370">
        <f t="shared" si="686"/>
        <v>-0.89799999999740976</v>
      </c>
      <c r="AL283" s="1066">
        <f t="shared" si="686"/>
        <v>0.5261000000000422</v>
      </c>
      <c r="AM283" s="1066">
        <f t="shared" si="686"/>
        <v>-0.15669999999954598</v>
      </c>
      <c r="AN283" s="1066">
        <f t="shared" si="686"/>
        <v>-1.9436000000005151</v>
      </c>
      <c r="AO283" s="1066">
        <f t="shared" si="686"/>
        <v>0.81720000000223081</v>
      </c>
      <c r="AP283" s="1370">
        <f t="shared" si="686"/>
        <v>-0.75700000000142609</v>
      </c>
      <c r="AQ283" s="1066">
        <f t="shared" si="686"/>
        <v>-0.81790000000000873</v>
      </c>
      <c r="AR283" s="1066">
        <f t="shared" si="686"/>
        <v>5.8025999999990745</v>
      </c>
      <c r="AS283" s="1066">
        <f t="shared" si="686"/>
        <v>1.5552000000025146</v>
      </c>
      <c r="AT283" s="1066">
        <f t="shared" si="686"/>
        <v>5.224899999999252</v>
      </c>
      <c r="AU283" s="1370">
        <f t="shared" si="687" ref="AU283:AZ283">AU284-SUM(AU280:AU282)</f>
        <v>11.764799999997194</v>
      </c>
      <c r="AV283" s="1066">
        <f t="shared" si="687"/>
        <v>6.6118999999998778</v>
      </c>
      <c r="AW283" s="1066">
        <f t="shared" si="687"/>
        <v>21.603300000000672</v>
      </c>
      <c r="AX283" s="1066">
        <f t="shared" si="687"/>
        <v>23.949800000002142</v>
      </c>
      <c r="AY283" s="1066">
        <f t="shared" si="687"/>
        <v>-3.623200000009092</v>
      </c>
      <c r="AZ283" s="1370">
        <f t="shared" si="687"/>
        <v>48.541799999991781</v>
      </c>
      <c r="BA283" s="1066">
        <f t="shared" si="688" ref="BA283:BI283">BA284-SUM(BA280:BA282)</f>
        <v>27.152100000001155</v>
      </c>
      <c r="BB283" s="1066">
        <f t="shared" si="688"/>
        <v>22.95969999999943</v>
      </c>
      <c r="BC283" s="1066">
        <f t="shared" si="688"/>
        <v>32.183399999998073</v>
      </c>
      <c r="BD283" s="1066">
        <f t="shared" si="688"/>
        <v>42.104999999992287</v>
      </c>
      <c r="BE283" s="1370">
        <f t="shared" si="688"/>
        <v>124.4001999999964</v>
      </c>
      <c r="BF283" s="1066">
        <f>BF284-SUM(BF280:BF282)</f>
        <v>31.004200000001219</v>
      </c>
      <c r="BG283" s="1066">
        <f>BG284-SUM(BG280:BG282)</f>
        <v>37.203600000000733</v>
      </c>
      <c r="BH283" s="1067">
        <f>BH284-SUM(BH280:BH282)</f>
        <v>32.226099999992584</v>
      </c>
      <c r="BI283" s="1068">
        <f t="shared" si="688"/>
        <v>87.796507765751812</v>
      </c>
      <c r="BJ283" s="1371">
        <f>SUM(BF283,BG283,BH283,BI283)</f>
        <v>188.23040776574635</v>
      </c>
      <c r="BK283" s="1068">
        <f>BK284-SUM(BK280:BK282)</f>
        <v>107.21022067167178</v>
      </c>
      <c r="BL283" s="1068">
        <f>BL284-SUM(BL280:BL282)</f>
        <v>98.418104075872179</v>
      </c>
      <c r="BM283" s="1068">
        <f>BM284-SUM(BM280:BM282)</f>
        <v>105.06634118308102</v>
      </c>
      <c r="BN283" s="1068">
        <f>BN284-SUM(BN280:BN282)</f>
        <v>98.896789085154523</v>
      </c>
      <c r="BO283" s="1371">
        <f>SUM(BK283,BL283,BM283,BN283)</f>
        <v>409.5914550157795</v>
      </c>
      <c r="BP283" s="1372">
        <f>BP284-SUM(BP280:BP282)</f>
        <v>438.71476520763827</v>
      </c>
      <c r="BQ283" s="1372">
        <f>BQ284-SUM(BQ280:BQ282)</f>
        <v>456.43884172200342</v>
      </c>
      <c r="BR283" s="1371">
        <f>BR284-SUM(BR280:BR282)</f>
        <v>474.87897092758794</v>
      </c>
      <c r="BS283" s="648"/>
    </row>
    <row r="284" spans="1:71" s="665" customFormat="1" ht="15" hidden="1" outlineLevel="1">
      <c r="A284" s="646" t="s">
        <v>15</v>
      </c>
      <c r="B284" s="583"/>
      <c r="C284" s="1394">
        <f>C276</f>
        <v>9904.90</v>
      </c>
      <c r="D284" s="1394">
        <f t="shared" si="689" ref="D284:AU284">D276</f>
        <v>10131.299999999999</v>
      </c>
      <c r="E284" s="1394">
        <f t="shared" si="689"/>
        <v>10634.80</v>
      </c>
      <c r="F284" s="1394">
        <f t="shared" si="689"/>
        <v>11948</v>
      </c>
      <c r="G284" s="1394">
        <f t="shared" si="689"/>
        <v>12472.40</v>
      </c>
      <c r="H284" s="1096">
        <f t="shared" si="689"/>
        <v>3205.90</v>
      </c>
      <c r="I284" s="1096">
        <f t="shared" si="689"/>
        <v>3269.10</v>
      </c>
      <c r="J284" s="1096">
        <f t="shared" si="689"/>
        <v>3291.80</v>
      </c>
      <c r="K284" s="1096">
        <f t="shared" si="689"/>
        <v>3539.4000000000015</v>
      </c>
      <c r="L284" s="1394">
        <f t="shared" si="689"/>
        <v>13306.20</v>
      </c>
      <c r="M284" s="1096">
        <f t="shared" si="689"/>
        <v>3368.60</v>
      </c>
      <c r="N284" s="1097">
        <f t="shared" si="689"/>
        <v>3617.20</v>
      </c>
      <c r="O284" s="1097">
        <f t="shared" si="689"/>
        <v>3654.30</v>
      </c>
      <c r="P284" s="1097">
        <f t="shared" si="689"/>
        <v>3701.9000000000015</v>
      </c>
      <c r="Q284" s="1395">
        <f t="shared" si="689"/>
        <v>14342</v>
      </c>
      <c r="R284" s="1097">
        <f t="shared" si="689"/>
        <v>3913.40</v>
      </c>
      <c r="S284" s="1097">
        <f t="shared" si="689"/>
        <v>4243</v>
      </c>
      <c r="T284" s="1097">
        <f t="shared" si="689"/>
        <v>4398.20</v>
      </c>
      <c r="U284" s="1097">
        <f t="shared" si="689"/>
        <v>4325</v>
      </c>
      <c r="V284" s="1395">
        <f t="shared" si="689"/>
        <v>16879.60</v>
      </c>
      <c r="W284" s="1097">
        <f t="shared" si="689"/>
        <v>4263.3999999999996</v>
      </c>
      <c r="X284" s="1097">
        <f t="shared" si="689"/>
        <v>4614.8999999999996</v>
      </c>
      <c r="Y284" s="1097">
        <f t="shared" si="689"/>
        <v>5050.50</v>
      </c>
      <c r="Z284" s="1097">
        <f t="shared" si="689"/>
        <v>4879.2000000000007</v>
      </c>
      <c r="AA284" s="1395">
        <f t="shared" si="689"/>
        <v>18808</v>
      </c>
      <c r="AB284" s="1097">
        <f t="shared" si="689"/>
        <v>4870.80</v>
      </c>
      <c r="AC284" s="1097">
        <f t="shared" si="689"/>
        <v>5375.30</v>
      </c>
      <c r="AD284" s="1097">
        <f t="shared" si="689"/>
        <v>5523.10</v>
      </c>
      <c r="AE284" s="1097">
        <f t="shared" si="689"/>
        <v>5951.7999999999993</v>
      </c>
      <c r="AF284" s="1395">
        <f t="shared" si="689"/>
        <v>21721</v>
      </c>
      <c r="AG284" s="1097">
        <f t="shared" si="689"/>
        <v>5759</v>
      </c>
      <c r="AH284" s="1097">
        <f t="shared" si="689"/>
        <v>6138.10</v>
      </c>
      <c r="AI284" s="1097">
        <f t="shared" si="689"/>
        <v>6426.30</v>
      </c>
      <c r="AJ284" s="1097">
        <f t="shared" si="689"/>
        <v>7147.0999999999985</v>
      </c>
      <c r="AK284" s="1395">
        <f t="shared" si="689"/>
        <v>25470.50</v>
      </c>
      <c r="AL284" s="1097">
        <f t="shared" si="689"/>
        <v>6155.20</v>
      </c>
      <c r="AM284" s="1097">
        <f t="shared" si="689"/>
        <v>5321.40</v>
      </c>
      <c r="AN284" s="1097">
        <f t="shared" si="689"/>
        <v>6713.10</v>
      </c>
      <c r="AO284" s="1097">
        <f t="shared" si="689"/>
        <v>6932.1000000000022</v>
      </c>
      <c r="AP284" s="1395">
        <f t="shared" si="689"/>
        <v>25121.799999999999</v>
      </c>
      <c r="AQ284" s="1097">
        <f t="shared" si="689"/>
        <v>7110.50</v>
      </c>
      <c r="AR284" s="1097">
        <f t="shared" si="689"/>
        <v>8406.40</v>
      </c>
      <c r="AS284" s="1097">
        <f t="shared" si="689"/>
        <v>9250.7000000000007</v>
      </c>
      <c r="AT284" s="1097">
        <f t="shared" si="689"/>
        <v>8860</v>
      </c>
      <c r="AU284" s="1395">
        <f t="shared" si="689"/>
        <v>33627.60</v>
      </c>
      <c r="AV284" s="1097">
        <f t="shared" si="690" ref="AV284:AZ284">AV276</f>
        <v>8858.40</v>
      </c>
      <c r="AW284" s="1097">
        <f t="shared" si="690"/>
        <v>9421.10</v>
      </c>
      <c r="AX284" s="1097">
        <f t="shared" si="690"/>
        <v>10018.700000000001</v>
      </c>
      <c r="AY284" s="1097">
        <f t="shared" si="690"/>
        <v>9824.4999999999964</v>
      </c>
      <c r="AZ284" s="1395">
        <f t="shared" si="690"/>
        <v>38122.699999999997</v>
      </c>
      <c r="BA284" s="1097">
        <f t="shared" si="691" ref="BA284:BR284">BA276</f>
        <v>10624</v>
      </c>
      <c r="BB284" s="1097">
        <f t="shared" si="691"/>
        <v>12170.099999999999</v>
      </c>
      <c r="BC284" s="1097">
        <f t="shared" si="691"/>
        <v>11387.90</v>
      </c>
      <c r="BD284" s="1097">
        <f t="shared" si="691"/>
        <v>11472.60</v>
      </c>
      <c r="BE284" s="1395">
        <f t="shared" si="691"/>
        <v>45654.599999999999</v>
      </c>
      <c r="BF284" s="1097">
        <f>BF276</f>
        <v>10971.60</v>
      </c>
      <c r="BG284" s="1097">
        <f>BG276</f>
        <v>12595.300000000001</v>
      </c>
      <c r="BH284" s="1099">
        <f>BH276</f>
        <v>12510.299999999994</v>
      </c>
      <c r="BI284" s="1096">
        <f t="shared" si="691"/>
        <v>13563.335002433738</v>
      </c>
      <c r="BJ284" s="1394">
        <f t="shared" si="691"/>
        <v>49640.535002433724</v>
      </c>
      <c r="BK284" s="1096">
        <f t="shared" si="691"/>
        <v>16086.160765705765</v>
      </c>
      <c r="BL284" s="1096">
        <f t="shared" si="691"/>
        <v>15012.267778075118</v>
      </c>
      <c r="BM284" s="1096">
        <f t="shared" si="691"/>
        <v>15535.283064004127</v>
      </c>
      <c r="BN284" s="1096">
        <f t="shared" si="691"/>
        <v>14864.533824892049</v>
      </c>
      <c r="BO284" s="1394">
        <f t="shared" si="691"/>
        <v>61498.245432677068</v>
      </c>
      <c r="BP284" s="1394">
        <f t="shared" si="691"/>
        <v>65925.906555438996</v>
      </c>
      <c r="BQ284" s="1394">
        <f t="shared" si="691"/>
        <v>68589.313180278725</v>
      </c>
      <c r="BR284" s="1394">
        <f t="shared" si="691"/>
        <v>71360.321432761993</v>
      </c>
      <c r="BS284" s="648"/>
    </row>
    <row r="285" spans="1:71" s="668" customFormat="1" ht="15" hidden="1" outlineLevel="1">
      <c r="A285" s="904"/>
      <c r="B285" s="1005"/>
      <c r="C285" s="1363"/>
      <c r="D285" s="1363"/>
      <c r="E285" s="1363"/>
      <c r="F285" s="1363"/>
      <c r="G285" s="1363"/>
      <c r="H285" s="1062"/>
      <c r="I285" s="1062"/>
      <c r="J285" s="1062"/>
      <c r="K285" s="1062"/>
      <c r="L285" s="1363"/>
      <c r="M285" s="1062"/>
      <c r="N285" s="1062"/>
      <c r="O285" s="1062"/>
      <c r="P285" s="1062"/>
      <c r="Q285" s="1363"/>
      <c r="R285" s="1062"/>
      <c r="S285" s="1062"/>
      <c r="T285" s="1062"/>
      <c r="U285" s="1062"/>
      <c r="V285" s="1363"/>
      <c r="W285" s="1062"/>
      <c r="X285" s="1062"/>
      <c r="Y285" s="1062"/>
      <c r="Z285" s="1062"/>
      <c r="AA285" s="1363"/>
      <c r="AB285" s="1062"/>
      <c r="AC285" s="1062"/>
      <c r="AD285" s="1062"/>
      <c r="AE285" s="1062"/>
      <c r="AF285" s="1363"/>
      <c r="AG285" s="1062"/>
      <c r="AH285" s="1062"/>
      <c r="AI285" s="1062"/>
      <c r="AJ285" s="1062"/>
      <c r="AK285" s="1363"/>
      <c r="AL285" s="1062"/>
      <c r="AM285" s="1062"/>
      <c r="AN285" s="1062"/>
      <c r="AO285" s="1062"/>
      <c r="AP285" s="1363"/>
      <c r="AQ285" s="1062"/>
      <c r="AR285" s="1062"/>
      <c r="AS285" s="1062"/>
      <c r="AT285" s="1062"/>
      <c r="AU285" s="1363"/>
      <c r="AV285" s="1062"/>
      <c r="AW285" s="1062"/>
      <c r="AX285" s="1062"/>
      <c r="AY285" s="1062"/>
      <c r="AZ285" s="1363"/>
      <c r="BA285" s="1062"/>
      <c r="BB285" s="1062"/>
      <c r="BC285" s="1062"/>
      <c r="BD285" s="1062"/>
      <c r="BE285" s="1363"/>
      <c r="BF285" s="1062"/>
      <c r="BG285" s="1062"/>
      <c r="BH285" s="1094"/>
      <c r="BI285" s="1092"/>
      <c r="BJ285" s="1393"/>
      <c r="BK285" s="1092"/>
      <c r="BL285" s="1092"/>
      <c r="BM285" s="1092"/>
      <c r="BN285" s="1092"/>
      <c r="BO285" s="1393"/>
      <c r="BP285" s="1363"/>
      <c r="BQ285" s="1363"/>
      <c r="BR285" s="1393"/>
      <c r="BS285" s="648"/>
    </row>
    <row r="286" spans="1:71" s="676" customFormat="1" ht="15" hidden="1" outlineLevel="1">
      <c r="A286" s="513" t="s">
        <v>602</v>
      </c>
      <c r="B286" s="396"/>
      <c r="C286" s="1343">
        <v>0.21099999999999999</v>
      </c>
      <c r="D286" s="1343">
        <v>0.21299999999999999</v>
      </c>
      <c r="E286" s="1343">
        <v>0.20799999999999999</v>
      </c>
      <c r="F286" s="1343">
        <v>0.20599999999999999</v>
      </c>
      <c r="G286" s="1343">
        <v>0.20200000000000001</v>
      </c>
      <c r="H286" s="1219">
        <v>0.19600000000000001</v>
      </c>
      <c r="I286" s="1219">
        <v>0.20</v>
      </c>
      <c r="J286" s="1219">
        <v>0.19800000000000001</v>
      </c>
      <c r="K286" s="381">
        <f>K62</f>
        <v>0.19419116485891205</v>
      </c>
      <c r="L286" s="1343">
        <v>0.19700000000000001</v>
      </c>
      <c r="M286" s="1219">
        <v>0.195</v>
      </c>
      <c r="N286" s="1219">
        <v>0.193</v>
      </c>
      <c r="O286" s="1219">
        <v>0.19800000000000001</v>
      </c>
      <c r="P286" s="381">
        <f>P62</f>
        <v>0.19795584212583048</v>
      </c>
      <c r="Q286" s="1343">
        <v>0.19600000000000001</v>
      </c>
      <c r="R286" s="1219">
        <v>0.195</v>
      </c>
      <c r="S286" s="1219">
        <v>0.19700000000000001</v>
      </c>
      <c r="T286" s="1219">
        <v>0.19600000000000001</v>
      </c>
      <c r="U286" s="381">
        <f>U62</f>
        <v>0.19981600031419375</v>
      </c>
      <c r="V286" s="1343">
        <v>0.19700000000000001</v>
      </c>
      <c r="W286" s="1219">
        <v>0.19800000000000001</v>
      </c>
      <c r="X286" s="1219">
        <v>0.195</v>
      </c>
      <c r="Y286" s="1219">
        <v>0.193</v>
      </c>
      <c r="Z286" s="381">
        <f>Z62</f>
        <v>0.19425023699891661</v>
      </c>
      <c r="AA286" s="1343">
        <v>0.195</v>
      </c>
      <c r="AB286" s="1219">
        <v>0.191</v>
      </c>
      <c r="AC286" s="1219">
        <v>0.19400000000000001</v>
      </c>
      <c r="AD286" s="1219">
        <v>0.193</v>
      </c>
      <c r="AE286" s="381">
        <f>AE62</f>
        <v>0.19003320134917145</v>
      </c>
      <c r="AF286" s="1343">
        <v>0.192</v>
      </c>
      <c r="AG286" s="1219">
        <v>0.193</v>
      </c>
      <c r="AH286" s="1219">
        <v>0.192</v>
      </c>
      <c r="AI286" s="1219">
        <v>0.187</v>
      </c>
      <c r="AJ286" s="381">
        <f>AJ62</f>
        <v>0.188348097517643</v>
      </c>
      <c r="AK286" s="1343">
        <v>0.19</v>
      </c>
      <c r="AL286" s="1219">
        <v>0.19600000000000001</v>
      </c>
      <c r="AM286" s="1219">
        <v>0.32800000000000001</v>
      </c>
      <c r="AN286" s="1219">
        <v>0.18099999999999999</v>
      </c>
      <c r="AO286" s="381">
        <f>AO62</f>
        <v>0.18833515667541209</v>
      </c>
      <c r="AP286" s="1343">
        <v>0.223</v>
      </c>
      <c r="AQ286" s="1219">
        <v>0.188</v>
      </c>
      <c r="AR286" s="1219">
        <v>0.186</v>
      </c>
      <c r="AS286" s="1219">
        <v>0.18099999999999999</v>
      </c>
      <c r="AT286" s="381">
        <f>AT62</f>
        <v>0.18512962790481075</v>
      </c>
      <c r="AU286" s="1343">
        <v>0.185</v>
      </c>
      <c r="AV286" s="1219">
        <v>0.182</v>
      </c>
      <c r="AW286" s="1219">
        <v>0.16700000000000001</v>
      </c>
      <c r="AX286" s="1219">
        <v>0.18</v>
      </c>
      <c r="AY286" s="381">
        <f>AY62</f>
        <v>0.18273758942120086</v>
      </c>
      <c r="AZ286" s="1343">
        <v>0.17799999999999999</v>
      </c>
      <c r="BA286" s="1219">
        <v>0.187</v>
      </c>
      <c r="BB286" s="1219">
        <v>0.17899999999999999</v>
      </c>
      <c r="BC286" s="1219">
        <v>0.18</v>
      </c>
      <c r="BD286" s="381">
        <f>BD62</f>
        <v>0.17866778617408344</v>
      </c>
      <c r="BE286" s="1343">
        <v>0.18099999999999999</v>
      </c>
      <c r="BF286" s="1219">
        <v>0.17899999999999999</v>
      </c>
      <c r="BG286" s="1219">
        <v>0.18099999999999999</v>
      </c>
      <c r="BH286" s="1220">
        <v>0.19</v>
      </c>
      <c r="BI286" s="909"/>
      <c r="BJ286" s="1340"/>
      <c r="BK286" s="909"/>
      <c r="BL286" s="909"/>
      <c r="BM286" s="909"/>
      <c r="BN286" s="909"/>
      <c r="BO286" s="1340"/>
      <c r="BP286" s="1339"/>
      <c r="BQ286" s="1339"/>
      <c r="BR286" s="1340"/>
      <c r="BS286" s="648"/>
    </row>
    <row r="287" spans="1:71" s="676" customFormat="1" ht="15" hidden="1" outlineLevel="1">
      <c r="A287" s="513" t="s">
        <v>612</v>
      </c>
      <c r="B287" s="396"/>
      <c r="C287" s="1343">
        <v>0.205</v>
      </c>
      <c r="D287" s="1343">
        <v>0.22</v>
      </c>
      <c r="E287" s="1343">
        <v>0.225</v>
      </c>
      <c r="F287" s="1343">
        <v>0.21199999999999999</v>
      </c>
      <c r="G287" s="1343">
        <v>0.20699999999999999</v>
      </c>
      <c r="H287" s="1219">
        <v>0.216</v>
      </c>
      <c r="I287" s="1219">
        <v>0.20</v>
      </c>
      <c r="J287" s="1219">
        <v>0.19900000000000001</v>
      </c>
      <c r="K287" s="381">
        <f>K91</f>
        <v>0.19074388150473295</v>
      </c>
      <c r="L287" s="1343">
        <v>0.20100000000000001</v>
      </c>
      <c r="M287" s="1219">
        <v>0.21199999999999999</v>
      </c>
      <c r="N287" s="1219">
        <v>0.195</v>
      </c>
      <c r="O287" s="1219">
        <v>0.20399999999999999</v>
      </c>
      <c r="P287" s="381">
        <f>P91</f>
        <v>0.19370754273905694</v>
      </c>
      <c r="Q287" s="1343">
        <v>0.20100000000000001</v>
      </c>
      <c r="R287" s="1219">
        <v>0.21</v>
      </c>
      <c r="S287" s="1219">
        <v>0.195</v>
      </c>
      <c r="T287" s="1219">
        <v>0.184</v>
      </c>
      <c r="U287" s="381">
        <f>U91</f>
        <v>0.16529030941301323</v>
      </c>
      <c r="V287" s="1343">
        <v>0.188</v>
      </c>
      <c r="W287" s="1219">
        <v>0.205</v>
      </c>
      <c r="X287" s="1219">
        <v>0.189</v>
      </c>
      <c r="Y287" s="1219">
        <v>0.19600000000000001</v>
      </c>
      <c r="Z287" s="381">
        <f>Z91</f>
        <v>0.19454486036838983</v>
      </c>
      <c r="AA287" s="1343">
        <v>0.19600000000000001</v>
      </c>
      <c r="AB287" s="1219">
        <v>0.205</v>
      </c>
      <c r="AC287" s="1219">
        <v>0.20100000000000001</v>
      </c>
      <c r="AD287" s="1219">
        <v>0.20799999999999999</v>
      </c>
      <c r="AE287" s="381">
        <f>AE91</f>
        <v>0.19450903771508024</v>
      </c>
      <c r="AF287" s="1343">
        <v>0.20200000000000001</v>
      </c>
      <c r="AG287" s="1219">
        <v>0.21099999999999999</v>
      </c>
      <c r="AH287" s="1219">
        <v>0.21199999999999999</v>
      </c>
      <c r="AI287" s="1219">
        <v>0.21</v>
      </c>
      <c r="AJ287" s="381">
        <f>AJ91</f>
        <v>0.20371475597538277</v>
      </c>
      <c r="AK287" s="1343">
        <v>0.20899999999999999</v>
      </c>
      <c r="AL287" s="1219">
        <v>0.224</v>
      </c>
      <c r="AM287" s="1219">
        <v>0.34200000000000003</v>
      </c>
      <c r="AN287" s="1219">
        <v>0.216</v>
      </c>
      <c r="AO287" s="381">
        <f>AO91</f>
        <v>0.21175383556931526</v>
      </c>
      <c r="AP287" s="1343">
        <v>0.248</v>
      </c>
      <c r="AQ287" s="1219">
        <v>0.222</v>
      </c>
      <c r="AR287" s="1219">
        <v>0.20200000000000001</v>
      </c>
      <c r="AS287" s="1219">
        <v>0.186</v>
      </c>
      <c r="AT287" s="381">
        <f>AT91</f>
        <v>0.16789692811147466</v>
      </c>
      <c r="AU287" s="1343">
        <v>0.19400000000000001</v>
      </c>
      <c r="AV287" s="1219">
        <v>0.19700000000000001</v>
      </c>
      <c r="AW287" s="1219">
        <v>0.18099999999999999</v>
      </c>
      <c r="AX287" s="1219">
        <v>0.17799999999999999</v>
      </c>
      <c r="AY287" s="381">
        <f>AY91</f>
        <v>0.15074155563020189</v>
      </c>
      <c r="AZ287" s="1343">
        <v>0.17599999999999999</v>
      </c>
      <c r="BA287" s="1219">
        <v>0.20699999999999999</v>
      </c>
      <c r="BB287" s="1219">
        <v>0.13100000000000001</v>
      </c>
      <c r="BC287" s="1219">
        <v>0.11899999999999999</v>
      </c>
      <c r="BD287" s="381">
        <f>BD91</f>
        <v>0.12241408100426329</v>
      </c>
      <c r="BE287" s="1343">
        <v>0.14299999999999999</v>
      </c>
      <c r="BF287" s="1219">
        <v>0.17199999999999999</v>
      </c>
      <c r="BG287" s="1219">
        <v>0.187</v>
      </c>
      <c r="BH287" s="1220">
        <v>0.22</v>
      </c>
      <c r="BI287" s="909"/>
      <c r="BJ287" s="1340"/>
      <c r="BK287" s="909"/>
      <c r="BL287" s="909"/>
      <c r="BM287" s="909"/>
      <c r="BN287" s="909"/>
      <c r="BO287" s="1340"/>
      <c r="BP287" s="1339"/>
      <c r="BQ287" s="1339"/>
      <c r="BR287" s="1340"/>
      <c r="BS287" s="648"/>
    </row>
    <row r="288" spans="1:71" s="676" customFormat="1" ht="15" hidden="1" outlineLevel="1">
      <c r="A288" s="568" t="s">
        <v>548</v>
      </c>
      <c r="B288" s="521"/>
      <c r="C288" s="1396">
        <v>0.20899999999999999</v>
      </c>
      <c r="D288" s="1396">
        <v>0.216</v>
      </c>
      <c r="E288" s="1396">
        <v>0.216</v>
      </c>
      <c r="F288" s="1396">
        <v>0.20799999999999999</v>
      </c>
      <c r="G288" s="1396">
        <v>0.20399999999999999</v>
      </c>
      <c r="H288" s="1242">
        <v>0.205</v>
      </c>
      <c r="I288" s="1242">
        <v>0.20</v>
      </c>
      <c r="J288" s="1242">
        <v>0.19900000000000001</v>
      </c>
      <c r="K288" s="523">
        <f>K125</f>
        <v>0.19260998380275357</v>
      </c>
      <c r="L288" s="1396">
        <v>0.19900000000000001</v>
      </c>
      <c r="M288" s="1242">
        <v>0.20300000000000001</v>
      </c>
      <c r="N288" s="1242">
        <v>0.19400000000000001</v>
      </c>
      <c r="O288" s="1242">
        <v>0.20100000000000001</v>
      </c>
      <c r="P288" s="523">
        <f>P125</f>
        <v>0.19591503282720035</v>
      </c>
      <c r="Q288" s="1396">
        <v>0.19800000000000001</v>
      </c>
      <c r="R288" s="1242">
        <v>0.20200000000000001</v>
      </c>
      <c r="S288" s="1242">
        <v>0.19600000000000001</v>
      </c>
      <c r="T288" s="1242">
        <v>0.19</v>
      </c>
      <c r="U288" s="523">
        <f>U125</f>
        <v>0.18288624899919934</v>
      </c>
      <c r="V288" s="1396">
        <v>0.192</v>
      </c>
      <c r="W288" s="1242">
        <v>0.20100000000000001</v>
      </c>
      <c r="X288" s="1242">
        <v>0.192</v>
      </c>
      <c r="Y288" s="1242">
        <v>0.195</v>
      </c>
      <c r="Z288" s="523">
        <f>Z125</f>
        <v>0.19439520525564521</v>
      </c>
      <c r="AA288" s="1396">
        <v>0.195</v>
      </c>
      <c r="AB288" s="1242">
        <v>0.19800000000000001</v>
      </c>
      <c r="AC288" s="1242">
        <v>0.19700000000000001</v>
      </c>
      <c r="AD288" s="1242">
        <v>0.20100000000000001</v>
      </c>
      <c r="AE288" s="523">
        <f>AE125</f>
        <v>0.19228504597985924</v>
      </c>
      <c r="AF288" s="1396">
        <v>0.19700000000000001</v>
      </c>
      <c r="AG288" s="1242">
        <v>0.20200000000000001</v>
      </c>
      <c r="AH288" s="1242">
        <v>0.20200000000000001</v>
      </c>
      <c r="AI288" s="1242">
        <v>0.19900000000000001</v>
      </c>
      <c r="AJ288" s="523">
        <f>AJ125</f>
        <v>0.19616151998835626</v>
      </c>
      <c r="AK288" s="1396">
        <v>0.19900000000000001</v>
      </c>
      <c r="AL288" s="1242">
        <v>0.21099999999999999</v>
      </c>
      <c r="AM288" s="1242">
        <v>0.335</v>
      </c>
      <c r="AN288" s="1242">
        <v>0.19900000000000001</v>
      </c>
      <c r="AO288" s="523">
        <f>AO125</f>
        <v>0.20049094718297275</v>
      </c>
      <c r="AP288" s="1396">
        <v>0.23599999999999999</v>
      </c>
      <c r="AQ288" s="1242">
        <v>0.20599999999999999</v>
      </c>
      <c r="AR288" s="1242">
        <v>0.19400000000000001</v>
      </c>
      <c r="AS288" s="1242">
        <v>0.184</v>
      </c>
      <c r="AT288" s="523">
        <f>AT125</f>
        <v>0.17609167211081705</v>
      </c>
      <c r="AU288" s="1396">
        <v>0.19</v>
      </c>
      <c r="AV288" s="1242">
        <v>0.19</v>
      </c>
      <c r="AW288" s="1242">
        <v>0.17399999999999999</v>
      </c>
      <c r="AX288" s="1242">
        <v>0.17899999999999999</v>
      </c>
      <c r="AY288" s="523">
        <f>AY125</f>
        <v>0.16554336315134979</v>
      </c>
      <c r="AZ288" s="1396">
        <v>0.17699999999999999</v>
      </c>
      <c r="BA288" s="1242">
        <v>0.19700000000000001</v>
      </c>
      <c r="BB288" s="1242">
        <v>0.153</v>
      </c>
      <c r="BC288" s="1242">
        <v>0.14699999999999999</v>
      </c>
      <c r="BD288" s="523">
        <f>BD125</f>
        <v>0.14819913406029503</v>
      </c>
      <c r="BE288" s="1396">
        <v>0.16</v>
      </c>
      <c r="BF288" s="1242">
        <v>0.175</v>
      </c>
      <c r="BG288" s="1242">
        <v>0.184</v>
      </c>
      <c r="BH288" s="1243">
        <v>0.20699999999999999</v>
      </c>
      <c r="BI288" s="523"/>
      <c r="BJ288" s="1362"/>
      <c r="BK288" s="523"/>
      <c r="BL288" s="523"/>
      <c r="BM288" s="523"/>
      <c r="BN288" s="523"/>
      <c r="BO288" s="1362"/>
      <c r="BP288" s="1362"/>
      <c r="BQ288" s="1362"/>
      <c r="BR288" s="1362"/>
      <c r="BS288" s="648"/>
    </row>
    <row r="289" spans="1:71" s="676" customFormat="1" ht="15" hidden="1" outlineLevel="1">
      <c r="A289" s="925" t="s">
        <v>361</v>
      </c>
      <c r="B289" s="396"/>
      <c r="C289" s="1343">
        <v>0.21099999999999999</v>
      </c>
      <c r="D289" s="1343">
        <v>0.224</v>
      </c>
      <c r="E289" s="1343">
        <v>0.22</v>
      </c>
      <c r="F289" s="1343">
        <v>0.222</v>
      </c>
      <c r="G289" s="1343">
        <v>0.216</v>
      </c>
      <c r="H289" s="1219">
        <v>0.21299999999999999</v>
      </c>
      <c r="I289" s="1219">
        <v>0.222</v>
      </c>
      <c r="J289" s="1219">
        <v>0.214</v>
      </c>
      <c r="K289" s="381">
        <f>K160</f>
        <v>0.19660313630880571</v>
      </c>
      <c r="L289" s="1343">
        <v>0.21099999999999999</v>
      </c>
      <c r="M289" s="1219">
        <v>0.222</v>
      </c>
      <c r="N289" s="1219">
        <v>0.217</v>
      </c>
      <c r="O289" s="1219">
        <v>0.21299999999999999</v>
      </c>
      <c r="P289" s="381">
        <f>P160</f>
        <v>0.21645774248440161</v>
      </c>
      <c r="Q289" s="1343">
        <v>0.217</v>
      </c>
      <c r="R289" s="1219">
        <v>0.225</v>
      </c>
      <c r="S289" s="1219">
        <v>0.22900000000000001</v>
      </c>
      <c r="T289" s="1219">
        <v>0.21099999999999999</v>
      </c>
      <c r="U289" s="381">
        <f>U160</f>
        <v>0.20508753274772673</v>
      </c>
      <c r="V289" s="1343">
        <v>0.217</v>
      </c>
      <c r="W289" s="1219">
        <v>0.22</v>
      </c>
      <c r="X289" s="1219">
        <v>0.222</v>
      </c>
      <c r="Y289" s="1219">
        <v>0.218</v>
      </c>
      <c r="Z289" s="381">
        <f>Z160</f>
        <v>0.22011092172544913</v>
      </c>
      <c r="AA289" s="1343">
        <v>0.22</v>
      </c>
      <c r="AB289" s="1219">
        <v>0.20899999999999999</v>
      </c>
      <c r="AC289" s="1219">
        <v>0.20</v>
      </c>
      <c r="AD289" s="1219">
        <v>0.20399999999999999</v>
      </c>
      <c r="AE289" s="381">
        <f>AE160</f>
        <v>0.203483033524121</v>
      </c>
      <c r="AF289" s="1343">
        <v>0.20399999999999999</v>
      </c>
      <c r="AG289" s="1219">
        <v>0.20899999999999999</v>
      </c>
      <c r="AH289" s="1219">
        <v>0.21099999999999999</v>
      </c>
      <c r="AI289" s="1219">
        <v>0.215</v>
      </c>
      <c r="AJ289" s="381">
        <f>AJ160</f>
        <v>0.20905884254768828</v>
      </c>
      <c r="AK289" s="1343">
        <v>0.21099999999999999</v>
      </c>
      <c r="AL289" s="1219">
        <v>0.224</v>
      </c>
      <c r="AM289" s="1219">
        <v>0.26800000000000002</v>
      </c>
      <c r="AN289" s="1219">
        <v>0.20599999999999999</v>
      </c>
      <c r="AO289" s="381">
        <f>AO160</f>
        <v>0.20692345495160097</v>
      </c>
      <c r="AP289" s="1343">
        <v>0.225</v>
      </c>
      <c r="AQ289" s="1219">
        <v>0.20399999999999999</v>
      </c>
      <c r="AR289" s="1219">
        <v>0.20200000000000001</v>
      </c>
      <c r="AS289" s="1219">
        <v>0.193</v>
      </c>
      <c r="AT289" s="381">
        <f>AT160</f>
        <v>0.18838684547874962</v>
      </c>
      <c r="AU289" s="1343">
        <v>0.19600000000000001</v>
      </c>
      <c r="AV289" s="1219">
        <v>0.195</v>
      </c>
      <c r="AW289" s="1219">
        <v>0.191</v>
      </c>
      <c r="AX289" s="1219">
        <v>0.192</v>
      </c>
      <c r="AY289" s="381">
        <f>AY160</f>
        <v>0.20580023943902848</v>
      </c>
      <c r="AZ289" s="1343">
        <v>0.19600000000000001</v>
      </c>
      <c r="BA289" s="1219">
        <v>0.221</v>
      </c>
      <c r="BB289" s="1219">
        <v>0.192</v>
      </c>
      <c r="BC289" s="1219">
        <v>0.19400000000000001</v>
      </c>
      <c r="BD289" s="381">
        <f>BD160</f>
        <v>0.18665471386294635</v>
      </c>
      <c r="BE289" s="1343">
        <v>0.19800000000000001</v>
      </c>
      <c r="BF289" s="1219">
        <v>0.19400000000000001</v>
      </c>
      <c r="BG289" s="1219">
        <v>0.19</v>
      </c>
      <c r="BH289" s="1220">
        <v>0.19400000000000001</v>
      </c>
      <c r="BI289" s="909"/>
      <c r="BJ289" s="1340"/>
      <c r="BK289" s="909"/>
      <c r="BL289" s="909"/>
      <c r="BM289" s="909"/>
      <c r="BN289" s="909"/>
      <c r="BO289" s="1340"/>
      <c r="BP289" s="1339"/>
      <c r="BQ289" s="1339"/>
      <c r="BR289" s="1340"/>
      <c r="BS289" s="648"/>
    </row>
    <row r="290" spans="1:71" s="676" customFormat="1" ht="15" hidden="1" outlineLevel="1">
      <c r="A290" s="925" t="s">
        <v>489</v>
      </c>
      <c r="B290" s="396"/>
      <c r="C290" s="1339"/>
      <c r="D290" s="1339"/>
      <c r="E290" s="1339"/>
      <c r="F290" s="1339"/>
      <c r="G290" s="1339"/>
      <c r="H290" s="381"/>
      <c r="I290" s="381"/>
      <c r="J290" s="381"/>
      <c r="K290" s="381"/>
      <c r="L290" s="1339"/>
      <c r="M290" s="381"/>
      <c r="N290" s="1219">
        <v>0.317</v>
      </c>
      <c r="O290" s="1219">
        <v>0.325</v>
      </c>
      <c r="P290" s="381">
        <f>P195</f>
        <v>0.33571491228070183</v>
      </c>
      <c r="Q290" s="1343">
        <v>0.32600000000000001</v>
      </c>
      <c r="R290" s="1219">
        <v>0.34300000000000003</v>
      </c>
      <c r="S290" s="1219">
        <v>0.35199999999999998</v>
      </c>
      <c r="T290" s="1219">
        <v>0.316</v>
      </c>
      <c r="U290" s="381">
        <f>U195</f>
        <v>0.31216865342163364</v>
      </c>
      <c r="V290" s="1343">
        <v>0.33</v>
      </c>
      <c r="W290" s="1219">
        <v>0.373</v>
      </c>
      <c r="X290" s="1219">
        <v>0.34899999999999998</v>
      </c>
      <c r="Y290" s="1219">
        <v>0.32</v>
      </c>
      <c r="Z290" s="381">
        <f>Z195</f>
        <v>0.33426629422718823</v>
      </c>
      <c r="AA290" s="1343">
        <v>0.34300000000000003</v>
      </c>
      <c r="AB290" s="1219">
        <v>0.34899999999999998</v>
      </c>
      <c r="AC290" s="1219">
        <v>0.36699999999999999</v>
      </c>
      <c r="AD290" s="1219">
        <v>0.325</v>
      </c>
      <c r="AE290" s="381">
        <f>AE195</f>
        <v>0.32679181946403413</v>
      </c>
      <c r="AF290" s="1343">
        <v>0.34100000000000003</v>
      </c>
      <c r="AG290" s="1219">
        <v>0.29799999999999999</v>
      </c>
      <c r="AH290" s="1219">
        <v>0.313</v>
      </c>
      <c r="AI290" s="1219">
        <v>0.309</v>
      </c>
      <c r="AJ290" s="381">
        <f>AJ195</f>
        <v>0.29990645395213922</v>
      </c>
      <c r="AK290" s="1343">
        <v>0.305</v>
      </c>
      <c r="AL290" s="1219">
        <v>0.30099999999999999</v>
      </c>
      <c r="AM290" s="1219">
        <v>0.29599999999999999</v>
      </c>
      <c r="AN290" s="1219">
        <v>0.30599999999999999</v>
      </c>
      <c r="AO290" s="381">
        <f>AO195</f>
        <v>0.28945388088583091</v>
      </c>
      <c r="AP290" s="1343">
        <v>0.29799999999999999</v>
      </c>
      <c r="AQ290" s="1219">
        <v>0.30099999999999999</v>
      </c>
      <c r="AR290" s="1219">
        <v>0.29099999999999998</v>
      </c>
      <c r="AS290" s="1219">
        <v>0.28399999999999997</v>
      </c>
      <c r="AT290" s="381">
        <f>AT195</f>
        <v>0.28153122690317806</v>
      </c>
      <c r="AU290" s="1343">
        <v>0.28899999999999998</v>
      </c>
      <c r="AV290" s="1219">
        <v>0.27900000000000003</v>
      </c>
      <c r="AW290" s="1219">
        <v>0.25800000000000001</v>
      </c>
      <c r="AX290" s="1219">
        <v>0.27900000000000003</v>
      </c>
      <c r="AY290" s="381">
        <f>AY195</f>
        <v>0.27226412818745693</v>
      </c>
      <c r="AZ290" s="1343">
        <v>0.27200000000000002</v>
      </c>
      <c r="BA290" s="1219">
        <v>0.30099999999999999</v>
      </c>
      <c r="BB290" s="1219">
        <v>0.27600000000000002</v>
      </c>
      <c r="BC290" s="1219">
        <v>0.29399999999999998</v>
      </c>
      <c r="BD290" s="381">
        <f>BD195</f>
        <v>0.30038290867449174</v>
      </c>
      <c r="BE290" s="1367">
        <v>0.29299999999999998</v>
      </c>
      <c r="BF290" s="1219">
        <v>0.28599999999999998</v>
      </c>
      <c r="BG290" s="1219">
        <v>0.28899999999999998</v>
      </c>
      <c r="BH290" s="1220">
        <v>0.29899999999999999</v>
      </c>
      <c r="BI290" s="909"/>
      <c r="BJ290" s="1340"/>
      <c r="BK290" s="909"/>
      <c r="BL290" s="909"/>
      <c r="BM290" s="909"/>
      <c r="BN290" s="909"/>
      <c r="BO290" s="1340"/>
      <c r="BP290" s="1339"/>
      <c r="BQ290" s="1339"/>
      <c r="BR290" s="1340"/>
      <c r="BS290" s="648"/>
    </row>
    <row r="291" spans="1:71" s="671" customFormat="1" ht="15" hidden="1" outlineLevel="1">
      <c r="A291" s="58" t="s">
        <v>633</v>
      </c>
      <c r="B291" s="569"/>
      <c r="C291" s="1391">
        <f t="shared" si="692" ref="C291:AT291">(+C511+C516+C521-C502)/C501</f>
        <v>0.20925867778031515</v>
      </c>
      <c r="D291" s="1368">
        <f t="shared" si="692"/>
        <v>0.21655908570151169</v>
      </c>
      <c r="E291" s="1368">
        <f t="shared" si="692"/>
        <v>0.21611375043615966</v>
      </c>
      <c r="F291" s="1368">
        <f t="shared" si="692"/>
        <v>0.20983268822574605</v>
      </c>
      <c r="G291" s="1368">
        <f t="shared" si="692"/>
        <v>0.20527497456646043</v>
      </c>
      <c r="H291" s="598">
        <f t="shared" si="692"/>
        <v>0.20593780523817098</v>
      </c>
      <c r="I291" s="598">
        <f t="shared" si="692"/>
        <v>0.20208264096599093</v>
      </c>
      <c r="J291" s="598">
        <f t="shared" si="692"/>
        <v>0.20010572454351228</v>
      </c>
      <c r="K291" s="598">
        <f t="shared" si="692"/>
        <v>0.1931776797636871</v>
      </c>
      <c r="L291" s="1368">
        <f t="shared" si="692"/>
        <v>0.2001250101910482</v>
      </c>
      <c r="M291" s="597">
        <f t="shared" si="692"/>
        <v>0.20489467029552325</v>
      </c>
      <c r="N291" s="597">
        <f t="shared" si="692"/>
        <v>0.20112894831658593</v>
      </c>
      <c r="O291" s="597">
        <f t="shared" si="692"/>
        <v>0.20735218711789533</v>
      </c>
      <c r="P291" s="597">
        <f t="shared" si="692"/>
        <v>0.2031588727160111</v>
      </c>
      <c r="Q291" s="1368">
        <f t="shared" si="692"/>
        <v>0.20412480966475871</v>
      </c>
      <c r="R291" s="597">
        <f t="shared" si="692"/>
        <v>0.21010268176176322</v>
      </c>
      <c r="S291" s="597">
        <f t="shared" si="692"/>
        <v>0.20554496745657877</v>
      </c>
      <c r="T291" s="597">
        <f t="shared" si="692"/>
        <v>0.19712059265471574</v>
      </c>
      <c r="U291" s="597">
        <f t="shared" si="692"/>
        <v>0.18985250536498963</v>
      </c>
      <c r="V291" s="1368">
        <f t="shared" si="692"/>
        <v>0.20037821482602119</v>
      </c>
      <c r="W291" s="597">
        <f t="shared" si="692"/>
        <v>0.20961720344467122</v>
      </c>
      <c r="X291" s="597">
        <f t="shared" si="692"/>
        <v>0.2012259832417278</v>
      </c>
      <c r="Y291" s="597">
        <f t="shared" si="692"/>
        <v>0.20194070904645481</v>
      </c>
      <c r="Z291" s="597">
        <f t="shared" si="692"/>
        <v>0.20155129347492654</v>
      </c>
      <c r="AA291" s="1368">
        <f t="shared" si="692"/>
        <v>0.20345978802871367</v>
      </c>
      <c r="AB291" s="597">
        <f t="shared" si="692"/>
        <v>0.20526902704209646</v>
      </c>
      <c r="AC291" s="597">
        <f t="shared" si="692"/>
        <v>0.2045662937832386</v>
      </c>
      <c r="AD291" s="597">
        <f t="shared" si="692"/>
        <v>0.20629216316751783</v>
      </c>
      <c r="AE291" s="597">
        <f t="shared" si="692"/>
        <v>0.19854538354526149</v>
      </c>
      <c r="AF291" s="1368">
        <f t="shared" si="692"/>
        <v>0.20357672799216378</v>
      </c>
      <c r="AG291" s="597">
        <f t="shared" si="692"/>
        <v>0.20704981205229442</v>
      </c>
      <c r="AH291" s="597">
        <f t="shared" si="692"/>
        <v>0.20797307557197409</v>
      </c>
      <c r="AI291" s="597">
        <f t="shared" si="692"/>
        <v>0.2056545571558554</v>
      </c>
      <c r="AJ291" s="597">
        <f t="shared" si="692"/>
        <v>0.20153197853613186</v>
      </c>
      <c r="AK291" s="1368">
        <f t="shared" si="692"/>
        <v>0.20541881721024305</v>
      </c>
      <c r="AL291" s="597">
        <f t="shared" si="692"/>
        <v>0.21622997232442975</v>
      </c>
      <c r="AM291" s="597">
        <f t="shared" si="692"/>
        <v>0.3252596231577638</v>
      </c>
      <c r="AN291" s="597">
        <f t="shared" si="692"/>
        <v>0.20487291322003318</v>
      </c>
      <c r="AO291" s="597">
        <f t="shared" si="692"/>
        <v>0.20534244965128115</v>
      </c>
      <c r="AP291" s="1368">
        <f t="shared" si="692"/>
        <v>0.2373082095482609</v>
      </c>
      <c r="AQ291" s="597">
        <f t="shared" si="692"/>
        <v>0.2101495172837374</v>
      </c>
      <c r="AR291" s="597">
        <f t="shared" si="692"/>
        <v>0.1996940531582638</v>
      </c>
      <c r="AS291" s="597">
        <f t="shared" si="692"/>
        <v>0.19014852879065189</v>
      </c>
      <c r="AT291" s="597">
        <f t="shared" si="692"/>
        <v>0.18375368490009827</v>
      </c>
      <c r="AU291" s="1368">
        <f t="shared" si="693" ref="AU291:AZ291">(+AU511+AU516+AU521-AU502)/AU501</f>
        <v>0.1955364930683117</v>
      </c>
      <c r="AV291" s="597">
        <f t="shared" si="693"/>
        <v>0.19450304586161021</v>
      </c>
      <c r="AW291" s="597">
        <f t="shared" si="693"/>
        <v>0.18013813087035621</v>
      </c>
      <c r="AX291" s="597">
        <f t="shared" si="693"/>
        <v>0.18436312898724888</v>
      </c>
      <c r="AY291" s="597">
        <f t="shared" si="693"/>
        <v>0.17721754644533219</v>
      </c>
      <c r="AZ291" s="1368">
        <f t="shared" si="693"/>
        <v>0.18388057155390203</v>
      </c>
      <c r="BA291" s="597">
        <f t="shared" si="694" ref="BA291:BR291">(+BA511+BA516+BA521-BA502)/BA501</f>
        <v>0.20449859972955198</v>
      </c>
      <c r="BB291" s="597">
        <f t="shared" si="694"/>
        <v>0.16306241530931118</v>
      </c>
      <c r="BC291" s="597">
        <f t="shared" si="694"/>
        <v>0.15913470253721224</v>
      </c>
      <c r="BD291" s="597">
        <f t="shared" si="694"/>
        <v>0.15984682297148214</v>
      </c>
      <c r="BE291" s="1329">
        <f t="shared" si="694"/>
        <v>0.17075943843284855</v>
      </c>
      <c r="BF291" s="597">
        <f>(+BF511+BF516+BF521-BF502)/BF501</f>
        <v>0.18126029501009377</v>
      </c>
      <c r="BG291" s="597">
        <f>(+BG511+BG516+BG521-BG502)/BG501</f>
        <v>0.18754757546703849</v>
      </c>
      <c r="BH291" s="869">
        <f>(+BH511+BH516+BH521-BH502)/BH501</f>
        <v>0.20670394114785728</v>
      </c>
      <c r="BI291" s="598">
        <f t="shared" si="694"/>
        <v>0.15568511216240244</v>
      </c>
      <c r="BJ291" s="1391">
        <f t="shared" si="694"/>
        <v>0.18306127721770529</v>
      </c>
      <c r="BK291" s="598">
        <f t="shared" si="694"/>
        <v>0.1773247814163498</v>
      </c>
      <c r="BL291" s="598">
        <f t="shared" si="694"/>
        <v>0.18578526930398384</v>
      </c>
      <c r="BM291" s="598">
        <f t="shared" si="694"/>
        <v>0.20600677992076569</v>
      </c>
      <c r="BN291" s="598">
        <f t="shared" si="694"/>
        <v>0.15162846651204817</v>
      </c>
      <c r="BO291" s="1391">
        <f t="shared" si="694"/>
        <v>0.18051062615700392</v>
      </c>
      <c r="BP291" s="1391">
        <f t="shared" si="694"/>
        <v>0.17976811967371853</v>
      </c>
      <c r="BQ291" s="1391">
        <f t="shared" si="694"/>
        <v>0.17865003081257638</v>
      </c>
      <c r="BR291" s="1391">
        <f t="shared" si="694"/>
        <v>0.1775308523194975</v>
      </c>
      <c r="BS291" s="648"/>
    </row>
    <row r="292" spans="1:71" s="671" customFormat="1" ht="15" hidden="1" outlineLevel="1">
      <c r="A292" s="573"/>
      <c r="B292" s="401"/>
      <c r="C292" s="1369"/>
      <c r="D292" s="1331"/>
      <c r="E292" s="1331"/>
      <c r="F292" s="1331"/>
      <c r="G292" s="1331"/>
      <c r="H292" s="289"/>
      <c r="I292" s="289"/>
      <c r="J292" s="289"/>
      <c r="K292" s="289"/>
      <c r="L292" s="1331"/>
      <c r="M292" s="289"/>
      <c r="N292" s="289"/>
      <c r="O292" s="289"/>
      <c r="P292" s="289"/>
      <c r="Q292" s="1331"/>
      <c r="R292" s="289"/>
      <c r="S292" s="289"/>
      <c r="T292" s="289"/>
      <c r="U292" s="289"/>
      <c r="V292" s="1331"/>
      <c r="W292" s="289"/>
      <c r="X292" s="289"/>
      <c r="Y292" s="289"/>
      <c r="Z292" s="289"/>
      <c r="AA292" s="1331"/>
      <c r="AB292" s="289"/>
      <c r="AC292" s="289"/>
      <c r="AD292" s="289"/>
      <c r="AE292" s="289"/>
      <c r="AF292" s="1331"/>
      <c r="AG292" s="289"/>
      <c r="AH292" s="289"/>
      <c r="AI292" s="289"/>
      <c r="AJ292" s="289"/>
      <c r="AK292" s="1331"/>
      <c r="AL292" s="289"/>
      <c r="AM292" s="289"/>
      <c r="AN292" s="289"/>
      <c r="AO292" s="289"/>
      <c r="AP292" s="1331"/>
      <c r="AQ292" s="289"/>
      <c r="AR292" s="289"/>
      <c r="AS292" s="289"/>
      <c r="AT292" s="289"/>
      <c r="AU292" s="1331"/>
      <c r="AV292" s="289"/>
      <c r="AW292" s="289"/>
      <c r="AX292" s="289"/>
      <c r="AY292" s="289"/>
      <c r="AZ292" s="1331"/>
      <c r="BA292" s="289"/>
      <c r="BB292" s="289"/>
      <c r="BC292" s="289"/>
      <c r="BD292" s="289"/>
      <c r="BE292" s="1331"/>
      <c r="BF292" s="289"/>
      <c r="BG292" s="289"/>
      <c r="BH292" s="819"/>
      <c r="BI292" s="289"/>
      <c r="BJ292" s="1331"/>
      <c r="BK292" s="289"/>
      <c r="BL292" s="289"/>
      <c r="BM292" s="289"/>
      <c r="BN292" s="289"/>
      <c r="BO292" s="1331"/>
      <c r="BP292" s="1331"/>
      <c r="BQ292" s="1331"/>
      <c r="BR292" s="1331"/>
      <c r="BS292" s="648"/>
    </row>
    <row r="293" spans="1:71" s="665" customFormat="1" ht="15" hidden="1" outlineLevel="1">
      <c r="A293" s="307" t="s">
        <v>600</v>
      </c>
      <c r="B293" s="308"/>
      <c r="C293" s="1364">
        <v>579.20000000000005</v>
      </c>
      <c r="D293" s="1364">
        <v>601</v>
      </c>
      <c r="E293" s="1364">
        <v>564.90</v>
      </c>
      <c r="F293" s="1364">
        <v>338.90</v>
      </c>
      <c r="G293" s="1364">
        <v>542.90</v>
      </c>
      <c r="H293" s="1225">
        <v>178.60</v>
      </c>
      <c r="I293" s="1225">
        <v>142.90000000000001</v>
      </c>
      <c r="J293" s="1225">
        <v>147</v>
      </c>
      <c r="K293" s="1047">
        <f>L293-SUM(H293,I293,J293)</f>
        <v>214.50</v>
      </c>
      <c r="L293" s="1364">
        <v>683</v>
      </c>
      <c r="M293" s="1225">
        <v>194.50</v>
      </c>
      <c r="N293" s="1225">
        <v>171.90</v>
      </c>
      <c r="O293" s="1225">
        <v>169.40</v>
      </c>
      <c r="P293" s="1047">
        <f>Q293-SUM(M293,N293,O293)</f>
        <v>177.40000000000009</v>
      </c>
      <c r="Q293" s="1364">
        <v>713.20</v>
      </c>
      <c r="R293" s="1225">
        <v>171.40</v>
      </c>
      <c r="S293" s="1225">
        <v>84.50</v>
      </c>
      <c r="T293" s="1225">
        <v>98.60</v>
      </c>
      <c r="U293" s="1047">
        <f>V293-SUM(R293,S293,T293)</f>
        <v>138.30000000000001</v>
      </c>
      <c r="V293" s="1364">
        <v>492.80</v>
      </c>
      <c r="W293" s="1225">
        <v>249.70</v>
      </c>
      <c r="X293" s="1225">
        <v>205.50</v>
      </c>
      <c r="Y293" s="1225">
        <v>69.50</v>
      </c>
      <c r="Z293" s="1047">
        <f>AA293-SUM(W293,X293,Y293)</f>
        <v>314.89999999999998</v>
      </c>
      <c r="AA293" s="1364">
        <v>839.60</v>
      </c>
      <c r="AB293" s="1225">
        <v>409.10</v>
      </c>
      <c r="AC293" s="1225">
        <v>360.90</v>
      </c>
      <c r="AD293" s="1225">
        <v>372.20</v>
      </c>
      <c r="AE293" s="1047">
        <f>AF293-SUM(AB293,AC293,AD293)</f>
        <v>293.50</v>
      </c>
      <c r="AF293" s="1364">
        <v>1435.70</v>
      </c>
      <c r="AG293" s="1225">
        <v>453</v>
      </c>
      <c r="AH293" s="1225">
        <v>434.70</v>
      </c>
      <c r="AI293" s="1225">
        <v>380.20</v>
      </c>
      <c r="AJ293" s="1047">
        <f>AK293-SUM(AG293,AH293,AI293)</f>
        <v>405.29999999999995</v>
      </c>
      <c r="AK293" s="1364">
        <v>1673.20</v>
      </c>
      <c r="AL293" s="1225">
        <v>601.60</v>
      </c>
      <c r="AM293" s="1225">
        <v>550.60</v>
      </c>
      <c r="AN293" s="1225">
        <v>596.50</v>
      </c>
      <c r="AO293" s="1047">
        <f>AP293-SUM(AL293,AM293,AN293)</f>
        <v>487.79999999999995</v>
      </c>
      <c r="AP293" s="1364">
        <v>2236.50</v>
      </c>
      <c r="AQ293" s="1225">
        <v>547.50</v>
      </c>
      <c r="AR293" s="1225">
        <v>207.50</v>
      </c>
      <c r="AS293" s="1225">
        <v>41</v>
      </c>
      <c r="AT293" s="1047">
        <f>AU293-SUM(AQ293,AR293,AS293)</f>
        <v>196.10000000000002</v>
      </c>
      <c r="AU293" s="1364">
        <v>992.10</v>
      </c>
      <c r="AV293" s="1225">
        <v>288.60000000000002</v>
      </c>
      <c r="AW293" s="1225">
        <v>260.30</v>
      </c>
      <c r="AX293" s="1225">
        <v>-41.30</v>
      </c>
      <c r="AY293" s="1047">
        <f>AZ293-SUM(AV293,AW293,AX293)</f>
        <v>226.49999999999994</v>
      </c>
      <c r="AZ293" s="1364">
        <v>734.10</v>
      </c>
      <c r="BA293" s="1047">
        <f>(1-(BA286+BA259))*BA230</f>
        <v>160.38659999999959</v>
      </c>
      <c r="BB293" s="1225">
        <v>-71.20</v>
      </c>
      <c r="BC293" s="1225">
        <v>335.70</v>
      </c>
      <c r="BD293" s="1042">
        <f>BE293-SUM(BA293,BB293,BC293)</f>
        <v>604.31340000000046</v>
      </c>
      <c r="BE293" s="1364">
        <v>1029.20</v>
      </c>
      <c r="BF293" s="1047">
        <f t="shared" si="695" ref="BF293:BF294">(1-(BF286+BF259))*BF230</f>
        <v>948.94739999999956</v>
      </c>
      <c r="BG293" s="1225">
        <v>788.50</v>
      </c>
      <c r="BH293" s="1226">
        <v>870.10</v>
      </c>
      <c r="BI293" s="1044"/>
      <c r="BJ293" s="1350"/>
      <c r="BK293" s="1044"/>
      <c r="BL293" s="1044"/>
      <c r="BM293" s="1044"/>
      <c r="BN293" s="1044"/>
      <c r="BO293" s="1350"/>
      <c r="BP293" s="1351"/>
      <c r="BQ293" s="1351"/>
      <c r="BR293" s="1350"/>
      <c r="BS293" s="648"/>
    </row>
    <row r="294" spans="1:71" s="665" customFormat="1" ht="15" hidden="1" outlineLevel="1">
      <c r="A294" s="309" t="s">
        <v>610</v>
      </c>
      <c r="B294" s="260"/>
      <c r="C294" s="1365">
        <v>357.90</v>
      </c>
      <c r="D294" s="1365">
        <v>291.10000000000002</v>
      </c>
      <c r="E294" s="1365">
        <v>354.40</v>
      </c>
      <c r="F294" s="1365">
        <v>289.50</v>
      </c>
      <c r="G294" s="1365">
        <v>473.90</v>
      </c>
      <c r="H294" s="1228">
        <v>71</v>
      </c>
      <c r="I294" s="1228">
        <v>115.70</v>
      </c>
      <c r="J294" s="1228">
        <v>107.59999999999999</v>
      </c>
      <c r="K294" s="1029">
        <f>L294-SUM(H294,I294,J294)</f>
        <v>129.10000000000002</v>
      </c>
      <c r="L294" s="1365">
        <v>423.40</v>
      </c>
      <c r="M294" s="1228">
        <v>68.20</v>
      </c>
      <c r="N294" s="1228">
        <v>118.09999999999999</v>
      </c>
      <c r="O294" s="1228">
        <v>100.90000000000001</v>
      </c>
      <c r="P294" s="1029">
        <f>Q294-SUM(M294,N294,O294)</f>
        <v>116.19999999999993</v>
      </c>
      <c r="Q294" s="1365">
        <v>403.40</v>
      </c>
      <c r="R294" s="1228">
        <v>79.50</v>
      </c>
      <c r="S294" s="1228">
        <v>73.599999999999994</v>
      </c>
      <c r="T294" s="1228">
        <v>84.40</v>
      </c>
      <c r="U294" s="1029">
        <f>V294-SUM(R294,S294,T294)</f>
        <v>174.70</v>
      </c>
      <c r="V294" s="1365">
        <v>412.20</v>
      </c>
      <c r="W294" s="1228">
        <v>175.30</v>
      </c>
      <c r="X294" s="1228">
        <v>162.69999999999999</v>
      </c>
      <c r="Y294" s="1228">
        <v>128.69999999999999</v>
      </c>
      <c r="Z294" s="1029">
        <f>AA294-SUM(W294,X294,Y294)</f>
        <v>217.00000000000006</v>
      </c>
      <c r="AA294" s="1365">
        <v>683.70</v>
      </c>
      <c r="AB294" s="1228">
        <v>298</v>
      </c>
      <c r="AC294" s="1228">
        <v>287.89999999999998</v>
      </c>
      <c r="AD294" s="1228">
        <v>294.39999999999998</v>
      </c>
      <c r="AE294" s="1029">
        <f>AF294-SUM(AB294,AC294,AD294)</f>
        <v>208.20000000000005</v>
      </c>
      <c r="AF294" s="1365">
        <v>1088.50</v>
      </c>
      <c r="AG294" s="1228">
        <v>321.89999999999998</v>
      </c>
      <c r="AH294" s="1228">
        <v>326.60000000000002</v>
      </c>
      <c r="AI294" s="1228">
        <v>291.70</v>
      </c>
      <c r="AJ294" s="1029">
        <f>AK294-SUM(AG294,AH294,AI294)</f>
        <v>241.20000000000005</v>
      </c>
      <c r="AK294" s="1365">
        <v>1181.4000000000001</v>
      </c>
      <c r="AL294" s="1228">
        <v>473</v>
      </c>
      <c r="AM294" s="1228">
        <v>647.20000000000005</v>
      </c>
      <c r="AN294" s="1228">
        <v>517.60</v>
      </c>
      <c r="AO294" s="1029">
        <f>AP294-SUM(AL294,AM294,AN294)</f>
        <v>438.69999999999982</v>
      </c>
      <c r="AP294" s="1365">
        <v>2076.50</v>
      </c>
      <c r="AQ294" s="1228">
        <v>414.60</v>
      </c>
      <c r="AR294" s="1228">
        <v>128.40000000000001</v>
      </c>
      <c r="AS294" s="1228">
        <v>-62.40</v>
      </c>
      <c r="AT294" s="1029">
        <f>AU294-SUM(AQ294,AR294,AS294)</f>
        <v>138.60000000000002</v>
      </c>
      <c r="AU294" s="1365">
        <v>619.20000000000005</v>
      </c>
      <c r="AV294" s="1228">
        <v>150.40000000000001</v>
      </c>
      <c r="AW294" s="1228">
        <v>198.40</v>
      </c>
      <c r="AX294" s="1228">
        <v>40.60</v>
      </c>
      <c r="AY294" s="1029">
        <f>AZ294-SUM(AV294,AW294,AX294)</f>
        <v>379.99999999999994</v>
      </c>
      <c r="AZ294" s="1365">
        <v>769.40</v>
      </c>
      <c r="BA294" s="1029">
        <f>(1-(BA287+BA260))*BA231</f>
        <v>-22.86960000000002</v>
      </c>
      <c r="BB294" s="1228">
        <v>126.50</v>
      </c>
      <c r="BC294" s="1228">
        <v>706.20</v>
      </c>
      <c r="BD294" s="1027">
        <f>BE294-SUM(BA294,BB294,BC294)</f>
        <v>1018.3696</v>
      </c>
      <c r="BE294" s="1365">
        <v>1828.20</v>
      </c>
      <c r="BF294" s="1029">
        <f t="shared" si="695"/>
        <v>1046.0545000000002</v>
      </c>
      <c r="BG294" s="1228">
        <v>782.70</v>
      </c>
      <c r="BH294" s="1229">
        <v>664.50</v>
      </c>
      <c r="BI294" s="1029"/>
      <c r="BJ294" s="1324"/>
      <c r="BK294" s="1029"/>
      <c r="BL294" s="1029"/>
      <c r="BM294" s="1029"/>
      <c r="BN294" s="1029"/>
      <c r="BO294" s="1324"/>
      <c r="BP294" s="1324"/>
      <c r="BQ294" s="1324"/>
      <c r="BR294" s="1324"/>
      <c r="BS294" s="648"/>
    </row>
    <row r="295" spans="1:71" s="665" customFormat="1" ht="15" hidden="1" outlineLevel="1">
      <c r="A295" s="999" t="s">
        <v>545</v>
      </c>
      <c r="B295" s="308"/>
      <c r="C295" s="1351">
        <f t="shared" si="696" ref="C295:AU295">C293+C294</f>
        <v>937.10</v>
      </c>
      <c r="D295" s="1351">
        <f t="shared" si="696"/>
        <v>892.10</v>
      </c>
      <c r="E295" s="1351">
        <f t="shared" si="696"/>
        <v>919.30</v>
      </c>
      <c r="F295" s="1351">
        <f t="shared" si="696"/>
        <v>628.40</v>
      </c>
      <c r="G295" s="1351">
        <f t="shared" si="696"/>
        <v>1016.80</v>
      </c>
      <c r="H295" s="1047">
        <f t="shared" si="696"/>
        <v>249.60</v>
      </c>
      <c r="I295" s="1047">
        <f t="shared" si="696"/>
        <v>258.60000000000002</v>
      </c>
      <c r="J295" s="1047">
        <f t="shared" si="696"/>
        <v>254.60</v>
      </c>
      <c r="K295" s="1047">
        <f t="shared" si="696"/>
        <v>343.60</v>
      </c>
      <c r="L295" s="1351">
        <f t="shared" si="696"/>
        <v>1106.4000000000001</v>
      </c>
      <c r="M295" s="1047">
        <f t="shared" si="696"/>
        <v>262.70</v>
      </c>
      <c r="N295" s="1047">
        <f t="shared" si="696"/>
        <v>290</v>
      </c>
      <c r="O295" s="1047">
        <f t="shared" si="696"/>
        <v>270.30</v>
      </c>
      <c r="P295" s="1047">
        <f t="shared" si="696"/>
        <v>293.60000000000002</v>
      </c>
      <c r="Q295" s="1351">
        <f t="shared" si="696"/>
        <v>1116.5999999999999</v>
      </c>
      <c r="R295" s="1047">
        <f t="shared" si="696"/>
        <v>250.90</v>
      </c>
      <c r="S295" s="1047">
        <f t="shared" si="696"/>
        <v>158.09999999999999</v>
      </c>
      <c r="T295" s="1047">
        <f t="shared" si="696"/>
        <v>183</v>
      </c>
      <c r="U295" s="1047">
        <f t="shared" si="696"/>
        <v>313</v>
      </c>
      <c r="V295" s="1351">
        <f t="shared" si="696"/>
        <v>905</v>
      </c>
      <c r="W295" s="1047">
        <f t="shared" si="696"/>
        <v>425</v>
      </c>
      <c r="X295" s="1047">
        <f t="shared" si="696"/>
        <v>368.20</v>
      </c>
      <c r="Y295" s="1047">
        <f t="shared" si="696"/>
        <v>198.20</v>
      </c>
      <c r="Z295" s="1047">
        <f t="shared" si="696"/>
        <v>531.90000000000009</v>
      </c>
      <c r="AA295" s="1351">
        <f t="shared" si="696"/>
        <v>1523.3000000000002</v>
      </c>
      <c r="AB295" s="1047">
        <f t="shared" si="696"/>
        <v>707.10</v>
      </c>
      <c r="AC295" s="1047">
        <f t="shared" si="696"/>
        <v>648.79999999999995</v>
      </c>
      <c r="AD295" s="1047">
        <f t="shared" si="696"/>
        <v>666.59999999999991</v>
      </c>
      <c r="AE295" s="1047">
        <f t="shared" si="696"/>
        <v>501.70000000000005</v>
      </c>
      <c r="AF295" s="1351">
        <f t="shared" si="696"/>
        <v>2524.1999999999998</v>
      </c>
      <c r="AG295" s="1047">
        <f t="shared" si="696"/>
        <v>774.90</v>
      </c>
      <c r="AH295" s="1047">
        <f t="shared" si="696"/>
        <v>761.30</v>
      </c>
      <c r="AI295" s="1047">
        <f t="shared" si="696"/>
        <v>671.90</v>
      </c>
      <c r="AJ295" s="1047">
        <f t="shared" si="696"/>
        <v>646.50</v>
      </c>
      <c r="AK295" s="1351">
        <f t="shared" si="696"/>
        <v>2854.6000000000004</v>
      </c>
      <c r="AL295" s="1047">
        <f t="shared" si="696"/>
        <v>1074.5999999999999</v>
      </c>
      <c r="AM295" s="1047">
        <f t="shared" si="696"/>
        <v>1197.8000000000002</v>
      </c>
      <c r="AN295" s="1047">
        <f t="shared" si="696"/>
        <v>1114.0999999999999</v>
      </c>
      <c r="AO295" s="1047">
        <f t="shared" si="696"/>
        <v>926.49999999999977</v>
      </c>
      <c r="AP295" s="1351">
        <f t="shared" si="696"/>
        <v>4313</v>
      </c>
      <c r="AQ295" s="1047">
        <f t="shared" si="696"/>
        <v>962.10</v>
      </c>
      <c r="AR295" s="1047">
        <f t="shared" si="696"/>
        <v>335.90</v>
      </c>
      <c r="AS295" s="1047">
        <f t="shared" si="696"/>
        <v>-21.40</v>
      </c>
      <c r="AT295" s="1047">
        <f t="shared" si="696"/>
        <v>334.70000000000005</v>
      </c>
      <c r="AU295" s="1351">
        <f t="shared" si="696"/>
        <v>1611.3000000000002</v>
      </c>
      <c r="AV295" s="1047">
        <f t="shared" si="697" ref="AV295:BA295">AV293+AV294</f>
        <v>439</v>
      </c>
      <c r="AW295" s="1047">
        <f t="shared" si="697"/>
        <v>458.70000000000005</v>
      </c>
      <c r="AX295" s="1047">
        <f t="shared" si="697"/>
        <v>-0.69999999999999574</v>
      </c>
      <c r="AY295" s="1042">
        <f t="shared" si="697"/>
        <v>606.49999999999989</v>
      </c>
      <c r="AZ295" s="1349">
        <f t="shared" si="697"/>
        <v>1503.50</v>
      </c>
      <c r="BA295" s="1047">
        <f t="shared" si="697"/>
        <v>137.51699999999957</v>
      </c>
      <c r="BB295" s="1047">
        <f t="shared" si="698" ref="BB295:BF295">BB293+BB294</f>
        <v>55.30</v>
      </c>
      <c r="BC295" s="1042">
        <f t="shared" si="698"/>
        <v>1041.9000000000001</v>
      </c>
      <c r="BD295" s="1042">
        <f t="shared" si="698"/>
        <v>1622.6830000000004</v>
      </c>
      <c r="BE295" s="1349">
        <f t="shared" si="698"/>
        <v>2857.40</v>
      </c>
      <c r="BF295" s="1047">
        <f t="shared" si="698"/>
        <v>1995.0018999999998</v>
      </c>
      <c r="BG295" s="1047">
        <f>BG293+BG294</f>
        <v>1571.20</v>
      </c>
      <c r="BH295" s="1043">
        <f>BH293+BH294</f>
        <v>1534.60</v>
      </c>
      <c r="BI295" s="1044"/>
      <c r="BJ295" s="1350"/>
      <c r="BK295" s="1044"/>
      <c r="BL295" s="1044"/>
      <c r="BM295" s="1044"/>
      <c r="BN295" s="1044"/>
      <c r="BO295" s="1350"/>
      <c r="BP295" s="1351"/>
      <c r="BQ295" s="1351"/>
      <c r="BR295" s="1350"/>
      <c r="BS295" s="648"/>
    </row>
    <row r="296" spans="1:71" s="665" customFormat="1" ht="15" hidden="1" outlineLevel="1">
      <c r="A296" s="999" t="s">
        <v>453</v>
      </c>
      <c r="B296" s="308"/>
      <c r="C296" s="1364">
        <v>229.80</v>
      </c>
      <c r="D296" s="1364">
        <v>185</v>
      </c>
      <c r="E296" s="1364">
        <v>133.50</v>
      </c>
      <c r="F296" s="1364">
        <v>86.30</v>
      </c>
      <c r="G296" s="1364">
        <v>114.09999999999999</v>
      </c>
      <c r="H296" s="1225">
        <v>40.90</v>
      </c>
      <c r="I296" s="1225">
        <v>78.400000000000006</v>
      </c>
      <c r="J296" s="1225">
        <v>85.10</v>
      </c>
      <c r="K296" s="1047">
        <f>L296-SUM(H296,I296,J296)</f>
        <v>111.40000000000001</v>
      </c>
      <c r="L296" s="1364">
        <v>315.80</v>
      </c>
      <c r="M296" s="1225">
        <v>78.50</v>
      </c>
      <c r="N296" s="1225">
        <v>83.20</v>
      </c>
      <c r="O296" s="1225">
        <v>77.80</v>
      </c>
      <c r="P296" s="1047">
        <f>Q296-SUM(M296,N296,O296)</f>
        <v>78.800000000000011</v>
      </c>
      <c r="Q296" s="1364">
        <v>318.30</v>
      </c>
      <c r="R296" s="1225">
        <v>61.10</v>
      </c>
      <c r="S296" s="1225">
        <v>31.20</v>
      </c>
      <c r="T296" s="1225">
        <v>4.4000000000000004</v>
      </c>
      <c r="U296" s="1047">
        <f>V296-SUM(R296,S296,T296)</f>
        <v>58.499999999999986</v>
      </c>
      <c r="V296" s="1364">
        <v>155.19999999999999</v>
      </c>
      <c r="W296" s="1225">
        <v>67.400000000000006</v>
      </c>
      <c r="X296" s="1225">
        <v>56.20</v>
      </c>
      <c r="Y296" s="1225">
        <v>42.80</v>
      </c>
      <c r="Z296" s="1047">
        <f>AA296-SUM(W296,X296,Y296)</f>
        <v>47.699999999999989</v>
      </c>
      <c r="AA296" s="1364">
        <v>214.10</v>
      </c>
      <c r="AB296" s="1225">
        <v>94.80</v>
      </c>
      <c r="AC296" s="1225">
        <v>100.30</v>
      </c>
      <c r="AD296" s="1225">
        <v>112.70</v>
      </c>
      <c r="AE296" s="1047">
        <f>AF296-SUM(AB296,AC296,AD296)</f>
        <v>170.80</v>
      </c>
      <c r="AF296" s="1364">
        <v>478.60</v>
      </c>
      <c r="AG296" s="1225">
        <v>166.60</v>
      </c>
      <c r="AH296" s="1225">
        <v>124.40000000000001</v>
      </c>
      <c r="AI296" s="1225">
        <v>69.70</v>
      </c>
      <c r="AJ296" s="1047">
        <f>AK296-SUM(AG296,AH296,AI296)</f>
        <v>98.100000000000023</v>
      </c>
      <c r="AK296" s="1364">
        <v>458.80</v>
      </c>
      <c r="AL296" s="1225">
        <v>112.50</v>
      </c>
      <c r="AM296" s="1225">
        <v>179.80</v>
      </c>
      <c r="AN296" s="1225">
        <v>155.90000000000001</v>
      </c>
      <c r="AO296" s="1047">
        <f>AP296-SUM(AL296,AM296,AN296)</f>
        <v>186.59999999999991</v>
      </c>
      <c r="AP296" s="1364">
        <v>634.79999999999995</v>
      </c>
      <c r="AQ296" s="1225">
        <v>228.50</v>
      </c>
      <c r="AR296" s="1225">
        <v>130.09999999999999</v>
      </c>
      <c r="AS296" s="1225">
        <v>197.50</v>
      </c>
      <c r="AT296" s="1047">
        <f>AU296-SUM(AQ296,AR296,AS296)</f>
        <v>211.69999999999993</v>
      </c>
      <c r="AU296" s="1364">
        <v>767.80</v>
      </c>
      <c r="AV296" s="1225">
        <v>202.40</v>
      </c>
      <c r="AW296" s="1225">
        <v>243</v>
      </c>
      <c r="AX296" s="1225">
        <v>238.10</v>
      </c>
      <c r="AY296" s="1047">
        <f>AZ296-SUM(AV296,AW296,AX296)</f>
        <v>126.79999999999995</v>
      </c>
      <c r="AZ296" s="1364">
        <v>810.30</v>
      </c>
      <c r="BA296" s="1047">
        <f>(1-(BA289+BA262))*BA233</f>
        <v>37.69760000000003</v>
      </c>
      <c r="BB296" s="1225">
        <v>87.20</v>
      </c>
      <c r="BC296" s="1225">
        <v>23</v>
      </c>
      <c r="BD296" s="1042">
        <f>BE296-SUM(BA296,BB296,BC296)</f>
        <v>-24.89760000000004</v>
      </c>
      <c r="BE296" s="1364">
        <v>123</v>
      </c>
      <c r="BF296" s="1047">
        <f t="shared" si="699" ref="BF296:BF297">(1-(BF289+BF262))*BF233</f>
        <v>209.70680000000019</v>
      </c>
      <c r="BG296" s="1225">
        <v>303.80</v>
      </c>
      <c r="BH296" s="1226">
        <v>308.39999999999998</v>
      </c>
      <c r="BI296" s="1044"/>
      <c r="BJ296" s="1350"/>
      <c r="BK296" s="1044"/>
      <c r="BL296" s="1044"/>
      <c r="BM296" s="1044"/>
      <c r="BN296" s="1044"/>
      <c r="BO296" s="1350"/>
      <c r="BP296" s="1351"/>
      <c r="BQ296" s="1351"/>
      <c r="BR296" s="1350"/>
      <c r="BS296" s="648"/>
    </row>
    <row r="297" spans="1:71" s="665" customFormat="1" ht="15" hidden="1" outlineLevel="1">
      <c r="A297" s="999" t="s">
        <v>487</v>
      </c>
      <c r="B297" s="308"/>
      <c r="C297" s="1351"/>
      <c r="D297" s="1351"/>
      <c r="E297" s="1351"/>
      <c r="F297" s="1351"/>
      <c r="G297" s="1351"/>
      <c r="H297" s="1047"/>
      <c r="I297" s="1047"/>
      <c r="J297" s="1047"/>
      <c r="K297" s="1047"/>
      <c r="L297" s="1351"/>
      <c r="M297" s="1047"/>
      <c r="N297" s="1225">
        <v>1</v>
      </c>
      <c r="O297" s="1225">
        <v>17.20</v>
      </c>
      <c r="P297" s="1047">
        <f>Q297-SUM(M297,N297,O297)</f>
        <v>43.099999999999994</v>
      </c>
      <c r="Q297" s="1364">
        <v>61.30</v>
      </c>
      <c r="R297" s="1225">
        <v>-24.50</v>
      </c>
      <c r="S297" s="1225">
        <v>-13.60</v>
      </c>
      <c r="T297" s="1225">
        <v>10.40</v>
      </c>
      <c r="U297" s="1047">
        <f>V297-SUM(R297,S297,T297)</f>
        <v>60.20</v>
      </c>
      <c r="V297" s="1364">
        <v>32.50</v>
      </c>
      <c r="W297" s="1225">
        <v>7.80</v>
      </c>
      <c r="X297" s="1225">
        <v>3.70</v>
      </c>
      <c r="Y297" s="1225">
        <v>-69</v>
      </c>
      <c r="Z297" s="1047">
        <f>AA297-SUM(W297,X297,Y297)</f>
        <v>7.2000000000000028</v>
      </c>
      <c r="AA297" s="1364">
        <v>-50.30</v>
      </c>
      <c r="AB297" s="1225">
        <v>28.50</v>
      </c>
      <c r="AC297" s="1225">
        <v>-51.90</v>
      </c>
      <c r="AD297" s="1225">
        <v>-7.80</v>
      </c>
      <c r="AE297" s="1047">
        <f>AF297-SUM(AB297,AC297,AD297)</f>
        <v>-57.50</v>
      </c>
      <c r="AF297" s="1364">
        <v>-88.70</v>
      </c>
      <c r="AG297" s="1225">
        <v>7.70</v>
      </c>
      <c r="AH297" s="1225">
        <v>-34.40</v>
      </c>
      <c r="AI297" s="1225">
        <v>-9.10</v>
      </c>
      <c r="AJ297" s="1047">
        <f>AK297-SUM(AG297,AH297,AI297)</f>
        <v>9.6999999999999957</v>
      </c>
      <c r="AK297" s="1364">
        <v>-26.10</v>
      </c>
      <c r="AL297" s="1225">
        <v>49.20</v>
      </c>
      <c r="AM297" s="1225">
        <v>-188.70</v>
      </c>
      <c r="AN297" s="1225">
        <v>-52.90</v>
      </c>
      <c r="AO297" s="1047">
        <f>AP297-SUM(AL297,AM297,AN297)</f>
        <v>67.300000000000011</v>
      </c>
      <c r="AP297" s="1364">
        <v>-125.09999999999999</v>
      </c>
      <c r="AQ297" s="1225">
        <v>-70.70</v>
      </c>
      <c r="AR297" s="1225">
        <v>-83.30</v>
      </c>
      <c r="AS297" s="1225">
        <v>-222.70</v>
      </c>
      <c r="AT297" s="1047">
        <f>AU297-SUM(AQ297,AR297,AS297)</f>
        <v>64.399999999999977</v>
      </c>
      <c r="AU297" s="1364">
        <v>-312.30</v>
      </c>
      <c r="AV297" s="1225">
        <v>8.3000000000000007</v>
      </c>
      <c r="AW297" s="1225">
        <v>-156.90000000000001</v>
      </c>
      <c r="AX297" s="1225">
        <v>-141</v>
      </c>
      <c r="AY297" s="1047">
        <f>AZ297-SUM(AV297,AW297,AX297)</f>
        <v>51.200000000000017</v>
      </c>
      <c r="AZ297" s="1364">
        <v>-238.40</v>
      </c>
      <c r="BA297" s="1047">
        <f>(1-(BA290+BA263))*BA234</f>
        <v>-32.928499999999964</v>
      </c>
      <c r="BB297" s="1225">
        <v>-206.80</v>
      </c>
      <c r="BC297" s="1225">
        <v>74.599999999999994</v>
      </c>
      <c r="BD297" s="1042">
        <f>BE297-SUM(BA297,BB297,BC297)</f>
        <v>193.22849999999997</v>
      </c>
      <c r="BE297" s="1364">
        <v>28.10</v>
      </c>
      <c r="BF297" s="1047">
        <f t="shared" si="699"/>
        <v>47.044800000000038</v>
      </c>
      <c r="BG297" s="1225">
        <v>-487.80</v>
      </c>
      <c r="BH297" s="1226">
        <v>163.69999999999999</v>
      </c>
      <c r="BI297" s="1044"/>
      <c r="BJ297" s="1350"/>
      <c r="BK297" s="1044"/>
      <c r="BL297" s="1044"/>
      <c r="BM297" s="1044"/>
      <c r="BN297" s="1044"/>
      <c r="BO297" s="1350"/>
      <c r="BP297" s="1351"/>
      <c r="BQ297" s="1351"/>
      <c r="BR297" s="1350"/>
      <c r="BS297" s="648"/>
    </row>
    <row r="298" spans="1:71" s="665" customFormat="1" ht="15" hidden="1" outlineLevel="1">
      <c r="A298" s="998" t="s">
        <v>634</v>
      </c>
      <c r="B298" s="721"/>
      <c r="C298" s="1373">
        <v>8.6999999999999993</v>
      </c>
      <c r="D298" s="1364">
        <v>6.40</v>
      </c>
      <c r="E298" s="1364">
        <v>-5.50</v>
      </c>
      <c r="F298" s="1364">
        <v>-5.80</v>
      </c>
      <c r="G298" s="1364">
        <v>-10.80</v>
      </c>
      <c r="H298" s="1225">
        <v>-0.70</v>
      </c>
      <c r="I298" s="1225">
        <v>-4.70</v>
      </c>
      <c r="J298" s="1225">
        <v>0.10000000000000001</v>
      </c>
      <c r="K298" s="1047">
        <f>L298-SUM(H298,I298,J298)</f>
        <v>-6.60</v>
      </c>
      <c r="L298" s="1364">
        <v>-11.90</v>
      </c>
      <c r="M298" s="1225">
        <v>0.40</v>
      </c>
      <c r="N298" s="1225">
        <v>-0.40</v>
      </c>
      <c r="O298" s="1225">
        <v>-0.40</v>
      </c>
      <c r="P298" s="1047">
        <f>Q298-SUM(M298,N298,O298)</f>
        <v>-0.60</v>
      </c>
      <c r="Q298" s="1364">
        <v>-1</v>
      </c>
      <c r="R298" s="1225">
        <v>-0.70</v>
      </c>
      <c r="S298" s="1225">
        <v>-0.10000000000000001</v>
      </c>
      <c r="T298" s="1225">
        <v>-0.80</v>
      </c>
      <c r="U298" s="1047">
        <f>V298-SUM(R298,S298,T298)</f>
        <v>0</v>
      </c>
      <c r="V298" s="1364">
        <v>-1.60</v>
      </c>
      <c r="W298" s="1225">
        <v>-0.20</v>
      </c>
      <c r="X298" s="1225">
        <v>-0.10000000000000001</v>
      </c>
      <c r="Y298" s="1225">
        <v>0</v>
      </c>
      <c r="Z298" s="1047">
        <f>AA298-SUM(W298,X298,Y298)</f>
        <v>0.10000000000000003</v>
      </c>
      <c r="AA298" s="1364">
        <v>-0.20</v>
      </c>
      <c r="AB298" s="1225">
        <v>0.20</v>
      </c>
      <c r="AC298" s="1225">
        <v>0</v>
      </c>
      <c r="AD298" s="1225">
        <v>-0.10000000000000001</v>
      </c>
      <c r="AE298" s="1047">
        <f>AF298-SUM(AB298,AC298,AD298)</f>
        <v>0.80</v>
      </c>
      <c r="AF298" s="1364">
        <v>0.90</v>
      </c>
      <c r="AG298" s="1225">
        <v>0</v>
      </c>
      <c r="AH298" s="1225">
        <v>0</v>
      </c>
      <c r="AI298" s="1225">
        <v>0</v>
      </c>
      <c r="AJ298" s="1047">
        <f>AK298-SUM(AG298,AH298,AI298)</f>
        <v>0</v>
      </c>
      <c r="AK298" s="1364">
        <v>0</v>
      </c>
      <c r="AL298" s="1225">
        <v>0</v>
      </c>
      <c r="AM298" s="1225">
        <v>0</v>
      </c>
      <c r="AN298" s="1225">
        <v>0</v>
      </c>
      <c r="AO298" s="1047">
        <f>AP298-SUM(AL298,AM298,AN298)</f>
        <v>0</v>
      </c>
      <c r="AP298" s="1364">
        <v>0</v>
      </c>
      <c r="AQ298" s="1225">
        <v>0</v>
      </c>
      <c r="AR298" s="1225">
        <v>0.10000000000000001</v>
      </c>
      <c r="AS298" s="1225">
        <v>-0.30</v>
      </c>
      <c r="AT298" s="1047">
        <f>AU298-SUM(AQ298,AR298,AS298)</f>
        <v>-1.20</v>
      </c>
      <c r="AU298" s="1364">
        <v>-1.40</v>
      </c>
      <c r="AV298" s="1225">
        <v>-0.90</v>
      </c>
      <c r="AW298" s="1225">
        <v>-6.30</v>
      </c>
      <c r="AX298" s="1225">
        <v>-2.10</v>
      </c>
      <c r="AY298" s="1047">
        <f>AZ298-SUM(AV298,AW298,AX298)</f>
        <v>-2.0999999999999996</v>
      </c>
      <c r="AZ298" s="1364">
        <v>-11.40</v>
      </c>
      <c r="BA298" s="1047">
        <f>BA299-BA297-BA296-BA295</f>
        <v>-0.68609999999745241</v>
      </c>
      <c r="BB298" s="1225">
        <v>0</v>
      </c>
      <c r="BC298" s="1225">
        <v>-3.30</v>
      </c>
      <c r="BD298" s="1042">
        <f>BE298-SUM(BA298,BB298,BC298)</f>
        <v>-12.213900000002546</v>
      </c>
      <c r="BE298" s="1364">
        <v>-16.20</v>
      </c>
      <c r="BF298" s="1047">
        <f>BF299-BF297-BF296-BF295</f>
        <v>-1.8535000000022137</v>
      </c>
      <c r="BG298" s="1225">
        <v>-0.60</v>
      </c>
      <c r="BH298" s="1226">
        <v>-2.2999999999999998</v>
      </c>
      <c r="BI298" s="1047"/>
      <c r="BJ298" s="1351"/>
      <c r="BK298" s="1047"/>
      <c r="BL298" s="1047"/>
      <c r="BM298" s="1047"/>
      <c r="BN298" s="1047"/>
      <c r="BO298" s="1351"/>
      <c r="BP298" s="1351"/>
      <c r="BQ298" s="1351"/>
      <c r="BR298" s="1351"/>
      <c r="BS298" s="648"/>
    </row>
    <row r="299" spans="1:71" s="668" customFormat="1" ht="15" hidden="1" outlineLevel="1">
      <c r="A299" s="42" t="s">
        <v>19</v>
      </c>
      <c r="B299" s="410"/>
      <c r="C299" s="1376">
        <f t="shared" si="700" ref="C299:AT299">C295+C296+C297+C298</f>
        <v>1175.6000000000001</v>
      </c>
      <c r="D299" s="1355">
        <f t="shared" si="700"/>
        <v>1083.50</v>
      </c>
      <c r="E299" s="1355">
        <f t="shared" si="700"/>
        <v>1047.30</v>
      </c>
      <c r="F299" s="1355">
        <f t="shared" si="700"/>
        <v>708.90</v>
      </c>
      <c r="G299" s="1355">
        <f t="shared" si="700"/>
        <v>1120.0999999999999</v>
      </c>
      <c r="H299" s="1052">
        <f t="shared" si="700"/>
        <v>289.80</v>
      </c>
      <c r="I299" s="1052">
        <f t="shared" si="700"/>
        <v>332.30</v>
      </c>
      <c r="J299" s="1052">
        <f t="shared" si="700"/>
        <v>339.80</v>
      </c>
      <c r="K299" s="1052">
        <f t="shared" si="700"/>
        <v>448.40</v>
      </c>
      <c r="L299" s="1355">
        <f t="shared" si="700"/>
        <v>1410.30</v>
      </c>
      <c r="M299" s="1052">
        <f t="shared" si="700"/>
        <v>341.60</v>
      </c>
      <c r="N299" s="1052">
        <f t="shared" si="700"/>
        <v>373.80</v>
      </c>
      <c r="O299" s="1052">
        <f t="shared" si="700"/>
        <v>364.90</v>
      </c>
      <c r="P299" s="1052">
        <f t="shared" si="700"/>
        <v>414.90</v>
      </c>
      <c r="Q299" s="1355">
        <f t="shared" si="700"/>
        <v>1495.1999999999998</v>
      </c>
      <c r="R299" s="1052">
        <f t="shared" si="700"/>
        <v>286.80</v>
      </c>
      <c r="S299" s="1052">
        <f t="shared" si="700"/>
        <v>175.60</v>
      </c>
      <c r="T299" s="1052">
        <f t="shared" si="700"/>
        <v>197</v>
      </c>
      <c r="U299" s="1052">
        <f t="shared" si="700"/>
        <v>431.70</v>
      </c>
      <c r="V299" s="1355">
        <f t="shared" si="700"/>
        <v>1091.1000000000001</v>
      </c>
      <c r="W299" s="1052">
        <f t="shared" si="700"/>
        <v>500</v>
      </c>
      <c r="X299" s="1052">
        <f t="shared" si="700"/>
        <v>427.99999999999994</v>
      </c>
      <c r="Y299" s="1052">
        <f t="shared" si="700"/>
        <v>172</v>
      </c>
      <c r="Z299" s="1052">
        <f t="shared" si="700"/>
        <v>586.9000000000002</v>
      </c>
      <c r="AA299" s="1355">
        <f t="shared" si="700"/>
        <v>1686.90</v>
      </c>
      <c r="AB299" s="1052">
        <f t="shared" si="700"/>
        <v>830.60</v>
      </c>
      <c r="AC299" s="1052">
        <f t="shared" si="700"/>
        <v>697.20</v>
      </c>
      <c r="AD299" s="1052">
        <f t="shared" si="700"/>
        <v>771.40</v>
      </c>
      <c r="AE299" s="1052">
        <f t="shared" si="700"/>
        <v>615.79999999999995</v>
      </c>
      <c r="AF299" s="1355">
        <f t="shared" si="700"/>
        <v>2915</v>
      </c>
      <c r="AG299" s="1052">
        <f t="shared" si="700"/>
        <v>949.20</v>
      </c>
      <c r="AH299" s="1052">
        <f t="shared" si="700"/>
        <v>851.30</v>
      </c>
      <c r="AI299" s="1052">
        <f t="shared" si="700"/>
        <v>732.50</v>
      </c>
      <c r="AJ299" s="1052">
        <f t="shared" si="700"/>
        <v>754.30</v>
      </c>
      <c r="AK299" s="1355">
        <f t="shared" si="700"/>
        <v>3287.3000000000006</v>
      </c>
      <c r="AL299" s="1052">
        <f t="shared" si="700"/>
        <v>1236.30</v>
      </c>
      <c r="AM299" s="1052">
        <f t="shared" si="700"/>
        <v>1188.9000000000001</v>
      </c>
      <c r="AN299" s="1052">
        <f t="shared" si="700"/>
        <v>1217.0999999999999</v>
      </c>
      <c r="AO299" s="1052">
        <f t="shared" si="700"/>
        <v>1180.3999999999996</v>
      </c>
      <c r="AP299" s="1355">
        <f t="shared" si="700"/>
        <v>4822.70</v>
      </c>
      <c r="AQ299" s="1052">
        <f t="shared" si="700"/>
        <v>1119.8999999999999</v>
      </c>
      <c r="AR299" s="1052">
        <f t="shared" si="700"/>
        <v>382.80</v>
      </c>
      <c r="AS299" s="1052">
        <f t="shared" si="700"/>
        <v>-46.899999999999991</v>
      </c>
      <c r="AT299" s="1052">
        <f t="shared" si="700"/>
        <v>609.59999999999991</v>
      </c>
      <c r="AU299" s="1355">
        <f t="shared" si="701" ref="AU299:AZ299">AU295+AU296+AU297+AU298</f>
        <v>2065.40</v>
      </c>
      <c r="AV299" s="1052">
        <f t="shared" si="701"/>
        <v>648.79999999999995</v>
      </c>
      <c r="AW299" s="1052">
        <f t="shared" si="701"/>
        <v>538.50000000000011</v>
      </c>
      <c r="AX299" s="1052">
        <f t="shared" si="701"/>
        <v>94.300000000000011</v>
      </c>
      <c r="AY299" s="1052">
        <f t="shared" si="701"/>
        <v>782.39999999999986</v>
      </c>
      <c r="AZ299" s="1355">
        <f t="shared" si="701"/>
        <v>2064</v>
      </c>
      <c r="BA299" s="1052">
        <f>+BA539</f>
        <v>141.60000000000218</v>
      </c>
      <c r="BB299" s="1052">
        <f>+BB539</f>
        <v>-64.299999999997453</v>
      </c>
      <c r="BC299" s="1052">
        <f>BC295+BC296+BC297+BC298</f>
        <v>1136.20</v>
      </c>
      <c r="BD299" s="1052">
        <f>BD295+BD296+BD297+BD298</f>
        <v>1778.7999999999979</v>
      </c>
      <c r="BE299" s="1355">
        <f>BE295+BE296+BE297+BE298</f>
        <v>2992.30</v>
      </c>
      <c r="BF299" s="1052">
        <f>+BF539</f>
        <v>2249.8999999999978</v>
      </c>
      <c r="BG299" s="1052">
        <f>BG295+BG296+BG297+BG298</f>
        <v>1386.60</v>
      </c>
      <c r="BH299" s="1053">
        <f>BH295+BH296+BH297+BH298</f>
        <v>2004.40</v>
      </c>
      <c r="BI299" s="1054">
        <f t="shared" si="702" ref="BI299:BR299">BI539</f>
        <v>1262.2447189208506</v>
      </c>
      <c r="BJ299" s="1356">
        <f t="shared" si="702"/>
        <v>6903.1447189208557</v>
      </c>
      <c r="BK299" s="1054">
        <f t="shared" si="702"/>
        <v>1553.6775793879351</v>
      </c>
      <c r="BL299" s="1054">
        <f t="shared" si="702"/>
        <v>1014.4262430745803</v>
      </c>
      <c r="BM299" s="1054">
        <f t="shared" si="702"/>
        <v>1149.1094475753307</v>
      </c>
      <c r="BN299" s="1054">
        <f t="shared" si="702"/>
        <v>1915.710297749818</v>
      </c>
      <c r="BO299" s="1356">
        <f t="shared" si="702"/>
        <v>5632.9235677876641</v>
      </c>
      <c r="BP299" s="1356">
        <f t="shared" si="702"/>
        <v>6043.6608031935029</v>
      </c>
      <c r="BQ299" s="1356">
        <f t="shared" si="702"/>
        <v>6389.8925365869363</v>
      </c>
      <c r="BR299" s="1356">
        <f t="shared" si="702"/>
        <v>6754.3390612805524</v>
      </c>
      <c r="BS299" s="648"/>
    </row>
    <row r="300" spans="1:71" s="668" customFormat="1" ht="15" hidden="1" outlineLevel="1">
      <c r="A300" s="600"/>
      <c r="B300" s="584"/>
      <c r="C300" s="1363"/>
      <c r="D300" s="1322"/>
      <c r="E300" s="1322"/>
      <c r="F300" s="1322"/>
      <c r="G300" s="1322"/>
      <c r="H300" s="1031"/>
      <c r="I300" s="1031"/>
      <c r="J300" s="1031"/>
      <c r="K300" s="1031"/>
      <c r="L300" s="1322"/>
      <c r="M300" s="1031"/>
      <c r="N300" s="1031"/>
      <c r="O300" s="1031"/>
      <c r="P300" s="1031"/>
      <c r="Q300" s="1322"/>
      <c r="R300" s="1031"/>
      <c r="S300" s="1031"/>
      <c r="T300" s="1031"/>
      <c r="U300" s="1031"/>
      <c r="V300" s="1322"/>
      <c r="W300" s="1031"/>
      <c r="X300" s="1031"/>
      <c r="Y300" s="1031"/>
      <c r="Z300" s="1031"/>
      <c r="AA300" s="1322"/>
      <c r="AB300" s="1031"/>
      <c r="AC300" s="1031"/>
      <c r="AD300" s="1031"/>
      <c r="AE300" s="1031"/>
      <c r="AF300" s="1322"/>
      <c r="AG300" s="1031"/>
      <c r="AH300" s="1031"/>
      <c r="AI300" s="1031"/>
      <c r="AJ300" s="1031"/>
      <c r="AK300" s="1322"/>
      <c r="AL300" s="1031"/>
      <c r="AM300" s="1031"/>
      <c r="AN300" s="1031"/>
      <c r="AO300" s="1031"/>
      <c r="AP300" s="1322"/>
      <c r="AQ300" s="1031"/>
      <c r="AR300" s="1031"/>
      <c r="AS300" s="1031"/>
      <c r="AT300" s="1031"/>
      <c r="AU300" s="1322"/>
      <c r="AV300" s="1031"/>
      <c r="AW300" s="1031"/>
      <c r="AX300" s="1031"/>
      <c r="AY300" s="1031"/>
      <c r="AZ300" s="1322"/>
      <c r="BA300" s="1031"/>
      <c r="BB300" s="1031"/>
      <c r="BC300" s="1031"/>
      <c r="BD300" s="1031"/>
      <c r="BE300" s="1322"/>
      <c r="BF300" s="1031"/>
      <c r="BG300" s="1031"/>
      <c r="BH300" s="1049"/>
      <c r="BI300" s="1031"/>
      <c r="BJ300" s="1322"/>
      <c r="BK300" s="1031"/>
      <c r="BL300" s="1031"/>
      <c r="BM300" s="1031"/>
      <c r="BN300" s="1031"/>
      <c r="BO300" s="1322"/>
      <c r="BP300" s="1322"/>
      <c r="BQ300" s="1322"/>
      <c r="BR300" s="1322"/>
      <c r="BS300" s="648"/>
    </row>
    <row r="301" spans="1:71" s="676" customFormat="1" ht="15" hidden="1" outlineLevel="1">
      <c r="A301" s="513" t="s">
        <v>604</v>
      </c>
      <c r="B301" s="400"/>
      <c r="C301" s="1397">
        <f t="shared" si="703" ref="C301:AU301">IFERROR(C293/C230,"N/A")</f>
        <v>0.078114042185898472</v>
      </c>
      <c r="D301" s="1352">
        <f t="shared" si="703"/>
        <v>0.081000579538256262</v>
      </c>
      <c r="E301" s="1352">
        <f t="shared" si="703"/>
        <v>0.074061934604190152</v>
      </c>
      <c r="F301" s="1352">
        <f t="shared" si="703"/>
        <v>0.041819370920174237</v>
      </c>
      <c r="G301" s="1352">
        <f t="shared" si="703"/>
        <v>0.063116898215427542</v>
      </c>
      <c r="H301" s="197">
        <f t="shared" si="703"/>
        <v>0.081063907044299208</v>
      </c>
      <c r="I301" s="197">
        <f t="shared" si="703"/>
        <v>0.063729206618204526</v>
      </c>
      <c r="J301" s="197">
        <f t="shared" si="703"/>
        <v>0.065765926986399437</v>
      </c>
      <c r="K301" s="197">
        <f t="shared" si="703"/>
        <v>0.089141004862236625</v>
      </c>
      <c r="L301" s="1352">
        <f t="shared" si="703"/>
        <v>0.075162319797512936</v>
      </c>
      <c r="M301" s="197">
        <f t="shared" si="703"/>
        <v>0.086656270884384046</v>
      </c>
      <c r="N301" s="197">
        <f t="shared" si="703"/>
        <v>0.075513969425408542</v>
      </c>
      <c r="O301" s="197">
        <f t="shared" si="703"/>
        <v>0.074148647465639511</v>
      </c>
      <c r="P301" s="197">
        <f t="shared" si="703"/>
        <v>0.077026616299769909</v>
      </c>
      <c r="Q301" s="1352">
        <f t="shared" si="703"/>
        <v>0.078299628922117559</v>
      </c>
      <c r="R301" s="197">
        <f t="shared" si="703"/>
        <v>0.073001405511307974</v>
      </c>
      <c r="S301" s="197">
        <f t="shared" si="703"/>
        <v>0.034869805636941358</v>
      </c>
      <c r="T301" s="197">
        <f t="shared" si="703"/>
        <v>0.039849654447722586</v>
      </c>
      <c r="U301" s="197">
        <f t="shared" si="703"/>
        <v>0.054316235959469022</v>
      </c>
      <c r="V301" s="1352">
        <f t="shared" si="703"/>
        <v>0.050328339307781078</v>
      </c>
      <c r="W301" s="197">
        <f t="shared" si="703"/>
        <v>0.094888846665399956</v>
      </c>
      <c r="X301" s="197">
        <f t="shared" si="703"/>
        <v>0.074659400544959134</v>
      </c>
      <c r="Y301" s="197">
        <f t="shared" si="703"/>
        <v>0.024471830985915492</v>
      </c>
      <c r="Z301" s="197">
        <f t="shared" si="703"/>
        <v>0.10661565547128925</v>
      </c>
      <c r="AA301" s="1352">
        <f t="shared" si="703"/>
        <v>0.075114514743773259</v>
      </c>
      <c r="AB301" s="197">
        <f t="shared" si="703"/>
        <v>0.1335269926235394</v>
      </c>
      <c r="AC301" s="197">
        <f t="shared" si="703"/>
        <v>0.11188269212884025</v>
      </c>
      <c r="AD301" s="197">
        <f t="shared" si="703"/>
        <v>0.11216924838768007</v>
      </c>
      <c r="AE301" s="197">
        <f t="shared" si="703"/>
        <v>0.086083003372928582</v>
      </c>
      <c r="AF301" s="1352">
        <f t="shared" si="703"/>
        <v>0.1102925360292536</v>
      </c>
      <c r="AG301" s="197">
        <f t="shared" si="703"/>
        <v>0.129115006412997</v>
      </c>
      <c r="AH301" s="197">
        <f t="shared" si="703"/>
        <v>0.11943620178041543</v>
      </c>
      <c r="AI301" s="197">
        <f t="shared" si="703"/>
        <v>0.1026624183183021</v>
      </c>
      <c r="AJ301" s="197">
        <f t="shared" si="703"/>
        <v>0.10000987020678082</v>
      </c>
      <c r="AK301" s="1352">
        <f t="shared" si="703"/>
        <v>0.11226441046423467</v>
      </c>
      <c r="AL301" s="197">
        <f t="shared" si="703"/>
        <v>0.15712905163632565</v>
      </c>
      <c r="AM301" s="197">
        <f t="shared" si="703"/>
        <v>0.14049502424087779</v>
      </c>
      <c r="AN301" s="197">
        <f t="shared" si="703"/>
        <v>0.14906537385045981</v>
      </c>
      <c r="AO301" s="197">
        <f t="shared" si="703"/>
        <v>0.12073659719815848</v>
      </c>
      <c r="AP301" s="1352">
        <f t="shared" si="703"/>
        <v>0.14164476392539346</v>
      </c>
      <c r="AQ301" s="197">
        <f t="shared" si="703"/>
        <v>0.13359523693328779</v>
      </c>
      <c r="AR301" s="197">
        <f t="shared" si="703"/>
        <v>0.049167120820794726</v>
      </c>
      <c r="AS301" s="197">
        <f t="shared" si="703"/>
        <v>0.0096065980927388193</v>
      </c>
      <c r="AT301" s="197">
        <f t="shared" si="703"/>
        <v>0.045661994132165977</v>
      </c>
      <c r="AU301" s="1352">
        <f t="shared" si="703"/>
        <v>0.058770215034654349</v>
      </c>
      <c r="AV301" s="197">
        <f t="shared" si="704" ref="AV301:AV307">IFERROR(AV293/AV230,"N/A")</f>
        <v>0.066754562486989105</v>
      </c>
      <c r="AW301" s="197">
        <f t="shared" si="705" ref="AW301:AW307">IFERROR(AW293/AW230,"N/A")</f>
        <v>0.059612962326806379</v>
      </c>
      <c r="AX301" s="197">
        <f t="shared" si="706" ref="AX301:AX307">IFERROR(AX293/AX230,"N/A")</f>
        <v>-0.0092978230036696013</v>
      </c>
      <c r="AY301" s="197">
        <f t="shared" si="707" ref="AY301:AZ307">IFERROR(AY293/AY230,"N/A")</f>
        <v>0.049100368523737233</v>
      </c>
      <c r="AZ301" s="1352">
        <f t="shared" si="707"/>
        <v>0.041370099240900099</v>
      </c>
      <c r="BA301" s="197">
        <f t="shared" si="708" ref="BA301:BA307">IFERROR(BA293/BA230,"N/A")</f>
        <v>0.032999999999999918</v>
      </c>
      <c r="BB301" s="197">
        <f t="shared" si="709" ref="BB301:BB307">IFERROR(BB293/BB230,"N/A")</f>
        <v>-0.013673375326471041</v>
      </c>
      <c r="BC301" s="197">
        <f t="shared" si="710" ref="BC301:BC307">IFERROR(BC293/BC230,"N/A")</f>
        <v>0.06200591060214259</v>
      </c>
      <c r="BD301" s="197">
        <f t="shared" si="711" ref="BD301:BE307">IFERROR(BD293/BD230,"N/A")</f>
        <v>0.10570833333333339</v>
      </c>
      <c r="BE301" s="1352">
        <f t="shared" si="711"/>
        <v>0.048551292090837903</v>
      </c>
      <c r="BF301" s="197">
        <f t="shared" si="712" ref="BF301:BF307">IFERROR(BF293/BF230,"N/A")</f>
        <v>0.16199999999999992</v>
      </c>
      <c r="BG301" s="197">
        <f t="shared" si="713" ref="BG301:BG307">IFERROR(BG293/BG230,"N/A")</f>
        <v>0.12690314481604273</v>
      </c>
      <c r="BH301" s="815">
        <f t="shared" si="714" ref="BH301:BH307">IFERROR(BH293/BH230,"N/A")</f>
        <v>0.1312803645251818</v>
      </c>
      <c r="BI301" s="381"/>
      <c r="BJ301" s="1339"/>
      <c r="BK301" s="381"/>
      <c r="BL301" s="381"/>
      <c r="BM301" s="381"/>
      <c r="BN301" s="381"/>
      <c r="BO301" s="1339"/>
      <c r="BP301" s="1339"/>
      <c r="BQ301" s="1339"/>
      <c r="BR301" s="1339"/>
      <c r="BS301" s="648"/>
    </row>
    <row r="302" spans="1:71" s="676" customFormat="1" ht="15" hidden="1" outlineLevel="1">
      <c r="A302" s="555" t="s">
        <v>614</v>
      </c>
      <c r="B302" s="400"/>
      <c r="C302" s="1397">
        <f t="shared" si="715" ref="C302:AU302">IFERROR(C294/C231,"N/A")</f>
        <v>0.072286966532689692</v>
      </c>
      <c r="D302" s="1352">
        <f t="shared" si="715"/>
        <v>0.053835626571978108</v>
      </c>
      <c r="E302" s="1352">
        <f t="shared" si="715"/>
        <v>0.061064493340455224</v>
      </c>
      <c r="F302" s="1352">
        <f t="shared" si="715"/>
        <v>0.046214999521088089</v>
      </c>
      <c r="G302" s="1352">
        <f t="shared" si="715"/>
        <v>0.070310529517366202</v>
      </c>
      <c r="H302" s="197">
        <f t="shared" si="715"/>
        <v>0.040290545908523434</v>
      </c>
      <c r="I302" s="197">
        <f t="shared" si="715"/>
        <v>0.063432017543859645</v>
      </c>
      <c r="J302" s="197">
        <f t="shared" si="715"/>
        <v>0.05819676564443723</v>
      </c>
      <c r="K302" s="197">
        <f t="shared" si="715"/>
        <v>0.063318456030212397</v>
      </c>
      <c r="L302" s="1352">
        <f t="shared" si="715"/>
        <v>0.056649719025956648</v>
      </c>
      <c r="M302" s="197">
        <f t="shared" si="715"/>
        <v>0.034877774368415666</v>
      </c>
      <c r="N302" s="197">
        <f t="shared" si="715"/>
        <v>0.058125799783443254</v>
      </c>
      <c r="O302" s="197">
        <f t="shared" si="715"/>
        <v>0.048755738100990577</v>
      </c>
      <c r="P302" s="197">
        <f t="shared" si="715"/>
        <v>0.054574488070636834</v>
      </c>
      <c r="Q302" s="1352">
        <f t="shared" si="715"/>
        <v>0.049279859270208531</v>
      </c>
      <c r="R302" s="197">
        <f t="shared" si="715"/>
        <v>0.035799522673031027</v>
      </c>
      <c r="S302" s="197">
        <f t="shared" si="715"/>
        <v>0.031523042658900116</v>
      </c>
      <c r="T302" s="197">
        <f t="shared" si="715"/>
        <v>0.035296085647373708</v>
      </c>
      <c r="U302" s="197">
        <f t="shared" si="715"/>
        <v>0.07131194383214956</v>
      </c>
      <c r="V302" s="1352">
        <f t="shared" si="715"/>
        <v>0.043867397435215241</v>
      </c>
      <c r="W302" s="197">
        <f t="shared" si="715"/>
        <v>0.069461504933232956</v>
      </c>
      <c r="X302" s="197">
        <f t="shared" si="715"/>
        <v>0.061396226415094332</v>
      </c>
      <c r="Y302" s="197">
        <f t="shared" si="715"/>
        <v>0.047060114085125046</v>
      </c>
      <c r="Z302" s="197">
        <f t="shared" si="715"/>
        <v>0.075844954737688305</v>
      </c>
      <c r="AA302" s="1352">
        <f t="shared" si="715"/>
        <v>0.063484251968503935</v>
      </c>
      <c r="AB302" s="197">
        <f t="shared" si="715"/>
        <v>0.09879653880582169</v>
      </c>
      <c r="AC302" s="197">
        <f t="shared" si="715"/>
        <v>0.089638209103929251</v>
      </c>
      <c r="AD302" s="197">
        <f t="shared" si="715"/>
        <v>0.08821766750569339</v>
      </c>
      <c r="AE302" s="197">
        <f t="shared" si="715"/>
        <v>0.060309367939285097</v>
      </c>
      <c r="AF302" s="1352">
        <f t="shared" si="715"/>
        <v>0.083618206260802769</v>
      </c>
      <c r="AG302" s="197">
        <f t="shared" si="715"/>
        <v>0.090009227413807555</v>
      </c>
      <c r="AH302" s="197">
        <f t="shared" si="715"/>
        <v>0.087480580703916011</v>
      </c>
      <c r="AI302" s="197">
        <f t="shared" si="715"/>
        <v>0.076682439537329131</v>
      </c>
      <c r="AJ302" s="197">
        <f t="shared" si="715"/>
        <v>0.057535422928295429</v>
      </c>
      <c r="AK302" s="1352">
        <f t="shared" si="715"/>
        <v>0.077185921768729709</v>
      </c>
      <c r="AL302" s="197">
        <f t="shared" si="715"/>
        <v>0.11847510269512072</v>
      </c>
      <c r="AM302" s="197">
        <f t="shared" si="715"/>
        <v>0.15528203651719094</v>
      </c>
      <c r="AN302" s="197">
        <f t="shared" si="715"/>
        <v>0.12009838043528702</v>
      </c>
      <c r="AO302" s="197">
        <f t="shared" si="715"/>
        <v>0.10060772847150552</v>
      </c>
      <c r="AP302" s="1352">
        <f t="shared" si="715"/>
        <v>0.12337646905042007</v>
      </c>
      <c r="AQ302" s="197">
        <f t="shared" si="715"/>
        <v>0.093553263984475499</v>
      </c>
      <c r="AR302" s="197">
        <f t="shared" si="715"/>
        <v>0.027708841364725175</v>
      </c>
      <c r="AS302" s="197">
        <f t="shared" si="715"/>
        <v>-0.013304336702059614</v>
      </c>
      <c r="AT302" s="197">
        <f t="shared" si="715"/>
        <v>0.029262113374854855</v>
      </c>
      <c r="AU302" s="1352">
        <f t="shared" si="715"/>
        <v>0.033484206940185918</v>
      </c>
      <c r="AV302" s="197">
        <f t="shared" si="704"/>
        <v>0.031375166889185582</v>
      </c>
      <c r="AW302" s="197">
        <f t="shared" si="705"/>
        <v>0.040441101530809848</v>
      </c>
      <c r="AX302" s="197">
        <f t="shared" si="706"/>
        <v>0.0079962185370465212</v>
      </c>
      <c r="AY302" s="197">
        <f t="shared" si="707"/>
        <v>0.070914044713171337</v>
      </c>
      <c r="AZ302" s="1352">
        <f t="shared" si="707"/>
        <v>0.03821111966427454</v>
      </c>
      <c r="BA302" s="197">
        <f t="shared" si="708"/>
        <v>-0.0040000000000000036</v>
      </c>
      <c r="BB302" s="197">
        <f t="shared" si="709"/>
        <v>0.020466937401912404</v>
      </c>
      <c r="BC302" s="197">
        <f t="shared" si="710"/>
        <v>0.11100631896633029</v>
      </c>
      <c r="BD302" s="197">
        <f t="shared" si="711"/>
        <v>0.15075343439128375</v>
      </c>
      <c r="BE302" s="1352">
        <f t="shared" si="711"/>
        <v>0.073083857350160514</v>
      </c>
      <c r="BF302" s="197">
        <f t="shared" si="712"/>
        <v>0.14900000000000002</v>
      </c>
      <c r="BG302" s="197">
        <f t="shared" si="713"/>
        <v>0.10304785728391812</v>
      </c>
      <c r="BH302" s="815">
        <f t="shared" si="714"/>
        <v>0.081232732696022089</v>
      </c>
      <c r="BI302" s="381"/>
      <c r="BJ302" s="1339"/>
      <c r="BK302" s="381"/>
      <c r="BL302" s="381"/>
      <c r="BM302" s="381"/>
      <c r="BN302" s="381"/>
      <c r="BO302" s="1339"/>
      <c r="BP302" s="1339"/>
      <c r="BQ302" s="1339"/>
      <c r="BR302" s="1339"/>
      <c r="BS302" s="648"/>
    </row>
    <row r="303" spans="1:71" s="676" customFormat="1" ht="15" hidden="1" outlineLevel="1">
      <c r="A303" s="568" t="s">
        <v>550</v>
      </c>
      <c r="B303" s="549"/>
      <c r="C303" s="1398">
        <f t="shared" si="716" ref="C303:AU303">IFERROR(C295/C232,"N/A")</f>
        <v>0.075780978335584143</v>
      </c>
      <c r="D303" s="1361">
        <f t="shared" si="716"/>
        <v>0.069549150613164523</v>
      </c>
      <c r="E303" s="1361">
        <f t="shared" si="716"/>
        <v>0.068445622473215159</v>
      </c>
      <c r="F303" s="1361">
        <f t="shared" si="716"/>
        <v>0.043735775781070567</v>
      </c>
      <c r="G303" s="1361">
        <f t="shared" si="716"/>
        <v>0.066277311362569744</v>
      </c>
      <c r="H303" s="551">
        <f t="shared" si="716"/>
        <v>0.062944469662581326</v>
      </c>
      <c r="I303" s="551">
        <f t="shared" si="716"/>
        <v>0.063595897990802452</v>
      </c>
      <c r="J303" s="551">
        <f t="shared" si="716"/>
        <v>0.062339315883548393</v>
      </c>
      <c r="K303" s="551">
        <f t="shared" si="716"/>
        <v>0.077296859533879242</v>
      </c>
      <c r="L303" s="1361">
        <f t="shared" si="716"/>
        <v>0.06680755992995592</v>
      </c>
      <c r="M303" s="551">
        <f t="shared" si="716"/>
        <v>0.062549108312102669</v>
      </c>
      <c r="N303" s="551">
        <f t="shared" si="716"/>
        <v>0.067313495195209141</v>
      </c>
      <c r="O303" s="551">
        <f t="shared" si="716"/>
        <v>0.062079419397808956</v>
      </c>
      <c r="P303" s="551">
        <f t="shared" si="716"/>
        <v>0.066241003542179003</v>
      </c>
      <c r="Q303" s="1361">
        <f t="shared" si="716"/>
        <v>0.064563878689756854</v>
      </c>
      <c r="R303" s="551">
        <f t="shared" si="716"/>
        <v>0.054918355732609551</v>
      </c>
      <c r="S303" s="551">
        <f t="shared" si="716"/>
        <v>0.033227548811500383</v>
      </c>
      <c r="T303" s="551">
        <f t="shared" si="716"/>
        <v>0.037611756242934953</v>
      </c>
      <c r="U303" s="551">
        <f t="shared" si="716"/>
        <v>0.062650120096076858</v>
      </c>
      <c r="V303" s="1361">
        <f t="shared" si="716"/>
        <v>0.047164403122752524</v>
      </c>
      <c r="W303" s="551">
        <f t="shared" si="716"/>
        <v>0.082441030415890751</v>
      </c>
      <c r="X303" s="551">
        <f t="shared" si="716"/>
        <v>0.068153632577510406</v>
      </c>
      <c r="Y303" s="551">
        <f t="shared" si="716"/>
        <v>0.035552844945110136</v>
      </c>
      <c r="Z303" s="551">
        <f t="shared" si="716"/>
        <v>0.091475054602988978</v>
      </c>
      <c r="AA303" s="1361">
        <f t="shared" si="716"/>
        <v>0.069407487059852738</v>
      </c>
      <c r="AB303" s="551">
        <f t="shared" si="716"/>
        <v>0.11629742931859673</v>
      </c>
      <c r="AC303" s="551">
        <f t="shared" si="716"/>
        <v>0.10078446601941747</v>
      </c>
      <c r="AD303" s="551">
        <f t="shared" si="716"/>
        <v>0.10015926916488865</v>
      </c>
      <c r="AE303" s="551">
        <f t="shared" si="716"/>
        <v>0.073115991663873378</v>
      </c>
      <c r="AF303" s="1361">
        <f t="shared" si="716"/>
        <v>0.096955217459774826</v>
      </c>
      <c r="AG303" s="551">
        <f t="shared" si="716"/>
        <v>0.109375</v>
      </c>
      <c r="AH303" s="551">
        <f t="shared" si="716"/>
        <v>0.10325512003255119</v>
      </c>
      <c r="AI303" s="551">
        <f t="shared" si="716"/>
        <v>0.089498361616538347</v>
      </c>
      <c r="AJ303" s="551">
        <f t="shared" si="716"/>
        <v>0.078413060353192315</v>
      </c>
      <c r="AK303" s="1361">
        <f t="shared" si="716"/>
        <v>0.094491890102615037</v>
      </c>
      <c r="AL303" s="551">
        <f t="shared" si="716"/>
        <v>0.13739755277390647</v>
      </c>
      <c r="AM303" s="551">
        <f t="shared" si="716"/>
        <v>0.14811608898341766</v>
      </c>
      <c r="AN303" s="551">
        <f t="shared" si="716"/>
        <v>0.13404480592920567</v>
      </c>
      <c r="AO303" s="551">
        <f t="shared" si="716"/>
        <v>0.1102884283452569</v>
      </c>
      <c r="AP303" s="1361">
        <f t="shared" si="716"/>
        <v>0.1322190919095895</v>
      </c>
      <c r="AQ303" s="551">
        <f t="shared" si="716"/>
        <v>0.11279147469489678</v>
      </c>
      <c r="AR303" s="551">
        <f t="shared" si="716"/>
        <v>0.037936798355582654</v>
      </c>
      <c r="AS303" s="551">
        <f t="shared" si="716"/>
        <v>-0.002388899431799154</v>
      </c>
      <c r="AT303" s="551">
        <f t="shared" si="716"/>
        <v>0.037060823155540303</v>
      </c>
      <c r="AU303" s="1361">
        <f t="shared" si="716"/>
        <v>0.045551305645783684</v>
      </c>
      <c r="AV303" s="551">
        <f t="shared" si="704"/>
        <v>0.048152332481435571</v>
      </c>
      <c r="AW303" s="551">
        <f t="shared" si="705"/>
        <v>0.049469393037401339</v>
      </c>
      <c r="AX303" s="551">
        <f t="shared" si="706"/>
        <v>-7.3534818736671373E-05</v>
      </c>
      <c r="AY303" s="551">
        <f t="shared" si="707"/>
        <v>0.060822736571864072</v>
      </c>
      <c r="AZ303" s="1361">
        <f t="shared" si="707"/>
        <v>0.039690920322490379</v>
      </c>
      <c r="BA303" s="551">
        <f t="shared" si="708"/>
        <v>0.013000775223112954</v>
      </c>
      <c r="BB303" s="551">
        <f t="shared" si="709"/>
        <v>0.0048560314017509808</v>
      </c>
      <c r="BC303" s="551">
        <f t="shared" si="710"/>
        <v>0.088478065184530996</v>
      </c>
      <c r="BD303" s="551">
        <f t="shared" si="711"/>
        <v>0.13010607761385506</v>
      </c>
      <c r="BE303" s="1361">
        <f t="shared" si="711"/>
        <v>0.06183068510580287</v>
      </c>
      <c r="BF303" s="551">
        <f t="shared" si="712"/>
        <v>0.15491310120979637</v>
      </c>
      <c r="BG303" s="551">
        <f t="shared" si="713"/>
        <v>0.11378169151778925</v>
      </c>
      <c r="BH303" s="817">
        <f t="shared" si="714"/>
        <v>0.10363317125877904</v>
      </c>
      <c r="BI303" s="523"/>
      <c r="BJ303" s="1362"/>
      <c r="BK303" s="523"/>
      <c r="BL303" s="523"/>
      <c r="BM303" s="523"/>
      <c r="BN303" s="523"/>
      <c r="BO303" s="1362"/>
      <c r="BP303" s="1362"/>
      <c r="BQ303" s="1362"/>
      <c r="BR303" s="1362"/>
      <c r="BS303" s="648"/>
    </row>
    <row r="304" spans="1:71" s="676" customFormat="1" ht="15" hidden="1" outlineLevel="1">
      <c r="A304" s="925" t="s">
        <v>363</v>
      </c>
      <c r="B304" s="400"/>
      <c r="C304" s="1397">
        <f t="shared" si="717" ref="C304:AU304">IFERROR(C296/C233,"N/A")</f>
        <v>0.14156348179634079</v>
      </c>
      <c r="D304" s="1352">
        <f t="shared" si="717"/>
        <v>0.12549179215845882</v>
      </c>
      <c r="E304" s="1352">
        <f t="shared" si="717"/>
        <v>0.09099584213755027</v>
      </c>
      <c r="F304" s="1352">
        <f t="shared" si="717"/>
        <v>0.052334748332322621</v>
      </c>
      <c r="G304" s="1352">
        <f t="shared" si="717"/>
        <v>0.064770663033605819</v>
      </c>
      <c r="H304" s="197">
        <f t="shared" si="717"/>
        <v>0.093614099336232548</v>
      </c>
      <c r="I304" s="197">
        <f t="shared" si="717"/>
        <v>0.17531305903398928</v>
      </c>
      <c r="J304" s="197">
        <f t="shared" si="717"/>
        <v>0.18662280701754386</v>
      </c>
      <c r="K304" s="197">
        <f t="shared" si="717"/>
        <v>0.22396461600321671</v>
      </c>
      <c r="L304" s="1352">
        <f t="shared" si="717"/>
        <v>0.17186394557823129</v>
      </c>
      <c r="M304" s="197">
        <f t="shared" si="717"/>
        <v>0.16831046312178388</v>
      </c>
      <c r="N304" s="197">
        <f t="shared" si="717"/>
        <v>0.17003883098303699</v>
      </c>
      <c r="O304" s="197">
        <f t="shared" si="717"/>
        <v>0.15216115783297476</v>
      </c>
      <c r="P304" s="197">
        <f t="shared" si="717"/>
        <v>0.14898846662885232</v>
      </c>
      <c r="Q304" s="1352">
        <f t="shared" si="717"/>
        <v>0.15947692770178867</v>
      </c>
      <c r="R304" s="197">
        <f t="shared" si="717"/>
        <v>0.11133381924198252</v>
      </c>
      <c r="S304" s="197">
        <f t="shared" si="717"/>
        <v>0.052578361981799798</v>
      </c>
      <c r="T304" s="197">
        <f t="shared" si="717"/>
        <v>0.0069819105046017137</v>
      </c>
      <c r="U304" s="197">
        <f t="shared" si="717"/>
        <v>0.090152565880721153</v>
      </c>
      <c r="V304" s="1352">
        <f t="shared" si="717"/>
        <v>0.064097798703175973</v>
      </c>
      <c r="W304" s="197">
        <f t="shared" si="717"/>
        <v>0.10441518202943456</v>
      </c>
      <c r="X304" s="197">
        <f t="shared" si="717"/>
        <v>0.083668304302515997</v>
      </c>
      <c r="Y304" s="197">
        <f t="shared" si="717"/>
        <v>0.05994397759103641</v>
      </c>
      <c r="Z304" s="197">
        <f t="shared" si="717"/>
        <v>0.062540972859577798</v>
      </c>
      <c r="AA304" s="1352">
        <f t="shared" si="717"/>
        <v>0.07663123232757077</v>
      </c>
      <c r="AB304" s="197">
        <f t="shared" si="717"/>
        <v>0.11723967350976996</v>
      </c>
      <c r="AC304" s="197">
        <f t="shared" si="717"/>
        <v>0.11342304647743978</v>
      </c>
      <c r="AD304" s="197">
        <f t="shared" si="717"/>
        <v>0.11994465730097914</v>
      </c>
      <c r="AE304" s="197">
        <f t="shared" si="717"/>
        <v>0.17457072771872445</v>
      </c>
      <c r="AF304" s="1352">
        <f t="shared" si="717"/>
        <v>0.13254313329086931</v>
      </c>
      <c r="AG304" s="197">
        <f t="shared" si="717"/>
        <v>0.16446199407699902</v>
      </c>
      <c r="AH304" s="197">
        <f t="shared" si="717"/>
        <v>0.11620737972909856</v>
      </c>
      <c r="AI304" s="197">
        <f t="shared" si="717"/>
        <v>0.062968651188002531</v>
      </c>
      <c r="AJ304" s="197">
        <f t="shared" si="717"/>
        <v>0.079291949563530556</v>
      </c>
      <c r="AK304" s="1352">
        <f t="shared" si="717"/>
        <v>0.1036227301472581</v>
      </c>
      <c r="AL304" s="197">
        <f t="shared" si="717"/>
        <v>0.094617325483599662</v>
      </c>
      <c r="AM304" s="197">
        <f t="shared" si="717"/>
        <v>0.15925597874224978</v>
      </c>
      <c r="AN304" s="197">
        <f t="shared" si="717"/>
        <v>0.12833388212051366</v>
      </c>
      <c r="AO304" s="197">
        <f t="shared" si="717"/>
        <v>0.1389426656738644</v>
      </c>
      <c r="AP304" s="1352">
        <f t="shared" si="717"/>
        <v>0.13019401944296319</v>
      </c>
      <c r="AQ304" s="197">
        <f t="shared" si="717"/>
        <v>0.16116518549865991</v>
      </c>
      <c r="AR304" s="197">
        <f t="shared" si="717"/>
        <v>0.080219509187322721</v>
      </c>
      <c r="AS304" s="197">
        <f t="shared" si="717"/>
        <v>0.10519867902418238</v>
      </c>
      <c r="AT304" s="197">
        <f t="shared" si="717"/>
        <v>0.10437826644315154</v>
      </c>
      <c r="AU304" s="1352">
        <f t="shared" si="717"/>
        <v>0.11055117203248287</v>
      </c>
      <c r="AV304" s="197">
        <f t="shared" si="704"/>
        <v>0.095148552087250857</v>
      </c>
      <c r="AW304" s="197">
        <f t="shared" si="705"/>
        <v>0.10545044263148756</v>
      </c>
      <c r="AX304" s="197">
        <f t="shared" si="706"/>
        <v>0.1027222917295828</v>
      </c>
      <c r="AY304" s="197">
        <f t="shared" si="707"/>
        <v>0.054215837181460579</v>
      </c>
      <c r="AZ304" s="1352">
        <f t="shared" si="707"/>
        <v>0.089158588514903783</v>
      </c>
      <c r="BA304" s="197">
        <f t="shared" si="708"/>
        <v>0.016000000000000014</v>
      </c>
      <c r="BB304" s="197">
        <f t="shared" si="709"/>
        <v>0.035532374393871483</v>
      </c>
      <c r="BC304" s="197">
        <f t="shared" si="710"/>
        <v>0.009249577736668544</v>
      </c>
      <c r="BD304" s="197">
        <f t="shared" si="711"/>
        <v>-0.0095690072639225288</v>
      </c>
      <c r="BE304" s="1352">
        <f t="shared" si="711"/>
        <v>0.012425874104680412</v>
      </c>
      <c r="BF304" s="197">
        <f t="shared" si="712"/>
        <v>0.082000000000000073</v>
      </c>
      <c r="BG304" s="197">
        <f t="shared" si="713"/>
        <v>0.11401763933195724</v>
      </c>
      <c r="BH304" s="815">
        <f t="shared" si="714"/>
        <v>0.11310375178787543</v>
      </c>
      <c r="BI304" s="381"/>
      <c r="BJ304" s="1339"/>
      <c r="BK304" s="381"/>
      <c r="BL304" s="381"/>
      <c r="BM304" s="381"/>
      <c r="BN304" s="381"/>
      <c r="BO304" s="1339"/>
      <c r="BP304" s="1339"/>
      <c r="BQ304" s="1339"/>
      <c r="BR304" s="1339"/>
      <c r="BS304" s="648"/>
    </row>
    <row r="305" spans="1:71" s="676" customFormat="1" ht="15" hidden="1" outlineLevel="1">
      <c r="A305" s="925" t="s">
        <v>491</v>
      </c>
      <c r="B305" s="400"/>
      <c r="C305" s="1397" t="str">
        <f t="shared" si="718" ref="C305:AU305">IFERROR(C297/C234,"N/A")</f>
        <v>N/A</v>
      </c>
      <c r="D305" s="1352" t="str">
        <f t="shared" si="718"/>
        <v>N/A</v>
      </c>
      <c r="E305" s="1352" t="str">
        <f t="shared" si="718"/>
        <v>N/A</v>
      </c>
      <c r="F305" s="1352" t="str">
        <f t="shared" si="718"/>
        <v>N/A</v>
      </c>
      <c r="G305" s="1352" t="str">
        <f t="shared" si="718"/>
        <v>N/A</v>
      </c>
      <c r="H305" s="197" t="str">
        <f t="shared" si="718"/>
        <v>N/A</v>
      </c>
      <c r="I305" s="197" t="str">
        <f t="shared" si="718"/>
        <v>N/A</v>
      </c>
      <c r="J305" s="197" t="str">
        <f t="shared" si="718"/>
        <v>N/A</v>
      </c>
      <c r="K305" s="197" t="str">
        <f t="shared" si="718"/>
        <v>N/A</v>
      </c>
      <c r="L305" s="1352" t="str">
        <f t="shared" si="718"/>
        <v>N/A</v>
      </c>
      <c r="M305" s="197" t="str">
        <f t="shared" si="718"/>
        <v>N/A</v>
      </c>
      <c r="N305" s="197">
        <f t="shared" si="718"/>
        <v>0.0050327126321087065</v>
      </c>
      <c r="O305" s="197">
        <f t="shared" si="718"/>
        <v>0.083820662768031184</v>
      </c>
      <c r="P305" s="197">
        <f t="shared" si="718"/>
        <v>0.21003898635477575</v>
      </c>
      <c r="Q305" s="1352">
        <f t="shared" si="718"/>
        <v>0.10064028895091118</v>
      </c>
      <c r="R305" s="197">
        <f t="shared" si="718"/>
        <v>-0.1225</v>
      </c>
      <c r="S305" s="197">
        <f t="shared" si="718"/>
        <v>-0.064669519733713737</v>
      </c>
      <c r="T305" s="197">
        <f t="shared" si="718"/>
        <v>0.045674132630654375</v>
      </c>
      <c r="U305" s="197">
        <f t="shared" si="718"/>
        <v>0.26578366445916118</v>
      </c>
      <c r="V305" s="1352">
        <f t="shared" si="718"/>
        <v>0.037593984962406013</v>
      </c>
      <c r="W305" s="197">
        <f t="shared" si="718"/>
        <v>0.034513274336283185</v>
      </c>
      <c r="X305" s="197">
        <f t="shared" si="718"/>
        <v>0.015474696779590132</v>
      </c>
      <c r="Y305" s="197">
        <f t="shared" si="718"/>
        <v>-0.27037617554858934</v>
      </c>
      <c r="Z305" s="197">
        <f t="shared" si="718"/>
        <v>0.026815642458100569</v>
      </c>
      <c r="AA305" s="1352">
        <f t="shared" si="718"/>
        <v>-0.050869741100323627</v>
      </c>
      <c r="AB305" s="197">
        <f t="shared" si="718"/>
        <v>0.099894847528916919</v>
      </c>
      <c r="AC305" s="197">
        <f t="shared" si="718"/>
        <v>-0.16613316261203587</v>
      </c>
      <c r="AD305" s="197">
        <f t="shared" si="718"/>
        <v>-0.023248882265275706</v>
      </c>
      <c r="AE305" s="197">
        <f t="shared" si="718"/>
        <v>-0.16220028208744711</v>
      </c>
      <c r="AF305" s="1352">
        <f t="shared" si="718"/>
        <v>-0.068882503688747376</v>
      </c>
      <c r="AG305" s="197">
        <f t="shared" si="718"/>
        <v>0.021270718232044201</v>
      </c>
      <c r="AH305" s="197">
        <f t="shared" si="718"/>
        <v>-0.090241343126967466</v>
      </c>
      <c r="AI305" s="197">
        <f t="shared" si="718"/>
        <v>-0.022870067856245287</v>
      </c>
      <c r="AJ305" s="197">
        <f t="shared" si="718"/>
        <v>0.023446942228668104</v>
      </c>
      <c r="AK305" s="1352">
        <f t="shared" si="718"/>
        <v>-0.016786724980704916</v>
      </c>
      <c r="AL305" s="197">
        <f t="shared" si="718"/>
        <v>0.11697574893009986</v>
      </c>
      <c r="AM305" s="197">
        <f t="shared" si="718"/>
        <v>-0.43609891379708809</v>
      </c>
      <c r="AN305" s="197">
        <f t="shared" si="718"/>
        <v>-0.11826514643416053</v>
      </c>
      <c r="AO305" s="197">
        <f t="shared" si="718"/>
        <v>0.14470006450225756</v>
      </c>
      <c r="AP305" s="1352">
        <f t="shared" si="718"/>
        <v>-0.070850087783881743</v>
      </c>
      <c r="AQ305" s="197">
        <f t="shared" si="718"/>
        <v>-0.14962962962962964</v>
      </c>
      <c r="AR305" s="197">
        <f t="shared" si="718"/>
        <v>-0.16583714911407527</v>
      </c>
      <c r="AS305" s="197">
        <f t="shared" si="718"/>
        <v>-0.42298195631528962</v>
      </c>
      <c r="AT305" s="197">
        <f t="shared" si="718"/>
        <v>0.11899482631189943</v>
      </c>
      <c r="AU305" s="1352">
        <f t="shared" si="718"/>
        <v>-0.15290085679314566</v>
      </c>
      <c r="AV305" s="197">
        <f t="shared" si="704"/>
        <v>0.014871886758645404</v>
      </c>
      <c r="AW305" s="197">
        <f t="shared" si="705"/>
        <v>-0.27502191060473274</v>
      </c>
      <c r="AX305" s="197">
        <f t="shared" si="706"/>
        <v>-0.25133689839572193</v>
      </c>
      <c r="AY305" s="197">
        <f t="shared" si="707"/>
        <v>0.088215024121295671</v>
      </c>
      <c r="AZ305" s="1352">
        <f t="shared" si="707"/>
        <v>-0.10502202643171807</v>
      </c>
      <c r="BA305" s="197">
        <f t="shared" si="708"/>
        <v>-0.054999999999999938</v>
      </c>
      <c r="BB305" s="197">
        <f t="shared" si="709"/>
        <v>-0.33231560340671706</v>
      </c>
      <c r="BC305" s="197">
        <f t="shared" si="710"/>
        <v>0.11807534029756252</v>
      </c>
      <c r="BD305" s="197">
        <f t="shared" si="711"/>
        <v>0.27659390208989398</v>
      </c>
      <c r="BE305" s="1352">
        <f t="shared" si="711"/>
        <v>0.011013561182096104</v>
      </c>
      <c r="BF305" s="197">
        <f t="shared" si="712"/>
        <v>0.066000000000000059</v>
      </c>
      <c r="BG305" s="197">
        <f t="shared" si="713"/>
        <v>-0.66286180187525467</v>
      </c>
      <c r="BH305" s="815">
        <f t="shared" si="714"/>
        <v>0.2148857967970596</v>
      </c>
      <c r="BI305" s="381"/>
      <c r="BJ305" s="1339"/>
      <c r="BK305" s="381"/>
      <c r="BL305" s="381"/>
      <c r="BM305" s="381"/>
      <c r="BN305" s="381"/>
      <c r="BO305" s="1339"/>
      <c r="BP305" s="1339"/>
      <c r="BQ305" s="1339"/>
      <c r="BR305" s="1339"/>
      <c r="BS305" s="648"/>
    </row>
    <row r="306" spans="1:71" s="676" customFormat="1" ht="15" hidden="1" outlineLevel="1">
      <c r="A306" s="291" t="s">
        <v>676</v>
      </c>
      <c r="B306" s="400"/>
      <c r="C306" s="1397">
        <f t="shared" si="719" ref="C306:AU306">IFERROR(C298/C235,"N/A")</f>
        <v>0.36864406779661013</v>
      </c>
      <c r="D306" s="1352">
        <f t="shared" si="719"/>
        <v>0.46715328467153289</v>
      </c>
      <c r="E306" s="1352">
        <f t="shared" si="719"/>
        <v>-1.1956521739130437</v>
      </c>
      <c r="F306" s="1352">
        <f t="shared" si="719"/>
        <v>-6.4444444444444438</v>
      </c>
      <c r="G306" s="1352">
        <f t="shared" si="719"/>
        <v>-54</v>
      </c>
      <c r="H306" s="197" t="str">
        <f t="shared" si="719"/>
        <v>N/A</v>
      </c>
      <c r="I306" s="197" t="str">
        <f t="shared" si="719"/>
        <v>N/A</v>
      </c>
      <c r="J306" s="197" t="str">
        <f t="shared" si="719"/>
        <v>N/A</v>
      </c>
      <c r="K306" s="197" t="str">
        <f t="shared" si="719"/>
        <v>N/A</v>
      </c>
      <c r="L306" s="1352" t="str">
        <f t="shared" si="719"/>
        <v>N/A</v>
      </c>
      <c r="M306" s="197" t="str">
        <f t="shared" si="719"/>
        <v>N/A</v>
      </c>
      <c r="N306" s="197">
        <f t="shared" si="719"/>
        <v>1</v>
      </c>
      <c r="O306" s="197" t="str">
        <f t="shared" si="719"/>
        <v>N/A</v>
      </c>
      <c r="P306" s="197" t="str">
        <f t="shared" si="719"/>
        <v>N/A</v>
      </c>
      <c r="Q306" s="1352">
        <f t="shared" si="719"/>
        <v>2.50</v>
      </c>
      <c r="R306" s="197" t="str">
        <f t="shared" si="719"/>
        <v>N/A</v>
      </c>
      <c r="S306" s="197" t="str">
        <f t="shared" si="719"/>
        <v>N/A</v>
      </c>
      <c r="T306" s="197" t="str">
        <f t="shared" si="719"/>
        <v>N/A</v>
      </c>
      <c r="U306" s="197" t="str">
        <f t="shared" si="719"/>
        <v>N/A</v>
      </c>
      <c r="V306" s="1352" t="str">
        <f t="shared" si="719"/>
        <v>N/A</v>
      </c>
      <c r="W306" s="197" t="str">
        <f t="shared" si="719"/>
        <v>N/A</v>
      </c>
      <c r="X306" s="197" t="str">
        <f t="shared" si="719"/>
        <v>N/A</v>
      </c>
      <c r="Y306" s="197" t="str">
        <f t="shared" si="719"/>
        <v>N/A</v>
      </c>
      <c r="Z306" s="197" t="str">
        <f t="shared" si="719"/>
        <v>N/A</v>
      </c>
      <c r="AA306" s="1352" t="str">
        <f t="shared" si="719"/>
        <v>N/A</v>
      </c>
      <c r="AB306" s="197" t="str">
        <f t="shared" si="719"/>
        <v>N/A</v>
      </c>
      <c r="AC306" s="197" t="str">
        <f t="shared" si="719"/>
        <v>N/A</v>
      </c>
      <c r="AD306" s="197" t="str">
        <f t="shared" si="719"/>
        <v>N/A</v>
      </c>
      <c r="AE306" s="197" t="str">
        <f t="shared" si="719"/>
        <v>N/A</v>
      </c>
      <c r="AF306" s="1352" t="str">
        <f t="shared" si="719"/>
        <v>N/A</v>
      </c>
      <c r="AG306" s="197" t="str">
        <f t="shared" si="719"/>
        <v>N/A</v>
      </c>
      <c r="AH306" s="197" t="str">
        <f t="shared" si="719"/>
        <v>N/A</v>
      </c>
      <c r="AI306" s="197" t="str">
        <f t="shared" si="719"/>
        <v>N/A</v>
      </c>
      <c r="AJ306" s="197" t="str">
        <f t="shared" si="719"/>
        <v>N/A</v>
      </c>
      <c r="AK306" s="1352" t="str">
        <f t="shared" si="719"/>
        <v>N/A</v>
      </c>
      <c r="AL306" s="197" t="str">
        <f t="shared" si="719"/>
        <v>N/A</v>
      </c>
      <c r="AM306" s="197" t="str">
        <f t="shared" si="719"/>
        <v>N/A</v>
      </c>
      <c r="AN306" s="197" t="str">
        <f t="shared" si="719"/>
        <v>N/A</v>
      </c>
      <c r="AO306" s="197" t="str">
        <f t="shared" si="719"/>
        <v>N/A</v>
      </c>
      <c r="AP306" s="1352" t="str">
        <f t="shared" si="719"/>
        <v>N/A</v>
      </c>
      <c r="AQ306" s="197" t="str">
        <f t="shared" si="719"/>
        <v>N/A</v>
      </c>
      <c r="AR306" s="197">
        <f t="shared" si="719"/>
        <v>0.025</v>
      </c>
      <c r="AS306" s="197">
        <f t="shared" si="719"/>
        <v>-0.10714285714285715</v>
      </c>
      <c r="AT306" s="197">
        <f t="shared" si="719"/>
        <v>-1.3333333333333328</v>
      </c>
      <c r="AU306" s="1352">
        <f t="shared" si="719"/>
        <v>-0.1818181818181818</v>
      </c>
      <c r="AV306" s="197">
        <f t="shared" si="704"/>
        <v>-1.2857142857142858</v>
      </c>
      <c r="AW306" s="197">
        <f t="shared" si="705"/>
        <v>-10.50</v>
      </c>
      <c r="AX306" s="197">
        <f t="shared" si="706"/>
        <v>-3.0000000000000004</v>
      </c>
      <c r="AY306" s="197">
        <f t="shared" si="707"/>
        <v>-2.9999999999999978</v>
      </c>
      <c r="AZ306" s="1352">
        <f t="shared" si="707"/>
        <v>-4.2222222222222223</v>
      </c>
      <c r="BA306" s="197">
        <f t="shared" si="708"/>
        <v>-0.98014285713921778</v>
      </c>
      <c r="BB306" s="197">
        <f t="shared" si="709"/>
        <v>0</v>
      </c>
      <c r="BC306" s="197">
        <f t="shared" si="710"/>
        <v>-32.999999999999993</v>
      </c>
      <c r="BD306" s="197">
        <f t="shared" si="711"/>
        <v>-122.13900000002535</v>
      </c>
      <c r="BE306" s="1352">
        <f t="shared" si="711"/>
        <v>-16.20</v>
      </c>
      <c r="BF306" s="197">
        <f t="shared" si="712"/>
        <v>-9.2675000000110686</v>
      </c>
      <c r="BG306" s="197">
        <f t="shared" si="713"/>
        <v>-2.9999999999999996</v>
      </c>
      <c r="BH306" s="815">
        <f t="shared" si="714"/>
        <v>-11.499999999999998</v>
      </c>
      <c r="BI306" s="381"/>
      <c r="BJ306" s="1339"/>
      <c r="BK306" s="381"/>
      <c r="BL306" s="381"/>
      <c r="BM306" s="381"/>
      <c r="BN306" s="381"/>
      <c r="BO306" s="1339"/>
      <c r="BP306" s="1339"/>
      <c r="BQ306" s="1339"/>
      <c r="BR306" s="1339"/>
      <c r="BS306" s="648"/>
    </row>
    <row r="307" spans="1:71" s="671" customFormat="1" ht="15" hidden="1" outlineLevel="1">
      <c r="A307" s="58" t="s">
        <v>677</v>
      </c>
      <c r="B307" s="399"/>
      <c r="C307" s="1368">
        <f t="shared" si="720" ref="C307:AU307">IFERROR(C299/C236,"N/A")</f>
        <v>0.083894724823018962</v>
      </c>
      <c r="D307" s="1357">
        <f t="shared" si="720"/>
        <v>0.075690893341157403</v>
      </c>
      <c r="E307" s="1357">
        <f t="shared" si="720"/>
        <v>0.070275384491504958</v>
      </c>
      <c r="F307" s="1357">
        <f t="shared" si="720"/>
        <v>0.044256461480834064</v>
      </c>
      <c r="G307" s="1357">
        <f t="shared" si="720"/>
        <v>0.065489902592466981</v>
      </c>
      <c r="H307" s="559">
        <f t="shared" si="720"/>
        <v>0.065829225632055982</v>
      </c>
      <c r="I307" s="559">
        <f t="shared" si="720"/>
        <v>0.073623573723274618</v>
      </c>
      <c r="J307" s="559">
        <f t="shared" si="720"/>
        <v>0.074844166428052236</v>
      </c>
      <c r="K307" s="559">
        <f t="shared" si="720"/>
        <v>0.090721482620483129</v>
      </c>
      <c r="L307" s="1357">
        <f t="shared" si="720"/>
        <v>0.076652988015327328</v>
      </c>
      <c r="M307" s="559">
        <f t="shared" si="720"/>
        <v>0.073205751880504905</v>
      </c>
      <c r="N307" s="559">
        <f t="shared" si="720"/>
        <v>0.074822851195003801</v>
      </c>
      <c r="O307" s="559">
        <f t="shared" si="720"/>
        <v>0.071963870153433515</v>
      </c>
      <c r="P307" s="559">
        <f t="shared" si="720"/>
        <v>0.080307370703004019</v>
      </c>
      <c r="Q307" s="1357">
        <f t="shared" si="720"/>
        <v>0.075139076641657157</v>
      </c>
      <c r="R307" s="559">
        <f t="shared" si="720"/>
        <v>0.053936134200925259</v>
      </c>
      <c r="S307" s="559">
        <f t="shared" si="720"/>
        <v>0.031572512495954545</v>
      </c>
      <c r="T307" s="559">
        <f t="shared" si="720"/>
        <v>0.034420099940594751</v>
      </c>
      <c r="U307" s="559">
        <f t="shared" si="720"/>
        <v>0.073525905235548583</v>
      </c>
      <c r="V307" s="1357">
        <f t="shared" si="720"/>
        <v>0.048549434902554069</v>
      </c>
      <c r="W307" s="559">
        <f t="shared" si="720"/>
        <v>0.082964142897439724</v>
      </c>
      <c r="X307" s="559">
        <f t="shared" si="720"/>
        <v>0.067793388560657641</v>
      </c>
      <c r="Y307" s="559">
        <f t="shared" si="720"/>
        <v>0.02628361858190709</v>
      </c>
      <c r="Z307" s="559">
        <f t="shared" si="720"/>
        <v>0.085730145050322115</v>
      </c>
      <c r="AA307" s="1357">
        <f t="shared" si="720"/>
        <v>0.065561856050742523</v>
      </c>
      <c r="AB307" s="559">
        <f t="shared" si="720"/>
        <v>0.11577920267633118</v>
      </c>
      <c r="AC307" s="559">
        <f t="shared" si="720"/>
        <v>0.091325875664771683</v>
      </c>
      <c r="AD307" s="559">
        <f t="shared" si="720"/>
        <v>0.097270033415295373</v>
      </c>
      <c r="AE307" s="559">
        <f t="shared" si="720"/>
        <v>0.075147048056036891</v>
      </c>
      <c r="AF307" s="1357">
        <f t="shared" si="720"/>
        <v>0.094235015339456177</v>
      </c>
      <c r="AG307" s="559">
        <f t="shared" si="720"/>
        <v>0.11220123407172748</v>
      </c>
      <c r="AH307" s="559">
        <f t="shared" si="720"/>
        <v>0.096467868596099571</v>
      </c>
      <c r="AI307" s="559">
        <f t="shared" si="720"/>
        <v>0.08127871108053529</v>
      </c>
      <c r="AJ307" s="559">
        <f t="shared" si="720"/>
        <v>0.076225027031943171</v>
      </c>
      <c r="AK307" s="1357">
        <f t="shared" si="720"/>
        <v>0.090828461223903381</v>
      </c>
      <c r="AL307" s="559">
        <f t="shared" si="720"/>
        <v>0.13109313200504732</v>
      </c>
      <c r="AM307" s="559">
        <f t="shared" si="720"/>
        <v>0.12321994900814627</v>
      </c>
      <c r="AN307" s="559">
        <f t="shared" si="720"/>
        <v>0.12203338847947061</v>
      </c>
      <c r="AO307" s="559">
        <f t="shared" si="720"/>
        <v>0.11562573466029304</v>
      </c>
      <c r="AP307" s="1357">
        <f t="shared" si="720"/>
        <v>0.12283503474132486</v>
      </c>
      <c r="AQ307" s="559">
        <f t="shared" si="720"/>
        <v>0.10747394483791098</v>
      </c>
      <c r="AR307" s="559">
        <f t="shared" si="720"/>
        <v>0.034856086612094009</v>
      </c>
      <c r="AS307" s="559">
        <f t="shared" si="720"/>
        <v>-0.0041267774179923975</v>
      </c>
      <c r="AT307" s="559">
        <f t="shared" si="720"/>
        <v>0.052545382453841771</v>
      </c>
      <c r="AU307" s="1357">
        <f t="shared" si="720"/>
        <v>0.046550834259286397</v>
      </c>
      <c r="AV307" s="559">
        <f t="shared" si="704"/>
        <v>0.054969541383897161</v>
      </c>
      <c r="AW307" s="559">
        <f t="shared" si="705"/>
        <v>0.044328649396191945</v>
      </c>
      <c r="AX307" s="559">
        <f t="shared" si="706"/>
        <v>0.0076055133923170612</v>
      </c>
      <c r="AY307" s="559">
        <f t="shared" si="707"/>
        <v>0.060691153085366309</v>
      </c>
      <c r="AZ307" s="1357">
        <f t="shared" si="707"/>
        <v>0.041916119022282157</v>
      </c>
      <c r="BA307" s="559">
        <f t="shared" si="708"/>
        <v>0.01046323458778862</v>
      </c>
      <c r="BB307" s="559">
        <f t="shared" si="709"/>
        <v>-0.0044453969746410119</v>
      </c>
      <c r="BC307" s="559">
        <f t="shared" si="710"/>
        <v>0.07628421610951841</v>
      </c>
      <c r="BD307" s="559">
        <f t="shared" si="711"/>
        <v>0.11277785526799623</v>
      </c>
      <c r="BE307" s="1357">
        <f t="shared" si="711"/>
        <v>0.05100708436462318</v>
      </c>
      <c r="BF307" s="559">
        <f t="shared" si="712"/>
        <v>0.13932477118759506</v>
      </c>
      <c r="BG307" s="559">
        <f t="shared" si="713"/>
        <v>0.080571777216072504</v>
      </c>
      <c r="BH307" s="816">
        <f t="shared" si="714"/>
        <v>0.1095498095284942</v>
      </c>
      <c r="BI307" s="560">
        <f t="shared" si="721" ref="BI307:BR307">IFERROR(BI299/BI236,"N/A")</f>
        <v>0.071884676910420595</v>
      </c>
      <c r="BJ307" s="1358">
        <f t="shared" si="721"/>
        <v>0.09973610238398975</v>
      </c>
      <c r="BK307" s="560">
        <f t="shared" si="721"/>
        <v>0.072459396578710339</v>
      </c>
      <c r="BL307" s="560">
        <f t="shared" si="721"/>
        <v>0.051536567006642664</v>
      </c>
      <c r="BM307" s="560">
        <f t="shared" si="721"/>
        <v>0.054684946417472791</v>
      </c>
      <c r="BN307" s="560">
        <f t="shared" si="721"/>
        <v>0.096854018996524502</v>
      </c>
      <c r="BO307" s="1358">
        <f t="shared" si="721"/>
        <v>0.068762708533197353</v>
      </c>
      <c r="BP307" s="1358">
        <f t="shared" si="721"/>
        <v>0.068879158880521638</v>
      </c>
      <c r="BQ307" s="1358">
        <f t="shared" si="721"/>
        <v>0.069997247741663909</v>
      </c>
      <c r="BR307" s="1358">
        <f t="shared" si="721"/>
        <v>0.071116426234742638</v>
      </c>
      <c r="BS307" s="648"/>
    </row>
    <row r="308" spans="1:71" s="665" customFormat="1" ht="15" hidden="1" outlineLevel="1">
      <c r="A308" s="999"/>
      <c r="B308" s="308"/>
      <c r="C308" s="1351"/>
      <c r="D308" s="1351"/>
      <c r="E308" s="1351"/>
      <c r="F308" s="1351"/>
      <c r="G308" s="1351"/>
      <c r="H308" s="1047"/>
      <c r="I308" s="1047"/>
      <c r="J308" s="1047"/>
      <c r="K308" s="1047"/>
      <c r="L308" s="1351"/>
      <c r="M308" s="1047"/>
      <c r="N308" s="1047"/>
      <c r="O308" s="1047"/>
      <c r="P308" s="1047"/>
      <c r="Q308" s="1351"/>
      <c r="R308" s="1047"/>
      <c r="S308" s="1047"/>
      <c r="T308" s="1047"/>
      <c r="U308" s="1047"/>
      <c r="V308" s="1351"/>
      <c r="W308" s="1047"/>
      <c r="X308" s="1047"/>
      <c r="Y308" s="1047"/>
      <c r="Z308" s="1047"/>
      <c r="AA308" s="1351"/>
      <c r="AB308" s="1047"/>
      <c r="AC308" s="1047"/>
      <c r="AD308" s="1047"/>
      <c r="AE308" s="1047"/>
      <c r="AF308" s="1351"/>
      <c r="AG308" s="1047"/>
      <c r="AH308" s="1047"/>
      <c r="AI308" s="1047"/>
      <c r="AJ308" s="1047"/>
      <c r="AK308" s="1351"/>
      <c r="AL308" s="1047"/>
      <c r="AM308" s="1047"/>
      <c r="AN308" s="1047"/>
      <c r="AO308" s="1047"/>
      <c r="AP308" s="1351"/>
      <c r="AQ308" s="1047"/>
      <c r="AR308" s="1047"/>
      <c r="AS308" s="1047"/>
      <c r="AT308" s="1047"/>
      <c r="AU308" s="1351"/>
      <c r="AV308" s="1047"/>
      <c r="AW308" s="1047"/>
      <c r="AX308" s="1047"/>
      <c r="AY308" s="1047"/>
      <c r="AZ308" s="1351"/>
      <c r="BA308" s="1047"/>
      <c r="BB308" s="1047"/>
      <c r="BC308" s="1047"/>
      <c r="BD308" s="1047"/>
      <c r="BE308" s="1351"/>
      <c r="BF308" s="1047"/>
      <c r="BG308" s="1047"/>
      <c r="BH308" s="1048"/>
      <c r="BI308" s="1044"/>
      <c r="BJ308" s="1350"/>
      <c r="BK308" s="1044"/>
      <c r="BL308" s="1044"/>
      <c r="BM308" s="1044"/>
      <c r="BN308" s="1044"/>
      <c r="BO308" s="1350"/>
      <c r="BP308" s="1351"/>
      <c r="BQ308" s="1351"/>
      <c r="BR308" s="1350"/>
      <c r="BS308" s="648"/>
    </row>
    <row r="309" spans="1:71" s="668" customFormat="1" ht="15" hidden="1" outlineLevel="1">
      <c r="A309" s="991" t="s">
        <v>25</v>
      </c>
      <c r="B309" s="991"/>
      <c r="C309" s="1035"/>
      <c r="D309" s="1035"/>
      <c r="E309" s="1035"/>
      <c r="F309" s="1035"/>
      <c r="G309" s="1035"/>
      <c r="H309" s="1035"/>
      <c r="I309" s="1035"/>
      <c r="J309" s="1035"/>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35"/>
      <c r="AE309" s="1035"/>
      <c r="AF309" s="1035"/>
      <c r="AG309" s="1035"/>
      <c r="AH309" s="1035"/>
      <c r="AI309" s="1035"/>
      <c r="AJ309" s="1035"/>
      <c r="AK309" s="1035"/>
      <c r="AL309" s="1035"/>
      <c r="AM309" s="1035"/>
      <c r="AN309" s="1035"/>
      <c r="AO309" s="1035"/>
      <c r="AP309" s="1035"/>
      <c r="AQ309" s="1035"/>
      <c r="AR309" s="1035"/>
      <c r="AS309" s="1035"/>
      <c r="AT309" s="1035"/>
      <c r="AU309" s="1035"/>
      <c r="AV309" s="1035"/>
      <c r="AW309" s="1035"/>
      <c r="AX309" s="1035"/>
      <c r="AY309" s="1035"/>
      <c r="AZ309" s="1035"/>
      <c r="BA309" s="1035"/>
      <c r="BB309" s="1035"/>
      <c r="BC309" s="1035"/>
      <c r="BD309" s="1035"/>
      <c r="BE309" s="1035"/>
      <c r="BF309" s="1035"/>
      <c r="BG309" s="1035"/>
      <c r="BH309" s="1036"/>
      <c r="BI309" s="1037"/>
      <c r="BJ309" s="1037"/>
      <c r="BK309" s="1037"/>
      <c r="BL309" s="1037"/>
      <c r="BM309" s="1037"/>
      <c r="BN309" s="1037"/>
      <c r="BO309" s="1037"/>
      <c r="BP309" s="1035"/>
      <c r="BQ309" s="1035"/>
      <c r="BR309" s="1037"/>
      <c r="BS309" s="648"/>
    </row>
    <row r="310" spans="1:71" s="668" customFormat="1" ht="15" hidden="1" outlineLevel="2">
      <c r="A310" s="648" t="str">
        <f>A220</f>
        <v>Total Net Written Premiums, mm</v>
      </c>
      <c r="B310" s="394"/>
      <c r="C310" s="1320">
        <f t="shared" si="722" ref="C310:AH310">C220</f>
        <v>14002.899999999998</v>
      </c>
      <c r="D310" s="1320">
        <f t="shared" si="722"/>
        <v>14476.80</v>
      </c>
      <c r="E310" s="1320">
        <f t="shared" si="722"/>
        <v>15146.60</v>
      </c>
      <c r="F310" s="1320">
        <f t="shared" si="722"/>
        <v>16372.699999999999</v>
      </c>
      <c r="G310" s="1320">
        <f t="shared" si="722"/>
        <v>17339.700000000001</v>
      </c>
      <c r="H310" s="1021">
        <f t="shared" si="722"/>
        <v>4681</v>
      </c>
      <c r="I310" s="1021">
        <f t="shared" si="722"/>
        <v>4627.70</v>
      </c>
      <c r="J310" s="1021">
        <f t="shared" si="722"/>
        <v>4732.2999999999993</v>
      </c>
      <c r="K310" s="1021">
        <f t="shared" si="722"/>
        <v>4613.5999999999985</v>
      </c>
      <c r="L310" s="1320">
        <f t="shared" si="722"/>
        <v>18654.60</v>
      </c>
      <c r="M310" s="1021">
        <f t="shared" si="722"/>
        <v>5066.80</v>
      </c>
      <c r="N310" s="1021">
        <f t="shared" si="722"/>
        <v>5246.10</v>
      </c>
      <c r="O310" s="1021">
        <f t="shared" si="722"/>
        <v>5412.60</v>
      </c>
      <c r="P310" s="1021">
        <f t="shared" si="722"/>
        <v>4838.5000000000009</v>
      </c>
      <c r="Q310" s="1320">
        <f t="shared" si="722"/>
        <v>20563.999999999996</v>
      </c>
      <c r="R310" s="1021">
        <f t="shared" si="722"/>
        <v>5818.40</v>
      </c>
      <c r="S310" s="1021">
        <f t="shared" si="722"/>
        <v>5934.60</v>
      </c>
      <c r="T310" s="1021">
        <f t="shared" si="722"/>
        <v>6049</v>
      </c>
      <c r="U310" s="1021">
        <f t="shared" si="722"/>
        <v>5551.50</v>
      </c>
      <c r="V310" s="1320">
        <f t="shared" si="722"/>
        <v>23353.50</v>
      </c>
      <c r="W310" s="1021">
        <f t="shared" si="722"/>
        <v>6490.9999999999991</v>
      </c>
      <c r="X310" s="1021">
        <f t="shared" si="722"/>
        <v>6746.10</v>
      </c>
      <c r="Y310" s="1021">
        <f t="shared" si="722"/>
        <v>7142.40</v>
      </c>
      <c r="Z310" s="1021">
        <f t="shared" si="722"/>
        <v>6752.5999999999985</v>
      </c>
      <c r="AA310" s="1320">
        <f t="shared" si="722"/>
        <v>27132.100000000002</v>
      </c>
      <c r="AB310" s="1021">
        <f t="shared" si="722"/>
        <v>7968.80</v>
      </c>
      <c r="AC310" s="1021">
        <f t="shared" si="722"/>
        <v>8095.2999999999993</v>
      </c>
      <c r="AD310" s="1021">
        <f t="shared" si="722"/>
        <v>8604</v>
      </c>
      <c r="AE310" s="1021">
        <f t="shared" si="722"/>
        <v>7941.7999999999984</v>
      </c>
      <c r="AF310" s="1320">
        <f t="shared" si="722"/>
        <v>32609.900000000001</v>
      </c>
      <c r="AG310" s="1021">
        <f t="shared" si="722"/>
        <v>9239.9000000000015</v>
      </c>
      <c r="AH310" s="1021">
        <f t="shared" si="722"/>
        <v>9126.50</v>
      </c>
      <c r="AI310" s="1021">
        <f t="shared" si="723" ref="AI310:AU310">AI220</f>
        <v>9621.2000000000007</v>
      </c>
      <c r="AJ310" s="1021">
        <f t="shared" si="723"/>
        <v>9590.3000000000011</v>
      </c>
      <c r="AK310" s="1320">
        <f t="shared" si="723"/>
        <v>37577.900000000001</v>
      </c>
      <c r="AL310" s="1021">
        <f t="shared" si="723"/>
        <v>9871.2999999999993</v>
      </c>
      <c r="AM310" s="1021">
        <f t="shared" si="723"/>
        <v>10140</v>
      </c>
      <c r="AN310" s="1021">
        <f t="shared" si="723"/>
        <v>11015.10</v>
      </c>
      <c r="AO310" s="1021">
        <f t="shared" si="723"/>
        <v>9542.2999999999993</v>
      </c>
      <c r="AP310" s="1320">
        <f t="shared" si="723"/>
        <v>40568.700000000004</v>
      </c>
      <c r="AQ310" s="1021">
        <f t="shared" si="723"/>
        <v>11729.10</v>
      </c>
      <c r="AR310" s="1021">
        <f t="shared" si="723"/>
        <v>11480.299999999999</v>
      </c>
      <c r="AS310" s="1021">
        <f t="shared" si="723"/>
        <v>12446.499999999998</v>
      </c>
      <c r="AT310" s="1021">
        <f t="shared" si="723"/>
        <v>10749.300000000005</v>
      </c>
      <c r="AU310" s="1320">
        <f t="shared" si="723"/>
        <v>46405.200000000004</v>
      </c>
      <c r="AV310" s="1021">
        <f t="shared" si="724" ref="AV310:AZ310">AV220</f>
        <v>13180.999999999998</v>
      </c>
      <c r="AW310" s="1021">
        <f t="shared" si="724"/>
        <v>12422.10</v>
      </c>
      <c r="AX310" s="1021">
        <f t="shared" si="724"/>
        <v>13017.80</v>
      </c>
      <c r="AY310" s="1021">
        <f t="shared" si="724"/>
        <v>12460.20</v>
      </c>
      <c r="AZ310" s="1320">
        <f t="shared" si="724"/>
        <v>51081.099999999999</v>
      </c>
      <c r="BA310" s="1021">
        <f t="shared" si="725" ref="BA310:BR310">BA220</f>
        <v>16109.700000000001</v>
      </c>
      <c r="BB310" s="1021">
        <f t="shared" si="725"/>
        <v>14716.899999999998</v>
      </c>
      <c r="BC310" s="1021">
        <f t="shared" si="725"/>
        <v>15593.80</v>
      </c>
      <c r="BD310" s="1021">
        <f t="shared" si="725"/>
        <v>15129.80</v>
      </c>
      <c r="BE310" s="1320">
        <f t="shared" si="725"/>
        <v>61550.200000000004</v>
      </c>
      <c r="BF310" s="1021">
        <f>BF220</f>
        <v>18962.200000000004</v>
      </c>
      <c r="BG310" s="1021">
        <f>BG220</f>
        <v>17901.600000000002</v>
      </c>
      <c r="BH310" s="1022">
        <f>BH220</f>
        <v>19455.599999999991</v>
      </c>
      <c r="BI310" s="1023">
        <f t="shared" si="725"/>
        <v>17848.346752108842</v>
      </c>
      <c r="BJ310" s="1321">
        <f t="shared" si="725"/>
        <v>74167.74675210884</v>
      </c>
      <c r="BK310" s="1023">
        <f t="shared" si="725"/>
        <v>21848.561852307739</v>
      </c>
      <c r="BL310" s="1023">
        <f t="shared" si="725"/>
        <v>20616.951566197455</v>
      </c>
      <c r="BM310" s="1023">
        <f t="shared" si="725"/>
        <v>21927.918709207253</v>
      </c>
      <c r="BN310" s="1023">
        <f t="shared" si="725"/>
        <v>20101.790216726593</v>
      </c>
      <c r="BO310" s="1321">
        <f t="shared" si="725"/>
        <v>84495.222344439026</v>
      </c>
      <c r="BP310" s="1322">
        <f t="shared" si="725"/>
        <v>90519.907650244175</v>
      </c>
      <c r="BQ310" s="1322">
        <f t="shared" si="725"/>
        <v>94176.911919314036</v>
      </c>
      <c r="BR310" s="1321">
        <f t="shared" si="725"/>
        <v>97981.659160854309</v>
      </c>
      <c r="BS310" s="648"/>
    </row>
    <row r="311" spans="1:71" s="668" customFormat="1" ht="15" hidden="1" outlineLevel="2">
      <c r="A311" s="987"/>
      <c r="B311" s="394"/>
      <c r="C311" s="1322"/>
      <c r="D311" s="1322"/>
      <c r="E311" s="1322"/>
      <c r="F311" s="1322"/>
      <c r="G311" s="1322"/>
      <c r="H311" s="1031"/>
      <c r="I311" s="1031"/>
      <c r="J311" s="1031"/>
      <c r="K311" s="1031"/>
      <c r="L311" s="1322"/>
      <c r="M311" s="1031"/>
      <c r="N311" s="1031"/>
      <c r="O311" s="1031"/>
      <c r="P311" s="1031"/>
      <c r="Q311" s="1322"/>
      <c r="R311" s="1031"/>
      <c r="S311" s="1031"/>
      <c r="T311" s="1031"/>
      <c r="U311" s="1031"/>
      <c r="V311" s="1322"/>
      <c r="W311" s="1031"/>
      <c r="X311" s="1031"/>
      <c r="Y311" s="1031"/>
      <c r="Z311" s="1031"/>
      <c r="AA311" s="1322"/>
      <c r="AB311" s="1031"/>
      <c r="AC311" s="1031"/>
      <c r="AD311" s="1031"/>
      <c r="AE311" s="1031"/>
      <c r="AF311" s="1322"/>
      <c r="AG311" s="1031"/>
      <c r="AH311" s="1031"/>
      <c r="AI311" s="1031"/>
      <c r="AJ311" s="1031"/>
      <c r="AK311" s="1322"/>
      <c r="AL311" s="1031"/>
      <c r="AM311" s="1031"/>
      <c r="AN311" s="1031"/>
      <c r="AO311" s="1031"/>
      <c r="AP311" s="1322"/>
      <c r="AQ311" s="1031"/>
      <c r="AR311" s="1031"/>
      <c r="AS311" s="1031"/>
      <c r="AT311" s="1031"/>
      <c r="AU311" s="1322"/>
      <c r="AV311" s="1031"/>
      <c r="AW311" s="1031"/>
      <c r="AX311" s="1031"/>
      <c r="AY311" s="1031"/>
      <c r="AZ311" s="1322"/>
      <c r="BA311" s="1031"/>
      <c r="BB311" s="1031"/>
      <c r="BC311" s="1031"/>
      <c r="BD311" s="1031"/>
      <c r="BE311" s="1322"/>
      <c r="BF311" s="1031"/>
      <c r="BG311" s="1031"/>
      <c r="BH311" s="1049"/>
      <c r="BI311" s="1023"/>
      <c r="BJ311" s="1321"/>
      <c r="BK311" s="1023"/>
      <c r="BL311" s="1023"/>
      <c r="BM311" s="1023"/>
      <c r="BN311" s="1023"/>
      <c r="BO311" s="1321"/>
      <c r="BP311" s="1322"/>
      <c r="BQ311" s="1322"/>
      <c r="BR311" s="1321"/>
      <c r="BS311" s="648"/>
    </row>
    <row r="312" spans="1:71" s="668" customFormat="1" ht="15" hidden="1" outlineLevel="2">
      <c r="A312" s="648" t="s">
        <v>26</v>
      </c>
      <c r="B312" s="394"/>
      <c r="C312" s="1320">
        <f t="shared" si="726" ref="C312:AU312">C903</f>
        <v>402.20</v>
      </c>
      <c r="D312" s="1320">
        <f t="shared" si="726"/>
        <v>417.20</v>
      </c>
      <c r="E312" s="1320">
        <f t="shared" si="726"/>
        <v>433.60</v>
      </c>
      <c r="F312" s="1320">
        <f t="shared" si="726"/>
        <v>434.50</v>
      </c>
      <c r="G312" s="1320">
        <f t="shared" si="726"/>
        <v>447.60</v>
      </c>
      <c r="H312" s="1021">
        <f t="shared" si="726"/>
        <v>466.90</v>
      </c>
      <c r="I312" s="1021">
        <f t="shared" si="726"/>
        <v>479</v>
      </c>
      <c r="J312" s="1021">
        <f t="shared" si="726"/>
        <v>488.30</v>
      </c>
      <c r="K312" s="1021">
        <f t="shared" si="726"/>
        <v>457.20</v>
      </c>
      <c r="L312" s="1320">
        <f t="shared" si="726"/>
        <v>457.20</v>
      </c>
      <c r="M312" s="1021">
        <f t="shared" si="726"/>
        <v>484</v>
      </c>
      <c r="N312" s="1021">
        <f t="shared" si="726"/>
        <v>568.20000000000005</v>
      </c>
      <c r="O312" s="1021">
        <f t="shared" si="726"/>
        <v>590.79999999999995</v>
      </c>
      <c r="P312" s="1021">
        <f t="shared" si="726"/>
        <v>564.10</v>
      </c>
      <c r="Q312" s="1320">
        <f t="shared" si="726"/>
        <v>564.10</v>
      </c>
      <c r="R312" s="1021">
        <f t="shared" si="726"/>
        <v>600</v>
      </c>
      <c r="S312" s="1021">
        <f t="shared" si="726"/>
        <v>645.20000000000005</v>
      </c>
      <c r="T312" s="1021">
        <f t="shared" si="726"/>
        <v>675.40</v>
      </c>
      <c r="U312" s="1021">
        <f t="shared" si="726"/>
        <v>651.20000000000005</v>
      </c>
      <c r="V312" s="1320">
        <f t="shared" si="726"/>
        <v>651.20000000000005</v>
      </c>
      <c r="W312" s="1021">
        <f t="shared" si="726"/>
        <v>679.50</v>
      </c>
      <c r="X312" s="1021">
        <f t="shared" si="726"/>
        <v>727.20</v>
      </c>
      <c r="Y312" s="1021">
        <f t="shared" si="726"/>
        <v>782.60</v>
      </c>
      <c r="Z312" s="1021">
        <f t="shared" si="726"/>
        <v>780.50</v>
      </c>
      <c r="AA312" s="1320">
        <f t="shared" si="726"/>
        <v>780.50</v>
      </c>
      <c r="AB312" s="1021">
        <f t="shared" si="726"/>
        <v>842.30</v>
      </c>
      <c r="AC312" s="1021">
        <f t="shared" si="726"/>
        <v>895.70</v>
      </c>
      <c r="AD312" s="1021">
        <f t="shared" si="726"/>
        <v>962.70</v>
      </c>
      <c r="AE312" s="1021">
        <f t="shared" si="726"/>
        <v>951.60</v>
      </c>
      <c r="AF312" s="1320">
        <f t="shared" si="726"/>
        <v>951.60</v>
      </c>
      <c r="AG312" s="1021">
        <f t="shared" si="726"/>
        <v>999.10</v>
      </c>
      <c r="AH312" s="1021">
        <f t="shared" si="726"/>
        <v>1047.4000000000001</v>
      </c>
      <c r="AI312" s="1021">
        <f t="shared" si="726"/>
        <v>1093.70</v>
      </c>
      <c r="AJ312" s="1021">
        <f t="shared" si="726"/>
        <v>1056.50</v>
      </c>
      <c r="AK312" s="1320">
        <f t="shared" si="726"/>
        <v>1056.50</v>
      </c>
      <c r="AL312" s="1021">
        <f t="shared" si="726"/>
        <v>1095.80</v>
      </c>
      <c r="AM312" s="1021">
        <f t="shared" si="726"/>
        <v>1154.80</v>
      </c>
      <c r="AN312" s="1021">
        <f t="shared" si="726"/>
        <v>1265</v>
      </c>
      <c r="AO312" s="1021">
        <f t="shared" si="726"/>
        <v>1237.20</v>
      </c>
      <c r="AP312" s="1320">
        <f t="shared" si="726"/>
        <v>1237.20</v>
      </c>
      <c r="AQ312" s="1021">
        <f t="shared" si="726"/>
        <v>1309.0999999999999</v>
      </c>
      <c r="AR312" s="1021">
        <f t="shared" si="726"/>
        <v>1360.60</v>
      </c>
      <c r="AS312" s="1021">
        <f t="shared" si="726"/>
        <v>1430.70</v>
      </c>
      <c r="AT312" s="1021">
        <f t="shared" si="726"/>
        <v>1355.60</v>
      </c>
      <c r="AU312" s="1320">
        <f t="shared" si="726"/>
        <v>1355.60</v>
      </c>
      <c r="AV312" s="1021">
        <f t="shared" si="727" ref="AV312:BA312">AV903</f>
        <v>1407.70</v>
      </c>
      <c r="AW312" s="1021">
        <f t="shared" si="727"/>
        <v>1498.40</v>
      </c>
      <c r="AX312" s="1021">
        <f t="shared" si="727"/>
        <v>1585.20</v>
      </c>
      <c r="AY312" s="1021">
        <f t="shared" si="727"/>
        <v>1544.40</v>
      </c>
      <c r="AZ312" s="1320">
        <f t="shared" si="727"/>
        <v>1544.40</v>
      </c>
      <c r="BA312" s="1021">
        <f t="shared" si="727"/>
        <v>1626.80</v>
      </c>
      <c r="BB312" s="1021">
        <f t="shared" si="728" ref="BB312:BG312">BB903</f>
        <v>1685.60</v>
      </c>
      <c r="BC312" s="1021">
        <f t="shared" si="728"/>
        <v>1732.10</v>
      </c>
      <c r="BD312" s="1021">
        <f t="shared" si="728"/>
        <v>1687.40</v>
      </c>
      <c r="BE312" s="1320">
        <f t="shared" si="728"/>
        <v>1687.40</v>
      </c>
      <c r="BF312" s="1021">
        <f t="shared" si="728"/>
        <v>1818.20</v>
      </c>
      <c r="BG312" s="1021">
        <f t="shared" si="728"/>
        <v>1938.30</v>
      </c>
      <c r="BH312" s="1022">
        <f>BH903</f>
        <v>2031.60</v>
      </c>
      <c r="BI312" s="1023">
        <f>BH312+BI316</f>
        <v>2240.9791242050514</v>
      </c>
      <c r="BJ312" s="1321">
        <f>BI312</f>
        <v>2240.9791242050514</v>
      </c>
      <c r="BK312" s="1023">
        <f>BJ312+BK316</f>
        <v>2548.5743579982527</v>
      </c>
      <c r="BL312" s="1023">
        <f>BK312+BL316</f>
        <v>2866.3515719148418</v>
      </c>
      <c r="BM312" s="1023">
        <f>BL312+BM316</f>
        <v>3198.4846339661658</v>
      </c>
      <c r="BN312" s="1023">
        <f>BM312+BN316</f>
        <v>3453.8406327729699</v>
      </c>
      <c r="BO312" s="1321">
        <f>BN312</f>
        <v>3453.8406327729699</v>
      </c>
      <c r="BP312" s="1322">
        <f>BO312+BP316</f>
        <v>4842.1483365178701</v>
      </c>
      <c r="BQ312" s="1322">
        <f>BP312+BQ316</f>
        <v>6377.8314398384691</v>
      </c>
      <c r="BR312" s="1321">
        <f>BQ312+BR316</f>
        <v>8070.5319347187378</v>
      </c>
      <c r="BS312" s="648"/>
    </row>
    <row r="313" spans="1:71" s="669" customFormat="1" ht="7.5" customHeight="1" hidden="1" outlineLevel="2">
      <c r="A313" s="107"/>
      <c r="B313" s="108"/>
      <c r="C313" s="1325"/>
      <c r="D313" s="1325"/>
      <c r="E313" s="1325"/>
      <c r="F313" s="1325"/>
      <c r="G313" s="1325"/>
      <c r="H313" s="726"/>
      <c r="I313" s="726"/>
      <c r="J313" s="726"/>
      <c r="K313" s="726"/>
      <c r="L313" s="1325"/>
      <c r="M313" s="726"/>
      <c r="N313" s="726"/>
      <c r="O313" s="726"/>
      <c r="P313" s="726"/>
      <c r="Q313" s="1325"/>
      <c r="R313" s="726"/>
      <c r="S313" s="726"/>
      <c r="T313" s="726"/>
      <c r="U313" s="726"/>
      <c r="V313" s="1325"/>
      <c r="W313" s="726"/>
      <c r="X313" s="726"/>
      <c r="Y313" s="726"/>
      <c r="Z313" s="726"/>
      <c r="AA313" s="1325"/>
      <c r="AB313" s="726"/>
      <c r="AC313" s="726"/>
      <c r="AD313" s="726"/>
      <c r="AE313" s="726"/>
      <c r="AF313" s="1325"/>
      <c r="AG313" s="726"/>
      <c r="AH313" s="726"/>
      <c r="AI313" s="726"/>
      <c r="AJ313" s="726"/>
      <c r="AK313" s="1325"/>
      <c r="AL313" s="726"/>
      <c r="AM313" s="726"/>
      <c r="AN313" s="726"/>
      <c r="AO313" s="726"/>
      <c r="AP313" s="1325"/>
      <c r="AQ313" s="726"/>
      <c r="AR313" s="726"/>
      <c r="AS313" s="726"/>
      <c r="AT313" s="726"/>
      <c r="AU313" s="1325"/>
      <c r="AV313" s="726"/>
      <c r="AW313" s="726"/>
      <c r="AX313" s="726"/>
      <c r="AY313" s="726"/>
      <c r="AZ313" s="1325"/>
      <c r="BA313" s="726"/>
      <c r="BB313" s="726"/>
      <c r="BC313" s="726"/>
      <c r="BD313" s="726"/>
      <c r="BE313" s="1325"/>
      <c r="BF313" s="726"/>
      <c r="BG313" s="726"/>
      <c r="BH313" s="808"/>
      <c r="BI313" s="98"/>
      <c r="BJ313" s="1326"/>
      <c r="BK313" s="98"/>
      <c r="BL313" s="98"/>
      <c r="BM313" s="98"/>
      <c r="BN313" s="98"/>
      <c r="BO313" s="1326"/>
      <c r="BP313" s="1325"/>
      <c r="BQ313" s="1325"/>
      <c r="BR313" s="1326"/>
      <c r="BS313" s="648"/>
    </row>
    <row r="314" spans="1:71" s="665" customFormat="1" ht="15" hidden="1" outlineLevel="2">
      <c r="A314" s="371" t="s">
        <v>27</v>
      </c>
      <c r="B314" s="308"/>
      <c r="C314" s="1351"/>
      <c r="D314" s="1349">
        <f>D511</f>
        <v>1359.90</v>
      </c>
      <c r="E314" s="1349">
        <f t="shared" si="729" ref="E314:AU314">E511</f>
        <v>1399.20</v>
      </c>
      <c r="F314" s="1349">
        <f t="shared" si="729"/>
        <v>1436.60</v>
      </c>
      <c r="G314" s="1349">
        <f t="shared" si="729"/>
        <v>1451.80</v>
      </c>
      <c r="H314" s="1042">
        <f t="shared" si="729"/>
        <v>369</v>
      </c>
      <c r="I314" s="1042">
        <f t="shared" si="729"/>
        <v>374.80</v>
      </c>
      <c r="J314" s="1042">
        <f t="shared" si="729"/>
        <v>375.20</v>
      </c>
      <c r="K314" s="1042">
        <f t="shared" si="729"/>
        <v>405</v>
      </c>
      <c r="L314" s="1349">
        <f t="shared" si="729"/>
        <v>1524</v>
      </c>
      <c r="M314" s="1042">
        <f t="shared" si="729"/>
        <v>379.40</v>
      </c>
      <c r="N314" s="1042">
        <f t="shared" si="729"/>
        <v>417.30</v>
      </c>
      <c r="O314" s="1042">
        <f t="shared" si="729"/>
        <v>423.20</v>
      </c>
      <c r="P314" s="1042">
        <f t="shared" si="729"/>
        <v>431.89999999999986</v>
      </c>
      <c r="Q314" s="1349">
        <f t="shared" si="729"/>
        <v>1651.80</v>
      </c>
      <c r="R314" s="1042">
        <f t="shared" si="729"/>
        <v>440.30</v>
      </c>
      <c r="S314" s="1042">
        <f t="shared" si="729"/>
        <v>458.90</v>
      </c>
      <c r="T314" s="1042">
        <f t="shared" si="729"/>
        <v>475.40</v>
      </c>
      <c r="U314" s="1042">
        <f t="shared" si="729"/>
        <v>489.20000000000005</v>
      </c>
      <c r="V314" s="1349">
        <f t="shared" si="729"/>
        <v>1863.80</v>
      </c>
      <c r="W314" s="1042">
        <f t="shared" si="729"/>
        <v>502.90</v>
      </c>
      <c r="X314" s="1042">
        <f t="shared" si="729"/>
        <v>514.20000000000005</v>
      </c>
      <c r="Y314" s="1042">
        <f t="shared" si="729"/>
        <v>540.10</v>
      </c>
      <c r="Z314" s="1042">
        <f t="shared" si="729"/>
        <v>567.70000000000005</v>
      </c>
      <c r="AA314" s="1349">
        <f t="shared" si="729"/>
        <v>2124.90</v>
      </c>
      <c r="AB314" s="1042">
        <f t="shared" si="729"/>
        <v>596.20000000000005</v>
      </c>
      <c r="AC314" s="1042">
        <f t="shared" si="729"/>
        <v>630.79999999999995</v>
      </c>
      <c r="AD314" s="1042">
        <f t="shared" si="729"/>
        <v>662.70</v>
      </c>
      <c r="AE314" s="1042">
        <f t="shared" si="729"/>
        <v>683.99999999999977</v>
      </c>
      <c r="AF314" s="1349">
        <f t="shared" si="729"/>
        <v>2573.6999999999998</v>
      </c>
      <c r="AG314" s="1042">
        <f t="shared" si="729"/>
        <v>710.60</v>
      </c>
      <c r="AH314" s="1042">
        <f t="shared" si="729"/>
        <v>738.60</v>
      </c>
      <c r="AI314" s="1042">
        <f t="shared" si="729"/>
        <v>751.50</v>
      </c>
      <c r="AJ314" s="1042">
        <f t="shared" si="729"/>
        <v>822.50</v>
      </c>
      <c r="AK314" s="1349">
        <f t="shared" si="729"/>
        <v>3023.20</v>
      </c>
      <c r="AL314" s="1042">
        <f t="shared" si="729"/>
        <v>782.80</v>
      </c>
      <c r="AM314" s="1042">
        <f t="shared" si="729"/>
        <v>795.50</v>
      </c>
      <c r="AN314" s="1042">
        <f t="shared" si="729"/>
        <v>835.20</v>
      </c>
      <c r="AO314" s="1042">
        <f t="shared" si="729"/>
        <v>859.69999999999982</v>
      </c>
      <c r="AP314" s="1349">
        <f t="shared" si="729"/>
        <v>3273.20</v>
      </c>
      <c r="AQ314" s="1042">
        <f t="shared" si="729"/>
        <v>874.40</v>
      </c>
      <c r="AR314" s="1042">
        <f t="shared" si="729"/>
        <v>928.80</v>
      </c>
      <c r="AS314" s="1042">
        <f t="shared" si="729"/>
        <v>951.50</v>
      </c>
      <c r="AT314" s="1042">
        <f t="shared" si="729"/>
        <v>958.10000000000036</v>
      </c>
      <c r="AU314" s="1349">
        <f t="shared" si="729"/>
        <v>3712.80</v>
      </c>
      <c r="AV314" s="1042">
        <f t="shared" si="730" ref="AV314:AZ314">AV511</f>
        <v>963.40</v>
      </c>
      <c r="AW314" s="1042">
        <f t="shared" si="730"/>
        <v>933.60</v>
      </c>
      <c r="AX314" s="1042">
        <f t="shared" si="730"/>
        <v>970.90</v>
      </c>
      <c r="AY314" s="1042">
        <f>AY511</f>
        <v>1049.0999999999999</v>
      </c>
      <c r="AZ314" s="1349">
        <f t="shared" si="730"/>
        <v>3917</v>
      </c>
      <c r="BA314" s="1042">
        <f t="shared" si="731" ref="BA314:BR314">BA511</f>
        <v>1115.80</v>
      </c>
      <c r="BB314" s="1042">
        <f t="shared" si="731"/>
        <v>1153.6000000000001</v>
      </c>
      <c r="BC314" s="1042">
        <f t="shared" si="731"/>
        <v>1173.20</v>
      </c>
      <c r="BD314" s="1042">
        <f t="shared" si="731"/>
        <v>1222.50</v>
      </c>
      <c r="BE314" s="1349">
        <f t="shared" si="731"/>
        <v>4665.1000000000004</v>
      </c>
      <c r="BF314" s="1042">
        <f>BF511</f>
        <v>1232.20</v>
      </c>
      <c r="BG314" s="1042">
        <f>BG511</f>
        <v>1307.6000000000001</v>
      </c>
      <c r="BH314" s="1043">
        <f>BH511</f>
        <v>1390.1999999999996</v>
      </c>
      <c r="BI314" s="1044">
        <f t="shared" si="731"/>
        <v>1343.4270432284175</v>
      </c>
      <c r="BJ314" s="1350">
        <f t="shared" si="731"/>
        <v>5273.4270432284175</v>
      </c>
      <c r="BK314" s="1044">
        <f t="shared" si="731"/>
        <v>1593.2296473575718</v>
      </c>
      <c r="BL314" s="1044">
        <f t="shared" si="731"/>
        <v>1475.8975723425897</v>
      </c>
      <c r="BM314" s="1044">
        <f t="shared" si="731"/>
        <v>1575.5958656497069</v>
      </c>
      <c r="BN314" s="1044">
        <f t="shared" si="731"/>
        <v>1493.4997500484094</v>
      </c>
      <c r="BO314" s="1350">
        <f t="shared" si="731"/>
        <v>6138.2228353982782</v>
      </c>
      <c r="BP314" s="1351">
        <f t="shared" si="731"/>
        <v>6486.9242613131491</v>
      </c>
      <c r="BQ314" s="1351">
        <f t="shared" si="731"/>
        <v>6657.7082331257961</v>
      </c>
      <c r="BR314" s="1350">
        <f t="shared" si="731"/>
        <v>6831.7038515585582</v>
      </c>
      <c r="BS314" s="648"/>
    </row>
    <row r="315" spans="1:71" s="665" customFormat="1" ht="15" hidden="1" outlineLevel="2">
      <c r="A315" s="1000" t="s">
        <v>28</v>
      </c>
      <c r="B315" s="260"/>
      <c r="C315" s="1324"/>
      <c r="D315" s="1323">
        <f>D314+D316</f>
        <v>1374.90</v>
      </c>
      <c r="E315" s="1323">
        <f t="shared" si="732" ref="E315:AU315">E314+E316</f>
        <v>1415.60</v>
      </c>
      <c r="F315" s="1323">
        <f t="shared" si="732"/>
        <v>1437.50</v>
      </c>
      <c r="G315" s="1323">
        <f t="shared" si="732"/>
        <v>1464.90</v>
      </c>
      <c r="H315" s="1027">
        <f t="shared" si="732"/>
        <v>388.29999999999995</v>
      </c>
      <c r="I315" s="1027">
        <f t="shared" si="732"/>
        <v>386.90</v>
      </c>
      <c r="J315" s="1027">
        <f t="shared" si="732"/>
        <v>384.50</v>
      </c>
      <c r="K315" s="1027">
        <f t="shared" si="732"/>
        <v>373.90</v>
      </c>
      <c r="L315" s="1323">
        <f t="shared" si="732"/>
        <v>1533.60</v>
      </c>
      <c r="M315" s="1027">
        <f t="shared" si="732"/>
        <v>406.20</v>
      </c>
      <c r="N315" s="1027">
        <f t="shared" si="732"/>
        <v>501.50000000000006</v>
      </c>
      <c r="O315" s="1027">
        <f t="shared" si="732"/>
        <v>445.7999999999999</v>
      </c>
      <c r="P315" s="1027">
        <f t="shared" si="732"/>
        <v>405.19999999999993</v>
      </c>
      <c r="Q315" s="1323">
        <f t="shared" si="732"/>
        <v>1758.70</v>
      </c>
      <c r="R315" s="1027">
        <f t="shared" si="732"/>
        <v>476.20</v>
      </c>
      <c r="S315" s="1027">
        <f t="shared" si="732"/>
        <v>504.10</v>
      </c>
      <c r="T315" s="1027">
        <f t="shared" si="732"/>
        <v>505.59999999999991</v>
      </c>
      <c r="U315" s="1027">
        <f t="shared" si="732"/>
        <v>465.00000000000011</v>
      </c>
      <c r="V315" s="1323">
        <f t="shared" si="732"/>
        <v>1950.90</v>
      </c>
      <c r="W315" s="1027">
        <f t="shared" si="732"/>
        <v>531.19999999999993</v>
      </c>
      <c r="X315" s="1027">
        <f t="shared" si="732"/>
        <v>561.90000000000009</v>
      </c>
      <c r="Y315" s="1027">
        <f t="shared" si="732"/>
        <v>595.50</v>
      </c>
      <c r="Z315" s="1027">
        <f t="shared" si="732"/>
        <v>565.60</v>
      </c>
      <c r="AA315" s="1323">
        <f t="shared" si="732"/>
        <v>2254.1999999999998</v>
      </c>
      <c r="AB315" s="1027">
        <f t="shared" si="732"/>
        <v>658</v>
      </c>
      <c r="AC315" s="1027">
        <f t="shared" si="732"/>
        <v>684.20</v>
      </c>
      <c r="AD315" s="1027">
        <f t="shared" si="732"/>
        <v>729.70</v>
      </c>
      <c r="AE315" s="1027">
        <f t="shared" si="732"/>
        <v>672.89999999999975</v>
      </c>
      <c r="AF315" s="1323">
        <f t="shared" si="732"/>
        <v>2744.7999999999997</v>
      </c>
      <c r="AG315" s="1027">
        <f t="shared" si="732"/>
        <v>758.10</v>
      </c>
      <c r="AH315" s="1027">
        <f t="shared" si="732"/>
        <v>786.90000000000009</v>
      </c>
      <c r="AI315" s="1027">
        <f t="shared" si="732"/>
        <v>797.80</v>
      </c>
      <c r="AJ315" s="1027">
        <f t="shared" si="732"/>
        <v>785.30</v>
      </c>
      <c r="AK315" s="1323">
        <f t="shared" si="732"/>
        <v>3128.10</v>
      </c>
      <c r="AL315" s="1027">
        <f t="shared" si="732"/>
        <v>822.09999999999991</v>
      </c>
      <c r="AM315" s="1027">
        <f t="shared" si="732"/>
        <v>854.50</v>
      </c>
      <c r="AN315" s="1027">
        <f t="shared" si="732"/>
        <v>945.40000000000009</v>
      </c>
      <c r="AO315" s="1027">
        <f t="shared" si="732"/>
        <v>831.89999999999986</v>
      </c>
      <c r="AP315" s="1323">
        <f t="shared" si="732"/>
        <v>3453.8999999999996</v>
      </c>
      <c r="AQ315" s="1027">
        <f t="shared" si="732"/>
        <v>946.29999999999984</v>
      </c>
      <c r="AR315" s="1027">
        <f t="shared" si="732"/>
        <v>980.30</v>
      </c>
      <c r="AS315" s="1027">
        <f t="shared" si="732"/>
        <v>1021.6000000000001</v>
      </c>
      <c r="AT315" s="1027">
        <f t="shared" si="732"/>
        <v>883.00000000000023</v>
      </c>
      <c r="AU315" s="1323">
        <f t="shared" si="732"/>
        <v>3831.20</v>
      </c>
      <c r="AV315" s="1027">
        <f t="shared" si="733" ref="AV315:BA315">AV314+AV316</f>
        <v>1015.5000000000001</v>
      </c>
      <c r="AW315" s="1027">
        <f t="shared" si="733"/>
        <v>1024.3000000000002</v>
      </c>
      <c r="AX315" s="1027">
        <f t="shared" si="733"/>
        <v>1057.6999999999998</v>
      </c>
      <c r="AY315" s="1027">
        <f t="shared" si="733"/>
        <v>1008.30</v>
      </c>
      <c r="AZ315" s="1323">
        <f t="shared" si="733"/>
        <v>4105.80</v>
      </c>
      <c r="BA315" s="1027">
        <f t="shared" si="733"/>
        <v>1198.1999999999998</v>
      </c>
      <c r="BB315" s="1027">
        <f t="shared" si="734" ref="BB315:BG315">BB314+BB316</f>
        <v>1212.4000000000001</v>
      </c>
      <c r="BC315" s="1027">
        <f t="shared" si="734"/>
        <v>1219.70</v>
      </c>
      <c r="BD315" s="1027">
        <f t="shared" si="734"/>
        <v>1177.8000000000002</v>
      </c>
      <c r="BE315" s="1323">
        <f t="shared" si="734"/>
        <v>4808.1000000000004</v>
      </c>
      <c r="BF315" s="1027">
        <f t="shared" si="734"/>
        <v>1363</v>
      </c>
      <c r="BG315" s="1027">
        <f t="shared" si="734"/>
        <v>1427.70</v>
      </c>
      <c r="BH315" s="1028">
        <f>BH314+BH316</f>
        <v>1483.4999999999995</v>
      </c>
      <c r="BI315" s="1029">
        <f>BI318*BI310</f>
        <v>1552.8061674334692</v>
      </c>
      <c r="BJ315" s="1324">
        <f>BJ314+BJ316</f>
        <v>5827.0061674334684</v>
      </c>
      <c r="BK315" s="1029">
        <f>BK318*BK310</f>
        <v>1900.8248811507731</v>
      </c>
      <c r="BL315" s="1029">
        <f>BL318*BL310</f>
        <v>1793.6747862591785</v>
      </c>
      <c r="BM315" s="1029">
        <f>BM318*BM310</f>
        <v>1907.7289277010309</v>
      </c>
      <c r="BN315" s="1029">
        <f>BN318*BN310</f>
        <v>1748.8557488552135</v>
      </c>
      <c r="BO315" s="1324">
        <f>BO314+BO316</f>
        <v>7351.0843439661967</v>
      </c>
      <c r="BP315" s="1324">
        <f>BP318*BP310</f>
        <v>7875.2319650580494</v>
      </c>
      <c r="BQ315" s="1324">
        <f>BQ318*BQ310</f>
        <v>8193.3913364463951</v>
      </c>
      <c r="BR315" s="1324">
        <f>BR318*BR310</f>
        <v>8524.4043464388269</v>
      </c>
      <c r="BS315" s="648"/>
    </row>
    <row r="316" spans="1:71" s="668" customFormat="1" ht="15" hidden="1" outlineLevel="2">
      <c r="A316" s="648" t="s">
        <v>29</v>
      </c>
      <c r="B316" s="394"/>
      <c r="C316" s="1322"/>
      <c r="D316" s="1320">
        <f t="shared" si="735" ref="D316:K316">D312-C312</f>
        <v>15</v>
      </c>
      <c r="E316" s="1320">
        <f t="shared" si="735"/>
        <v>16.400000000000034</v>
      </c>
      <c r="F316" s="1320">
        <f t="shared" si="735"/>
        <v>0.89999999999997726</v>
      </c>
      <c r="G316" s="1320">
        <f t="shared" si="735"/>
        <v>13.100000000000023</v>
      </c>
      <c r="H316" s="1021">
        <f t="shared" si="735"/>
        <v>19.299999999999955</v>
      </c>
      <c r="I316" s="1021">
        <f t="shared" si="735"/>
        <v>12.100000000000023</v>
      </c>
      <c r="J316" s="1021">
        <f t="shared" si="735"/>
        <v>9.3000000000000114</v>
      </c>
      <c r="K316" s="1021">
        <f t="shared" si="735"/>
        <v>-31.100000000000023</v>
      </c>
      <c r="L316" s="1320">
        <f>L312-G312</f>
        <v>9.5999999999999659</v>
      </c>
      <c r="M316" s="1021">
        <f>M312-L312</f>
        <v>26.800000000000011</v>
      </c>
      <c r="N316" s="1021">
        <f>N312-M312</f>
        <v>84.200000000000045</v>
      </c>
      <c r="O316" s="1021">
        <f>O312-N312</f>
        <v>22.599999999999909</v>
      </c>
      <c r="P316" s="1021">
        <f>P312-O312</f>
        <v>-26.699999999999932</v>
      </c>
      <c r="Q316" s="1320">
        <f>Q312-L312</f>
        <v>106.90000000000003</v>
      </c>
      <c r="R316" s="1021">
        <f>R312-Q312</f>
        <v>35.899999999999977</v>
      </c>
      <c r="S316" s="1021">
        <f>S312-R312</f>
        <v>45.200000000000045</v>
      </c>
      <c r="T316" s="1021">
        <f>T312-S312</f>
        <v>30.199999999999932</v>
      </c>
      <c r="U316" s="1021">
        <f>U312-T312</f>
        <v>-24.199999999999932</v>
      </c>
      <c r="V316" s="1320">
        <f>V312-Q312</f>
        <v>87.100000000000023</v>
      </c>
      <c r="W316" s="1021">
        <f>W312-V312</f>
        <v>28.299999999999955</v>
      </c>
      <c r="X316" s="1021">
        <f>X312-W312</f>
        <v>47.700000000000045</v>
      </c>
      <c r="Y316" s="1021">
        <f>Y312-X312</f>
        <v>55.399999999999977</v>
      </c>
      <c r="Z316" s="1021">
        <f>Z312-Y312</f>
        <v>-2.1000000000000227</v>
      </c>
      <c r="AA316" s="1320">
        <f>AA312-V312</f>
        <v>129.29999999999995</v>
      </c>
      <c r="AB316" s="1021">
        <f>AB312-AA312</f>
        <v>61.799999999999955</v>
      </c>
      <c r="AC316" s="1021">
        <f>AC312-AB312</f>
        <v>53.400000000000091</v>
      </c>
      <c r="AD316" s="1021">
        <f>AD312-AC312</f>
        <v>67</v>
      </c>
      <c r="AE316" s="1021">
        <f>AE312-AD312</f>
        <v>-11.100000000000023</v>
      </c>
      <c r="AF316" s="1320">
        <f>AF312-AA312</f>
        <v>171.10000000000002</v>
      </c>
      <c r="AG316" s="1021">
        <f>AG312-AF312</f>
        <v>47.50</v>
      </c>
      <c r="AH316" s="1021">
        <f>AH312-AG312</f>
        <v>48.300000000000068</v>
      </c>
      <c r="AI316" s="1021">
        <f>AI312-AH312</f>
        <v>46.299999999999955</v>
      </c>
      <c r="AJ316" s="1021">
        <f>AJ312-AI312</f>
        <v>-37.200000000000045</v>
      </c>
      <c r="AK316" s="1320">
        <f>AK312-AF312</f>
        <v>104.89999999999998</v>
      </c>
      <c r="AL316" s="1021">
        <f>AL312-AK312</f>
        <v>39.299999999999955</v>
      </c>
      <c r="AM316" s="1021">
        <f>AM312-AL312</f>
        <v>59</v>
      </c>
      <c r="AN316" s="1021">
        <f>AN312-AM312</f>
        <v>110.20000000000005</v>
      </c>
      <c r="AO316" s="1021">
        <f>AO312-AN312</f>
        <v>-27.799999999999955</v>
      </c>
      <c r="AP316" s="1320">
        <f>AP312-AK312</f>
        <v>180.70000000000005</v>
      </c>
      <c r="AQ316" s="1021">
        <f>AQ312-AP312</f>
        <v>71.899999999999864</v>
      </c>
      <c r="AR316" s="1021">
        <f>AR312-AQ312</f>
        <v>51.50</v>
      </c>
      <c r="AS316" s="1021">
        <f>AS312-AR312</f>
        <v>70.100000000000136</v>
      </c>
      <c r="AT316" s="1021">
        <f>AT312-AS312</f>
        <v>-75.100000000000136</v>
      </c>
      <c r="AU316" s="1320">
        <f>AU312-AP312</f>
        <v>118.39999999999986</v>
      </c>
      <c r="AV316" s="1021">
        <f>AV312-AU312</f>
        <v>52.100000000000136</v>
      </c>
      <c r="AW316" s="1021">
        <f>AW312-AV312</f>
        <v>90.700000000000045</v>
      </c>
      <c r="AX316" s="1021">
        <f>AX312-AW312</f>
        <v>86.799999999999955</v>
      </c>
      <c r="AY316" s="1021">
        <f>AY312-AX312</f>
        <v>-40.799999999999955</v>
      </c>
      <c r="AZ316" s="1320">
        <f>AZ312-AU312</f>
        <v>188.80000000000018</v>
      </c>
      <c r="BA316" s="1021">
        <f>BA312-AZ312</f>
        <v>82.399999999999864</v>
      </c>
      <c r="BB316" s="1021">
        <f>BB312-BA312</f>
        <v>58.799999999999955</v>
      </c>
      <c r="BC316" s="1021">
        <f>BC312-BB312</f>
        <v>46.50</v>
      </c>
      <c r="BD316" s="1021">
        <f>BD312-BC312</f>
        <v>-44.699999999999818</v>
      </c>
      <c r="BE316" s="1320">
        <f>BE312-AZ312</f>
        <v>143</v>
      </c>
      <c r="BF316" s="1021">
        <f>BF312-BE312</f>
        <v>130.79999999999995</v>
      </c>
      <c r="BG316" s="1021">
        <f>BG312-BF312</f>
        <v>120.09999999999991</v>
      </c>
      <c r="BH316" s="1022">
        <f>BH312-BG312</f>
        <v>93.299999999999955</v>
      </c>
      <c r="BI316" s="1023">
        <f>BI315-BI314</f>
        <v>209.37912420505177</v>
      </c>
      <c r="BJ316" s="1321">
        <f>BJ312-BE312</f>
        <v>553.57912420505136</v>
      </c>
      <c r="BK316" s="1023">
        <f>BK315-BK314</f>
        <v>307.59523379320126</v>
      </c>
      <c r="BL316" s="1023">
        <f>BL315-BL314</f>
        <v>317.77721391658883</v>
      </c>
      <c r="BM316" s="1023">
        <f>BM315-BM314</f>
        <v>332.13306205132403</v>
      </c>
      <c r="BN316" s="1023">
        <f>BN315-BN314</f>
        <v>255.35599880680411</v>
      </c>
      <c r="BO316" s="1321">
        <f>BO312-BJ312</f>
        <v>1212.8615085679185</v>
      </c>
      <c r="BP316" s="1322">
        <f>BP315-BP314</f>
        <v>1388.3077037449002</v>
      </c>
      <c r="BQ316" s="1322">
        <f>BQ315-BQ314</f>
        <v>1535.683103320599</v>
      </c>
      <c r="BR316" s="1321">
        <f>BR315-BR314</f>
        <v>1692.7004948802687</v>
      </c>
      <c r="BS316" s="648"/>
    </row>
    <row r="317" spans="1:71" s="669" customFormat="1" ht="7.5" customHeight="1" hidden="1" outlineLevel="2">
      <c r="A317" s="107"/>
      <c r="B317" s="108"/>
      <c r="C317" s="1325"/>
      <c r="D317" s="1325"/>
      <c r="E317" s="1325"/>
      <c r="F317" s="1325"/>
      <c r="G317" s="1325"/>
      <c r="H317" s="726"/>
      <c r="I317" s="726"/>
      <c r="J317" s="726"/>
      <c r="K317" s="726"/>
      <c r="L317" s="1325"/>
      <c r="M317" s="726"/>
      <c r="N317" s="726"/>
      <c r="O317" s="726"/>
      <c r="P317" s="726"/>
      <c r="Q317" s="1325"/>
      <c r="R317" s="726"/>
      <c r="S317" s="726"/>
      <c r="T317" s="726"/>
      <c r="U317" s="726"/>
      <c r="V317" s="1325"/>
      <c r="W317" s="726"/>
      <c r="X317" s="726"/>
      <c r="Y317" s="726"/>
      <c r="Z317" s="726"/>
      <c r="AA317" s="1325"/>
      <c r="AB317" s="726"/>
      <c r="AC317" s="726"/>
      <c r="AD317" s="726"/>
      <c r="AE317" s="726"/>
      <c r="AF317" s="1325"/>
      <c r="AG317" s="726"/>
      <c r="AH317" s="726"/>
      <c r="AI317" s="726"/>
      <c r="AJ317" s="726"/>
      <c r="AK317" s="1325"/>
      <c r="AL317" s="726"/>
      <c r="AM317" s="726"/>
      <c r="AN317" s="726"/>
      <c r="AO317" s="726"/>
      <c r="AP317" s="1325"/>
      <c r="AQ317" s="726"/>
      <c r="AR317" s="726"/>
      <c r="AS317" s="726"/>
      <c r="AT317" s="726"/>
      <c r="AU317" s="1325"/>
      <c r="AV317" s="726"/>
      <c r="AW317" s="726"/>
      <c r="AX317" s="726"/>
      <c r="AY317" s="726"/>
      <c r="AZ317" s="1325"/>
      <c r="BA317" s="726"/>
      <c r="BB317" s="726"/>
      <c r="BC317" s="726"/>
      <c r="BD317" s="726"/>
      <c r="BE317" s="1325"/>
      <c r="BF317" s="726"/>
      <c r="BG317" s="726"/>
      <c r="BH317" s="808"/>
      <c r="BI317" s="98"/>
      <c r="BJ317" s="1326"/>
      <c r="BK317" s="98"/>
      <c r="BL317" s="98"/>
      <c r="BM317" s="98"/>
      <c r="BN317" s="98"/>
      <c r="BO317" s="1326"/>
      <c r="BP317" s="1325"/>
      <c r="BQ317" s="1325"/>
      <c r="BR317" s="1326"/>
      <c r="BS317" s="648"/>
    </row>
    <row r="318" spans="1:71" s="669" customFormat="1" ht="15" hidden="1" outlineLevel="2">
      <c r="A318" s="22" t="s">
        <v>30</v>
      </c>
      <c r="B318" s="108"/>
      <c r="C318" s="1325"/>
      <c r="D318" s="1327">
        <f t="shared" si="736" ref="D318:AU318">D315/D310</f>
        <v>0.094972645888594179</v>
      </c>
      <c r="E318" s="1327">
        <f t="shared" si="736"/>
        <v>0.093459918397528166</v>
      </c>
      <c r="F318" s="1327">
        <f t="shared" si="736"/>
        <v>0.087798591557898209</v>
      </c>
      <c r="G318" s="1327">
        <f t="shared" si="736"/>
        <v>0.084482430491877022</v>
      </c>
      <c r="H318" s="725">
        <f t="shared" si="736"/>
        <v>0.082952360606707964</v>
      </c>
      <c r="I318" s="725">
        <f t="shared" si="736"/>
        <v>0.08360524666681074</v>
      </c>
      <c r="J318" s="725">
        <f t="shared" si="736"/>
        <v>0.081250132071085959</v>
      </c>
      <c r="K318" s="725">
        <f t="shared" si="736"/>
        <v>0.081043003294607271</v>
      </c>
      <c r="L318" s="1327">
        <f t="shared" si="736"/>
        <v>0.082210285934836452</v>
      </c>
      <c r="M318" s="725">
        <f t="shared" si="736"/>
        <v>0.080168942922554665</v>
      </c>
      <c r="N318" s="725">
        <f t="shared" si="736"/>
        <v>0.095594822820762093</v>
      </c>
      <c r="O318" s="725">
        <f t="shared" si="736"/>
        <v>0.082363374348741802</v>
      </c>
      <c r="P318" s="725">
        <f t="shared" si="736"/>
        <v>0.083744962281698837</v>
      </c>
      <c r="Q318" s="1327">
        <f t="shared" si="736"/>
        <v>0.085523244504960141</v>
      </c>
      <c r="R318" s="725">
        <f t="shared" si="736"/>
        <v>0.08184380585728035</v>
      </c>
      <c r="S318" s="725">
        <f t="shared" si="736"/>
        <v>0.08494254035655309</v>
      </c>
      <c r="T318" s="725">
        <f t="shared" si="736"/>
        <v>0.083584063481567189</v>
      </c>
      <c r="U318" s="725">
        <f t="shared" si="736"/>
        <v>0.083761145636314524</v>
      </c>
      <c r="V318" s="1327">
        <f t="shared" si="736"/>
        <v>0.083537799473312357</v>
      </c>
      <c r="W318" s="725">
        <f t="shared" si="736"/>
        <v>0.081836388846094593</v>
      </c>
      <c r="X318" s="725">
        <f t="shared" si="736"/>
        <v>0.083292569039889727</v>
      </c>
      <c r="Y318" s="725">
        <f t="shared" si="736"/>
        <v>0.083375336021505375</v>
      </c>
      <c r="Z318" s="725">
        <f t="shared" si="736"/>
        <v>0.083760329354618981</v>
      </c>
      <c r="AA318" s="1327">
        <f t="shared" si="736"/>
        <v>0.083082400551376404</v>
      </c>
      <c r="AB318" s="725">
        <f t="shared" si="736"/>
        <v>0.082572030920590303</v>
      </c>
      <c r="AC318" s="725">
        <f t="shared" si="736"/>
        <v>0.084518177213938964</v>
      </c>
      <c r="AD318" s="725">
        <f t="shared" si="736"/>
        <v>0.084809390980939106</v>
      </c>
      <c r="AE318" s="725">
        <f t="shared" si="736"/>
        <v>0.084728902767634534</v>
      </c>
      <c r="AF318" s="1327">
        <f t="shared" si="736"/>
        <v>0.084170757960006004</v>
      </c>
      <c r="AG318" s="725">
        <f t="shared" si="736"/>
        <v>0.082046342492884117</v>
      </c>
      <c r="AH318" s="725">
        <f t="shared" si="736"/>
        <v>0.086221443050457466</v>
      </c>
      <c r="AI318" s="725">
        <f t="shared" si="736"/>
        <v>0.082921049349353501</v>
      </c>
      <c r="AJ318" s="725">
        <f t="shared" si="736"/>
        <v>0.081884821121341336</v>
      </c>
      <c r="AK318" s="1327">
        <f t="shared" si="736"/>
        <v>0.083243076382661083</v>
      </c>
      <c r="AL318" s="725">
        <f t="shared" si="736"/>
        <v>0.083281837245347615</v>
      </c>
      <c r="AM318" s="725">
        <f t="shared" si="736"/>
        <v>0.084270216962524652</v>
      </c>
      <c r="AN318" s="725">
        <f t="shared" si="736"/>
        <v>0.085827636607929123</v>
      </c>
      <c r="AO318" s="725">
        <f t="shared" si="736"/>
        <v>0.087180239564884771</v>
      </c>
      <c r="AP318" s="1327">
        <f t="shared" si="736"/>
        <v>0.085137063795487633</v>
      </c>
      <c r="AQ318" s="725">
        <f t="shared" si="736"/>
        <v>0.080679677042569314</v>
      </c>
      <c r="AR318" s="725">
        <f t="shared" si="736"/>
        <v>0.08538975462313704</v>
      </c>
      <c r="AS318" s="725">
        <f t="shared" si="736"/>
        <v>0.082079299401438183</v>
      </c>
      <c r="AT318" s="725">
        <f t="shared" si="736"/>
        <v>0.082144883852902029</v>
      </c>
      <c r="AU318" s="1327">
        <f t="shared" si="736"/>
        <v>0.08255971313559686</v>
      </c>
      <c r="AV318" s="725">
        <f t="shared" si="737" ref="AV318:BA318">AV315/AV310</f>
        <v>0.077042712995979076</v>
      </c>
      <c r="AW318" s="725">
        <f t="shared" si="737"/>
        <v>0.082457877492533485</v>
      </c>
      <c r="AX318" s="725">
        <f t="shared" si="737"/>
        <v>0.081250288067108101</v>
      </c>
      <c r="AY318" s="725">
        <f t="shared" si="737"/>
        <v>0.080921654548081076</v>
      </c>
      <c r="AZ318" s="1327">
        <f t="shared" si="737"/>
        <v>0.080378065468441368</v>
      </c>
      <c r="BA318" s="725">
        <f t="shared" si="737"/>
        <v>0.074377548930147655</v>
      </c>
      <c r="BB318" s="725">
        <f t="shared" si="738" ref="BB318:BG318">BB315/BB310</f>
        <v>0.082381479795337345</v>
      </c>
      <c r="BC318" s="725">
        <f t="shared" si="738"/>
        <v>0.078216983672998244</v>
      </c>
      <c r="BD318" s="725">
        <f t="shared" si="738"/>
        <v>0.077846369416647951</v>
      </c>
      <c r="BE318" s="1327">
        <f t="shared" si="738"/>
        <v>0.078116724234852206</v>
      </c>
      <c r="BF318" s="725">
        <f t="shared" si="738"/>
        <v>0.071879845165645315</v>
      </c>
      <c r="BG318" s="725">
        <f t="shared" si="738"/>
        <v>0.079752647808017149</v>
      </c>
      <c r="BH318" s="809">
        <f>BH315/BH310</f>
        <v>0.076250539690371932</v>
      </c>
      <c r="BI318" s="1215">
        <v>0.086999999999999994</v>
      </c>
      <c r="BJ318" s="1326">
        <f>BJ315/BJ310</f>
        <v>0.078565231149721929</v>
      </c>
      <c r="BK318" s="1215">
        <v>0.086999999999999994</v>
      </c>
      <c r="BL318" s="1215">
        <v>0.086999999999999994</v>
      </c>
      <c r="BM318" s="1215">
        <v>0.086999999999999994</v>
      </c>
      <c r="BN318" s="1215">
        <v>0.086999999999999994</v>
      </c>
      <c r="BO318" s="1326">
        <f>BO315/BO310</f>
        <v>0.087000000000000022</v>
      </c>
      <c r="BP318" s="1341">
        <v>0.086999999994330598</v>
      </c>
      <c r="BQ318" s="1341">
        <v>0.086999999994330598</v>
      </c>
      <c r="BR318" s="1342">
        <v>0.086999999994330598</v>
      </c>
      <c r="BS318" s="648"/>
    </row>
    <row r="319" spans="1:71" s="669" customFormat="1" ht="15" hidden="1" outlineLevel="1" collapsed="1">
      <c r="A319" s="107"/>
      <c r="B319" s="108"/>
      <c r="C319" s="1325"/>
      <c r="D319" s="1325"/>
      <c r="E319" s="1325"/>
      <c r="F319" s="1325"/>
      <c r="G319" s="1325"/>
      <c r="H319" s="726"/>
      <c r="I319" s="726"/>
      <c r="J319" s="726"/>
      <c r="K319" s="726"/>
      <c r="L319" s="1325"/>
      <c r="M319" s="726"/>
      <c r="N319" s="726"/>
      <c r="O319" s="726"/>
      <c r="P319" s="726"/>
      <c r="Q319" s="1325"/>
      <c r="R319" s="726"/>
      <c r="S319" s="726"/>
      <c r="T319" s="726"/>
      <c r="U319" s="726"/>
      <c r="V319" s="1325"/>
      <c r="W319" s="726"/>
      <c r="X319" s="726"/>
      <c r="Y319" s="726"/>
      <c r="Z319" s="726"/>
      <c r="AA319" s="1325"/>
      <c r="AB319" s="726"/>
      <c r="AC319" s="726"/>
      <c r="AD319" s="726"/>
      <c r="AE319" s="726"/>
      <c r="AF319" s="1325"/>
      <c r="AG319" s="726"/>
      <c r="AH319" s="726"/>
      <c r="AI319" s="726"/>
      <c r="AJ319" s="726"/>
      <c r="AK319" s="1325"/>
      <c r="AL319" s="726"/>
      <c r="AM319" s="726"/>
      <c r="AN319" s="726"/>
      <c r="AO319" s="726"/>
      <c r="AP319" s="1325"/>
      <c r="AQ319" s="726"/>
      <c r="AR319" s="726"/>
      <c r="AS319" s="726"/>
      <c r="AT319" s="726"/>
      <c r="AU319" s="1325"/>
      <c r="AV319" s="726"/>
      <c r="AW319" s="726"/>
      <c r="AX319" s="726"/>
      <c r="AY319" s="726"/>
      <c r="AZ319" s="1325"/>
      <c r="BA319" s="726"/>
      <c r="BB319" s="726"/>
      <c r="BC319" s="726"/>
      <c r="BD319" s="726"/>
      <c r="BE319" s="1325"/>
      <c r="BF319" s="726"/>
      <c r="BG319" s="726"/>
      <c r="BH319" s="808"/>
      <c r="BI319" s="98"/>
      <c r="BJ319" s="1326"/>
      <c r="BK319" s="98"/>
      <c r="BL319" s="98"/>
      <c r="BM319" s="98"/>
      <c r="BN319" s="98"/>
      <c r="BO319" s="1326"/>
      <c r="BP319" s="1325"/>
      <c r="BQ319" s="1325"/>
      <c r="BR319" s="1326"/>
      <c r="BS319" s="648"/>
    </row>
    <row r="320" spans="1:71" s="668" customFormat="1" ht="15" hidden="1" outlineLevel="1">
      <c r="A320" s="991" t="s">
        <v>637</v>
      </c>
      <c r="B320" s="991"/>
      <c r="C320" s="1035"/>
      <c r="D320" s="1035"/>
      <c r="E320" s="1035"/>
      <c r="F320" s="1035"/>
      <c r="G320" s="1035"/>
      <c r="H320" s="1035"/>
      <c r="I320" s="1035"/>
      <c r="J320" s="1035"/>
      <c r="K320" s="1035"/>
      <c r="L320" s="1035"/>
      <c r="M320" s="1035"/>
      <c r="N320" s="1035"/>
      <c r="O320" s="1035"/>
      <c r="P320" s="1035"/>
      <c r="Q320" s="1035"/>
      <c r="R320" s="1035"/>
      <c r="S320" s="1035"/>
      <c r="T320" s="1035"/>
      <c r="U320" s="1035"/>
      <c r="V320" s="1035"/>
      <c r="W320" s="1035"/>
      <c r="X320" s="1035"/>
      <c r="Y320" s="1035"/>
      <c r="Z320" s="1035"/>
      <c r="AA320" s="1035"/>
      <c r="AB320" s="1035"/>
      <c r="AC320" s="1035"/>
      <c r="AD320" s="1035"/>
      <c r="AE320" s="1035"/>
      <c r="AF320" s="1035"/>
      <c r="AG320" s="1035"/>
      <c r="AH320" s="1035"/>
      <c r="AI320" s="1035"/>
      <c r="AJ320" s="1035"/>
      <c r="AK320" s="1035"/>
      <c r="AL320" s="1035"/>
      <c r="AM320" s="1035"/>
      <c r="AN320" s="1035"/>
      <c r="AO320" s="1035"/>
      <c r="AP320" s="1035"/>
      <c r="AQ320" s="1035"/>
      <c r="AR320" s="1035"/>
      <c r="AS320" s="1035"/>
      <c r="AT320" s="1035"/>
      <c r="AU320" s="1035"/>
      <c r="AV320" s="1035"/>
      <c r="AW320" s="1035"/>
      <c r="AX320" s="1035"/>
      <c r="AY320" s="1035"/>
      <c r="AZ320" s="1035"/>
      <c r="BA320" s="1035"/>
      <c r="BB320" s="1035"/>
      <c r="BC320" s="1035"/>
      <c r="BD320" s="1035"/>
      <c r="BE320" s="1035"/>
      <c r="BF320" s="1035"/>
      <c r="BG320" s="1035"/>
      <c r="BH320" s="1036"/>
      <c r="BI320" s="1037"/>
      <c r="BJ320" s="1037"/>
      <c r="BK320" s="1037"/>
      <c r="BL320" s="1037"/>
      <c r="BM320" s="1037"/>
      <c r="BN320" s="1037"/>
      <c r="BO320" s="1037"/>
      <c r="BP320" s="1035"/>
      <c r="BQ320" s="1035"/>
      <c r="BR320" s="1037"/>
      <c r="BS320" s="648"/>
    </row>
    <row r="321" spans="1:71" s="668" customFormat="1" ht="15" hidden="1" outlineLevel="2">
      <c r="A321" s="991" t="s">
        <v>638</v>
      </c>
      <c r="B321" s="991"/>
      <c r="C321" s="1035"/>
      <c r="D321" s="1035"/>
      <c r="E321" s="1035"/>
      <c r="F321" s="1035"/>
      <c r="G321" s="1035"/>
      <c r="H321" s="1035"/>
      <c r="I321" s="1035"/>
      <c r="J321" s="1035"/>
      <c r="K321" s="1035"/>
      <c r="L321" s="1035"/>
      <c r="M321" s="1035"/>
      <c r="N321" s="1035"/>
      <c r="O321" s="1035"/>
      <c r="P321" s="1035"/>
      <c r="Q321" s="1035"/>
      <c r="R321" s="1035"/>
      <c r="S321" s="1035"/>
      <c r="T321" s="1035"/>
      <c r="U321" s="1035"/>
      <c r="V321" s="1035"/>
      <c r="W321" s="1035"/>
      <c r="X321" s="1035"/>
      <c r="Y321" s="1035"/>
      <c r="Z321" s="1035"/>
      <c r="AA321" s="1035"/>
      <c r="AB321" s="1035"/>
      <c r="AC321" s="1035"/>
      <c r="AD321" s="1035"/>
      <c r="AE321" s="1035"/>
      <c r="AF321" s="1035"/>
      <c r="AG321" s="1035"/>
      <c r="AH321" s="1035"/>
      <c r="AI321" s="1035"/>
      <c r="AJ321" s="1035"/>
      <c r="AK321" s="1035"/>
      <c r="AL321" s="1035"/>
      <c r="AM321" s="1035"/>
      <c r="AN321" s="1035"/>
      <c r="AO321" s="1035"/>
      <c r="AP321" s="1035"/>
      <c r="AQ321" s="1035"/>
      <c r="AR321" s="1035"/>
      <c r="AS321" s="1035"/>
      <c r="AT321" s="1035"/>
      <c r="AU321" s="1035"/>
      <c r="AV321" s="1035"/>
      <c r="AW321" s="1035"/>
      <c r="AX321" s="1035"/>
      <c r="AY321" s="1035"/>
      <c r="AZ321" s="1035"/>
      <c r="BA321" s="1035"/>
      <c r="BB321" s="1035"/>
      <c r="BC321" s="1035"/>
      <c r="BD321" s="1035"/>
      <c r="BE321" s="1035"/>
      <c r="BF321" s="1035"/>
      <c r="BG321" s="1035"/>
      <c r="BH321" s="1036"/>
      <c r="BI321" s="1037"/>
      <c r="BJ321" s="1037"/>
      <c r="BK321" s="1037"/>
      <c r="BL321" s="1037"/>
      <c r="BM321" s="1037"/>
      <c r="BN321" s="1037"/>
      <c r="BO321" s="1037"/>
      <c r="BP321" s="1035"/>
      <c r="BQ321" s="1035"/>
      <c r="BR321" s="1037"/>
      <c r="BS321" s="648"/>
    </row>
    <row r="322" spans="1:71" s="966" customFormat="1" ht="15" hidden="1" outlineLevel="2">
      <c r="A322" s="959" t="s">
        <v>639</v>
      </c>
      <c r="B322" s="960"/>
      <c r="C322" s="1399">
        <v>0.03</v>
      </c>
      <c r="D322" s="1399">
        <v>0.04</v>
      </c>
      <c r="E322" s="1399">
        <v>-0.02</v>
      </c>
      <c r="F322" s="1399">
        <v>0</v>
      </c>
      <c r="G322" s="1399">
        <v>-0.03</v>
      </c>
      <c r="H322" s="1245">
        <v>0.02</v>
      </c>
      <c r="I322" s="1245">
        <v>-0.09</v>
      </c>
      <c r="J322" s="1245">
        <v>-0.14000000000000001</v>
      </c>
      <c r="K322" s="962"/>
      <c r="L322" s="1399">
        <v>-0.070000000000000007</v>
      </c>
      <c r="M322" s="1245">
        <v>-0.04</v>
      </c>
      <c r="N322" s="1245">
        <v>0.03</v>
      </c>
      <c r="O322" s="1245">
        <v>0.11</v>
      </c>
      <c r="P322" s="962"/>
      <c r="Q322" s="1399">
        <v>0.02</v>
      </c>
      <c r="R322" s="1245">
        <v>0.14999999999999999</v>
      </c>
      <c r="S322" s="1245">
        <v>0.20</v>
      </c>
      <c r="T322" s="1245">
        <v>0.16</v>
      </c>
      <c r="U322" s="962"/>
      <c r="V322" s="1399">
        <v>0.18</v>
      </c>
      <c r="W322" s="1245">
        <v>0.14999999999999999</v>
      </c>
      <c r="X322" s="1245">
        <v>0.17</v>
      </c>
      <c r="Y322" s="1245">
        <v>0.25</v>
      </c>
      <c r="Z322" s="962"/>
      <c r="AA322" s="1399">
        <v>0.21</v>
      </c>
      <c r="AB322" s="1245">
        <v>0.19</v>
      </c>
      <c r="AC322" s="1245">
        <v>0.21</v>
      </c>
      <c r="AD322" s="1245">
        <v>0.12</v>
      </c>
      <c r="AE322" s="962"/>
      <c r="AF322" s="1399">
        <v>0.14000000000000001</v>
      </c>
      <c r="AG322" s="1245">
        <v>0.09</v>
      </c>
      <c r="AH322" s="1245">
        <v>0.06</v>
      </c>
      <c r="AI322" s="1245">
        <v>0.04</v>
      </c>
      <c r="AJ322" s="962"/>
      <c r="AK322" s="1399">
        <v>0.070000000000000007</v>
      </c>
      <c r="AL322" s="1245">
        <v>-0.03</v>
      </c>
      <c r="AM322" s="1245">
        <v>-0.13</v>
      </c>
      <c r="AN322" s="1245">
        <v>0.04</v>
      </c>
      <c r="AO322" s="962"/>
      <c r="AP322" s="1399">
        <v>-0.05</v>
      </c>
      <c r="AQ322" s="1245">
        <v>0.05</v>
      </c>
      <c r="AR322" s="1245">
        <v>0.09</v>
      </c>
      <c r="AS322" s="1245">
        <v>-0.20</v>
      </c>
      <c r="AT322" s="962"/>
      <c r="AU322" s="1399">
        <v>-0.08</v>
      </c>
      <c r="AV322" s="1245">
        <v>-0.28000000000000003</v>
      </c>
      <c r="AW322" s="1245">
        <v>-0.20</v>
      </c>
      <c r="AX322" s="1245">
        <v>0.09</v>
      </c>
      <c r="AY322" s="962"/>
      <c r="AZ322" s="1399">
        <v>-0.03</v>
      </c>
      <c r="BA322" s="1245">
        <v>0.68</v>
      </c>
      <c r="BB322" s="1245">
        <v>0.52</v>
      </c>
      <c r="BC322" s="1245">
        <v>-0.18</v>
      </c>
      <c r="BD322" s="962"/>
      <c r="BE322" s="1399">
        <v>0.14999999999999999</v>
      </c>
      <c r="BF322" s="1245">
        <v>-0.13</v>
      </c>
      <c r="BG322" s="1245">
        <v>0.13</v>
      </c>
      <c r="BH322" s="1246">
        <v>0.98</v>
      </c>
      <c r="BI322" s="963"/>
      <c r="BJ322" s="1400"/>
      <c r="BK322" s="963"/>
      <c r="BL322" s="963"/>
      <c r="BM322" s="963"/>
      <c r="BN322" s="963"/>
      <c r="BO322" s="1400"/>
      <c r="BP322" s="1401"/>
      <c r="BQ322" s="1401"/>
      <c r="BR322" s="1400"/>
      <c r="BS322" s="965"/>
    </row>
    <row r="323" spans="1:71" s="966" customFormat="1" ht="15" hidden="1" outlineLevel="2">
      <c r="A323" s="959" t="s">
        <v>640</v>
      </c>
      <c r="B323" s="960"/>
      <c r="C323" s="1399">
        <v>0</v>
      </c>
      <c r="D323" s="1399">
        <v>0.01</v>
      </c>
      <c r="E323" s="1399">
        <v>0.05</v>
      </c>
      <c r="F323" s="1399">
        <v>0.05</v>
      </c>
      <c r="G323" s="1399">
        <v>0.02</v>
      </c>
      <c r="H323" s="1245">
        <v>0.01</v>
      </c>
      <c r="I323" s="1245">
        <v>0.02</v>
      </c>
      <c r="J323" s="1245">
        <v>0.01</v>
      </c>
      <c r="K323" s="962"/>
      <c r="L323" s="1399">
        <v>0.03</v>
      </c>
      <c r="M323" s="1245">
        <v>-0.01</v>
      </c>
      <c r="N323" s="1245">
        <v>-0.02</v>
      </c>
      <c r="O323" s="1245">
        <v>-0.01</v>
      </c>
      <c r="P323" s="962"/>
      <c r="Q323" s="1399">
        <v>-0.04</v>
      </c>
      <c r="R323" s="1245">
        <v>-0.02</v>
      </c>
      <c r="S323" s="1245">
        <v>0.02</v>
      </c>
      <c r="T323" s="1245">
        <v>0.01</v>
      </c>
      <c r="U323" s="962"/>
      <c r="V323" s="1399">
        <v>0.02</v>
      </c>
      <c r="W323" s="1245">
        <v>0.05</v>
      </c>
      <c r="X323" s="1245">
        <v>0.070000000000000007</v>
      </c>
      <c r="Y323" s="1245">
        <v>0.08</v>
      </c>
      <c r="Z323" s="962"/>
      <c r="AA323" s="1399">
        <v>0.070000000000000007</v>
      </c>
      <c r="AB323" s="1245">
        <v>0.12</v>
      </c>
      <c r="AC323" s="1245">
        <v>0.10000000000000001</v>
      </c>
      <c r="AD323" s="1245">
        <v>0.12</v>
      </c>
      <c r="AE323" s="962"/>
      <c r="AF323" s="1399">
        <v>0.12</v>
      </c>
      <c r="AG323" s="1245">
        <v>0.11</v>
      </c>
      <c r="AH323" s="1245">
        <v>0.11</v>
      </c>
      <c r="AI323" s="1245">
        <v>0.10000000000000001</v>
      </c>
      <c r="AJ323" s="962"/>
      <c r="AK323" s="1399">
        <v>0.12</v>
      </c>
      <c r="AL323" s="1245">
        <v>0.09</v>
      </c>
      <c r="AM323" s="1245">
        <v>0.11</v>
      </c>
      <c r="AN323" s="1245">
        <v>0.12</v>
      </c>
      <c r="AO323" s="962"/>
      <c r="AP323" s="1399">
        <v>0.070000000000000007</v>
      </c>
      <c r="AQ323" s="1245">
        <v>0.12</v>
      </c>
      <c r="AR323" s="1245">
        <v>0.06</v>
      </c>
      <c r="AS323" s="1245">
        <v>0.08</v>
      </c>
      <c r="AT323" s="962"/>
      <c r="AU323" s="1399">
        <v>0.08</v>
      </c>
      <c r="AV323" s="1245">
        <v>0.01</v>
      </c>
      <c r="AW323" s="1245">
        <v>-0.02</v>
      </c>
      <c r="AX323" s="1245">
        <v>-0.06</v>
      </c>
      <c r="AY323" s="962"/>
      <c r="AZ323" s="1399">
        <v>-0.03</v>
      </c>
      <c r="BA323" s="1245">
        <v>-0.03</v>
      </c>
      <c r="BB323" s="1245">
        <v>0.04</v>
      </c>
      <c r="BC323" s="1245">
        <v>0.10000000000000001</v>
      </c>
      <c r="BD323" s="962"/>
      <c r="BE323" s="1399">
        <v>0.06</v>
      </c>
      <c r="BF323" s="1245">
        <v>0.08</v>
      </c>
      <c r="BG323" s="1245">
        <v>0.09</v>
      </c>
      <c r="BH323" s="1246">
        <v>0.070000000000000007</v>
      </c>
      <c r="BI323" s="963"/>
      <c r="BJ323" s="1400"/>
      <c r="BK323" s="963"/>
      <c r="BL323" s="963"/>
      <c r="BM323" s="963"/>
      <c r="BN323" s="963"/>
      <c r="BO323" s="1400"/>
      <c r="BP323" s="1401"/>
      <c r="BQ323" s="1401"/>
      <c r="BR323" s="1400"/>
      <c r="BS323" s="965"/>
    </row>
    <row r="324" spans="1:71" s="974" customFormat="1" ht="7.5" customHeight="1" hidden="1" outlineLevel="2">
      <c r="A324" s="967"/>
      <c r="B324" s="968"/>
      <c r="C324" s="1402"/>
      <c r="D324" s="1402"/>
      <c r="E324" s="1402"/>
      <c r="F324" s="1402"/>
      <c r="G324" s="1402"/>
      <c r="H324" s="970"/>
      <c r="I324" s="970"/>
      <c r="J324" s="970"/>
      <c r="K324" s="970"/>
      <c r="L324" s="1402"/>
      <c r="M324" s="970"/>
      <c r="N324" s="970"/>
      <c r="O324" s="970"/>
      <c r="P324" s="970"/>
      <c r="Q324" s="1402"/>
      <c r="R324" s="970"/>
      <c r="S324" s="970"/>
      <c r="T324" s="970"/>
      <c r="U324" s="970"/>
      <c r="V324" s="1402"/>
      <c r="W324" s="970"/>
      <c r="X324" s="970"/>
      <c r="Y324" s="970"/>
      <c r="Z324" s="970"/>
      <c r="AA324" s="1402"/>
      <c r="AB324" s="970"/>
      <c r="AC324" s="970"/>
      <c r="AD324" s="970"/>
      <c r="AE324" s="970"/>
      <c r="AF324" s="1402"/>
      <c r="AG324" s="970"/>
      <c r="AH324" s="970"/>
      <c r="AI324" s="970"/>
      <c r="AJ324" s="970"/>
      <c r="AK324" s="1402"/>
      <c r="AL324" s="970"/>
      <c r="AM324" s="970"/>
      <c r="AN324" s="970"/>
      <c r="AO324" s="970"/>
      <c r="AP324" s="1402"/>
      <c r="AQ324" s="970"/>
      <c r="AR324" s="970"/>
      <c r="AS324" s="970"/>
      <c r="AT324" s="970"/>
      <c r="AU324" s="1402"/>
      <c r="AV324" s="970"/>
      <c r="AW324" s="970"/>
      <c r="AX324" s="970"/>
      <c r="AY324" s="970"/>
      <c r="AZ324" s="1402"/>
      <c r="BA324" s="970"/>
      <c r="BB324" s="970"/>
      <c r="BC324" s="970"/>
      <c r="BD324" s="970"/>
      <c r="BE324" s="1402"/>
      <c r="BF324" s="970"/>
      <c r="BG324" s="970"/>
      <c r="BH324" s="971"/>
      <c r="BI324" s="972"/>
      <c r="BJ324" s="1403"/>
      <c r="BK324" s="972"/>
      <c r="BL324" s="972"/>
      <c r="BM324" s="972"/>
      <c r="BN324" s="972"/>
      <c r="BO324" s="1403"/>
      <c r="BP324" s="1402"/>
      <c r="BQ324" s="1402"/>
      <c r="BR324" s="1403"/>
      <c r="BS324" s="965"/>
    </row>
    <row r="325" spans="1:71" s="966" customFormat="1" ht="15" hidden="1" outlineLevel="2">
      <c r="A325" s="959" t="s">
        <v>641</v>
      </c>
      <c r="B325" s="960"/>
      <c r="C325" s="1399">
        <v>0</v>
      </c>
      <c r="D325" s="1399">
        <v>0</v>
      </c>
      <c r="E325" s="1399">
        <v>0</v>
      </c>
      <c r="F325" s="1399">
        <v>0.03</v>
      </c>
      <c r="G325" s="1399">
        <v>0.05</v>
      </c>
      <c r="H325" s="1245">
        <v>0.03</v>
      </c>
      <c r="I325" s="1245">
        <v>0.04</v>
      </c>
      <c r="J325" s="1245">
        <v>0.05</v>
      </c>
      <c r="K325" s="962"/>
      <c r="L325" s="1399">
        <v>0.04</v>
      </c>
      <c r="M325" s="1245">
        <v>0.04</v>
      </c>
      <c r="N325" s="1245">
        <v>0.04</v>
      </c>
      <c r="O325" s="1245">
        <v>0.04</v>
      </c>
      <c r="P325" s="962"/>
      <c r="Q325" s="1399">
        <v>0.04</v>
      </c>
      <c r="R325" s="1245">
        <v>0.04</v>
      </c>
      <c r="S325" s="1245">
        <v>0.04</v>
      </c>
      <c r="T325" s="1245">
        <v>0.05</v>
      </c>
      <c r="U325" s="962"/>
      <c r="V325" s="1399">
        <v>0.05</v>
      </c>
      <c r="W325" s="1245">
        <v>0.06</v>
      </c>
      <c r="X325" s="1245">
        <v>0.06</v>
      </c>
      <c r="Y325" s="1245">
        <v>0.05</v>
      </c>
      <c r="Z325" s="962"/>
      <c r="AA325" s="1399">
        <v>0.06</v>
      </c>
      <c r="AB325" s="1245">
        <v>0.05</v>
      </c>
      <c r="AC325" s="1245">
        <v>0.05</v>
      </c>
      <c r="AD325" s="1245">
        <v>0.05</v>
      </c>
      <c r="AE325" s="962"/>
      <c r="AF325" s="1399">
        <v>0.05</v>
      </c>
      <c r="AG325" s="1245">
        <v>0.03</v>
      </c>
      <c r="AH325" s="1245">
        <v>0.02</v>
      </c>
      <c r="AI325" s="1245">
        <v>0.02</v>
      </c>
      <c r="AJ325" s="962"/>
      <c r="AK325" s="1399">
        <v>0.03</v>
      </c>
      <c r="AL325" s="1245">
        <v>0.01</v>
      </c>
      <c r="AM325" s="1245">
        <v>0.01</v>
      </c>
      <c r="AN325" s="1245">
        <v>-0.01</v>
      </c>
      <c r="AO325" s="962"/>
      <c r="AP325" s="1399">
        <v>0</v>
      </c>
      <c r="AQ325" s="1245">
        <v>-0.02</v>
      </c>
      <c r="AR325" s="1245">
        <v>-0.01</v>
      </c>
      <c r="AS325" s="1245">
        <v>0.02</v>
      </c>
      <c r="AT325" s="962"/>
      <c r="AU325" s="1399">
        <v>0.01</v>
      </c>
      <c r="AV325" s="1245">
        <v>0.08</v>
      </c>
      <c r="AW325" s="1245">
        <v>0.12</v>
      </c>
      <c r="AX325" s="1245">
        <v>0.12</v>
      </c>
      <c r="AY325" s="962"/>
      <c r="AZ325" s="1399">
        <v>0.11</v>
      </c>
      <c r="BA325" s="1245">
        <v>0.10000000000000001</v>
      </c>
      <c r="BB325" s="1245">
        <v>0.09</v>
      </c>
      <c r="BC325" s="1245">
        <v>0.13</v>
      </c>
      <c r="BD325" s="962"/>
      <c r="BE325" s="1399">
        <v>0.12</v>
      </c>
      <c r="BF325" s="1245">
        <v>0.14999999999999999</v>
      </c>
      <c r="BG325" s="1245">
        <v>0.12</v>
      </c>
      <c r="BH325" s="1246">
        <v>0.05</v>
      </c>
      <c r="BI325" s="963"/>
      <c r="BJ325" s="1400"/>
      <c r="BK325" s="963"/>
      <c r="BL325" s="963"/>
      <c r="BM325" s="963"/>
      <c r="BN325" s="963"/>
      <c r="BO325" s="1400"/>
      <c r="BP325" s="1401"/>
      <c r="BQ325" s="1401"/>
      <c r="BR325" s="1400"/>
      <c r="BS325" s="965"/>
    </row>
    <row r="326" spans="1:71" s="974" customFormat="1" ht="7.5" customHeight="1" hidden="1" outlineLevel="2">
      <c r="A326" s="967"/>
      <c r="B326" s="968"/>
      <c r="C326" s="1402"/>
      <c r="D326" s="1402"/>
      <c r="E326" s="1402"/>
      <c r="F326" s="1402"/>
      <c r="G326" s="1402"/>
      <c r="H326" s="970"/>
      <c r="I326" s="970"/>
      <c r="J326" s="970"/>
      <c r="K326" s="970"/>
      <c r="L326" s="1402"/>
      <c r="M326" s="970"/>
      <c r="N326" s="970"/>
      <c r="O326" s="970"/>
      <c r="P326" s="970"/>
      <c r="Q326" s="1402"/>
      <c r="R326" s="970"/>
      <c r="S326" s="970"/>
      <c r="T326" s="970"/>
      <c r="U326" s="970"/>
      <c r="V326" s="1402"/>
      <c r="W326" s="970"/>
      <c r="X326" s="970"/>
      <c r="Y326" s="970"/>
      <c r="Z326" s="970"/>
      <c r="AA326" s="1402"/>
      <c r="AB326" s="970"/>
      <c r="AC326" s="970"/>
      <c r="AD326" s="970"/>
      <c r="AE326" s="970"/>
      <c r="AF326" s="1402"/>
      <c r="AG326" s="970"/>
      <c r="AH326" s="970"/>
      <c r="AI326" s="970"/>
      <c r="AJ326" s="970"/>
      <c r="AK326" s="1402"/>
      <c r="AL326" s="970"/>
      <c r="AM326" s="970"/>
      <c r="AN326" s="970"/>
      <c r="AO326" s="970"/>
      <c r="AP326" s="1402"/>
      <c r="AQ326" s="970"/>
      <c r="AR326" s="970"/>
      <c r="AS326" s="970"/>
      <c r="AT326" s="970"/>
      <c r="AU326" s="1402"/>
      <c r="AV326" s="970"/>
      <c r="AW326" s="970"/>
      <c r="AX326" s="970"/>
      <c r="AY326" s="970"/>
      <c r="AZ326" s="1402"/>
      <c r="BA326" s="970"/>
      <c r="BB326" s="970"/>
      <c r="BC326" s="970"/>
      <c r="BD326" s="970"/>
      <c r="BE326" s="1402"/>
      <c r="BF326" s="970"/>
      <c r="BG326" s="970"/>
      <c r="BH326" s="971"/>
      <c r="BI326" s="972"/>
      <c r="BJ326" s="1403"/>
      <c r="BK326" s="972"/>
      <c r="BL326" s="972"/>
      <c r="BM326" s="972"/>
      <c r="BN326" s="972"/>
      <c r="BO326" s="1403"/>
      <c r="BP326" s="1402"/>
      <c r="BQ326" s="1402"/>
      <c r="BR326" s="1403"/>
      <c r="BS326" s="965"/>
    </row>
    <row r="327" spans="1:71" s="966" customFormat="1" ht="15" hidden="1" outlineLevel="2">
      <c r="A327" s="959" t="s">
        <v>642</v>
      </c>
      <c r="B327" s="960"/>
      <c r="C327" s="1401"/>
      <c r="D327" s="1401"/>
      <c r="E327" s="1401"/>
      <c r="F327" s="1401"/>
      <c r="G327" s="1399">
        <v>0.01</v>
      </c>
      <c r="H327" s="962"/>
      <c r="I327" s="1245">
        <v>0.01</v>
      </c>
      <c r="J327" s="962"/>
      <c r="K327" s="962"/>
      <c r="L327" s="1399">
        <v>-0.070000000000000007</v>
      </c>
      <c r="M327" s="1245">
        <v>-0.08</v>
      </c>
      <c r="N327" s="1245">
        <v>-0.06</v>
      </c>
      <c r="O327" s="1245">
        <v>0</v>
      </c>
      <c r="P327" s="962"/>
      <c r="Q327" s="1399">
        <v>0.05</v>
      </c>
      <c r="R327" s="1245">
        <v>0.05</v>
      </c>
      <c r="S327" s="1245">
        <v>0.08</v>
      </c>
      <c r="T327" s="1245">
        <v>0.10000000000000001</v>
      </c>
      <c r="U327" s="962"/>
      <c r="V327" s="1399">
        <v>0.05</v>
      </c>
      <c r="W327" s="1245">
        <v>0.01</v>
      </c>
      <c r="X327" s="1245">
        <v>0.06</v>
      </c>
      <c r="Y327" s="1245">
        <v>0.10000000000000001</v>
      </c>
      <c r="Z327" s="962"/>
      <c r="AA327" s="1399">
        <v>0.14000000000000001</v>
      </c>
      <c r="AB327" s="1245">
        <v>0.14999999999999999</v>
      </c>
      <c r="AC327" s="1245">
        <v>0.05</v>
      </c>
      <c r="AD327" s="1245">
        <v>0.01</v>
      </c>
      <c r="AE327" s="962"/>
      <c r="AF327" s="1399">
        <v>-0.02</v>
      </c>
      <c r="AG327" s="1245">
        <v>0</v>
      </c>
      <c r="AH327" s="1245">
        <v>0.04</v>
      </c>
      <c r="AI327" s="1245">
        <v>0.05</v>
      </c>
      <c r="AJ327" s="962"/>
      <c r="AK327" s="1399">
        <v>0.04</v>
      </c>
      <c r="AL327" s="1245">
        <v>0.02</v>
      </c>
      <c r="AM327" s="962"/>
      <c r="AN327" s="1245">
        <v>0.06</v>
      </c>
      <c r="AO327" s="962"/>
      <c r="AP327" s="1399">
        <v>0.06</v>
      </c>
      <c r="AQ327" s="1245">
        <v>0.12</v>
      </c>
      <c r="AR327" s="1245">
        <v>0</v>
      </c>
      <c r="AS327" s="1245">
        <v>0.10000000000000001</v>
      </c>
      <c r="AT327" s="962"/>
      <c r="AU327" s="1399">
        <v>-0.03</v>
      </c>
      <c r="AV327" s="1245">
        <v>-0.17</v>
      </c>
      <c r="AW327" s="1245">
        <v>-0.34</v>
      </c>
      <c r="AX327" s="1245">
        <v>-0.33</v>
      </c>
      <c r="AY327" s="962"/>
      <c r="AZ327" s="1399">
        <v>-0.11</v>
      </c>
      <c r="BA327" s="1245">
        <v>0.10000000000000001</v>
      </c>
      <c r="BB327" s="1245">
        <v>0.44</v>
      </c>
      <c r="BC327" s="1245">
        <v>0.41</v>
      </c>
      <c r="BD327" s="962"/>
      <c r="BE327" s="1399">
        <v>0.23</v>
      </c>
      <c r="BF327" s="1245">
        <v>0.070000000000000007</v>
      </c>
      <c r="BG327" s="1245">
        <v>0.03</v>
      </c>
      <c r="BH327" s="1246">
        <v>0</v>
      </c>
      <c r="BI327" s="963"/>
      <c r="BJ327" s="1400"/>
      <c r="BK327" s="963"/>
      <c r="BL327" s="963"/>
      <c r="BM327" s="963"/>
      <c r="BN327" s="963"/>
      <c r="BO327" s="1400"/>
      <c r="BP327" s="1401"/>
      <c r="BQ327" s="1401"/>
      <c r="BR327" s="1400"/>
      <c r="BS327" s="965"/>
    </row>
    <row r="328" spans="1:71" s="966" customFormat="1" ht="15" hidden="1" outlineLevel="2">
      <c r="A328" s="959" t="s">
        <v>643</v>
      </c>
      <c r="B328" s="960"/>
      <c r="C328" s="1399">
        <v>0.02</v>
      </c>
      <c r="D328" s="1399">
        <v>0.08</v>
      </c>
      <c r="E328" s="1399">
        <v>0.06</v>
      </c>
      <c r="F328" s="1399">
        <v>0</v>
      </c>
      <c r="G328" s="1399">
        <v>-0.05</v>
      </c>
      <c r="H328" s="1245">
        <v>-0.02</v>
      </c>
      <c r="I328" s="1245">
        <v>0.01</v>
      </c>
      <c r="J328" s="962"/>
      <c r="K328" s="962"/>
      <c r="L328" s="1399">
        <v>-0.02</v>
      </c>
      <c r="M328" s="1245">
        <v>-0.05</v>
      </c>
      <c r="N328" s="1245">
        <v>-0.070000000000000007</v>
      </c>
      <c r="O328" s="1245">
        <v>-0.05</v>
      </c>
      <c r="P328" s="962"/>
      <c r="Q328" s="1399">
        <v>-0.02</v>
      </c>
      <c r="R328" s="1245">
        <v>0.02</v>
      </c>
      <c r="S328" s="1245">
        <v>0.05</v>
      </c>
      <c r="T328" s="1245">
        <v>0.070000000000000007</v>
      </c>
      <c r="U328" s="962"/>
      <c r="V328" s="1399">
        <v>0.070000000000000007</v>
      </c>
      <c r="W328" s="1245">
        <v>0.070000000000000007</v>
      </c>
      <c r="X328" s="1245">
        <v>0.06</v>
      </c>
      <c r="Y328" s="1245">
        <v>0.06</v>
      </c>
      <c r="Z328" s="962"/>
      <c r="AA328" s="1399">
        <v>0.08</v>
      </c>
      <c r="AB328" s="1245">
        <v>0.11</v>
      </c>
      <c r="AC328" s="1245">
        <v>0.11</v>
      </c>
      <c r="AD328" s="1245">
        <v>0.08</v>
      </c>
      <c r="AE328" s="962"/>
      <c r="AF328" s="1399">
        <v>0.04</v>
      </c>
      <c r="AG328" s="1245">
        <v>0.01</v>
      </c>
      <c r="AH328" s="1245">
        <v>0</v>
      </c>
      <c r="AI328" s="1245">
        <v>0.02</v>
      </c>
      <c r="AJ328" s="962"/>
      <c r="AK328" s="1399">
        <v>0.03</v>
      </c>
      <c r="AL328" s="1245">
        <v>0.04</v>
      </c>
      <c r="AM328" s="1245">
        <v>0.09</v>
      </c>
      <c r="AN328" s="1245">
        <v>0.10000000000000001</v>
      </c>
      <c r="AO328" s="962"/>
      <c r="AP328" s="1399">
        <v>0.10000000000000001</v>
      </c>
      <c r="AQ328" s="1245">
        <v>0.13</v>
      </c>
      <c r="AR328" s="1245">
        <v>0.03</v>
      </c>
      <c r="AS328" s="1245">
        <v>0.04</v>
      </c>
      <c r="AT328" s="962"/>
      <c r="AU328" s="1399">
        <v>0.01</v>
      </c>
      <c r="AV328" s="1245">
        <v>-0.06</v>
      </c>
      <c r="AW328" s="1245">
        <v>-0.13</v>
      </c>
      <c r="AX328" s="1245">
        <v>-0.23</v>
      </c>
      <c r="AY328" s="962"/>
      <c r="AZ328" s="1399">
        <v>-0.24</v>
      </c>
      <c r="BA328" s="1245">
        <v>-0.19</v>
      </c>
      <c r="BB328" s="1245">
        <v>0</v>
      </c>
      <c r="BC328" s="1245">
        <v>0.20</v>
      </c>
      <c r="BD328" s="962"/>
      <c r="BE328" s="1399">
        <v>0.28999999999999998</v>
      </c>
      <c r="BF328" s="1245">
        <v>0.28000000000000003</v>
      </c>
      <c r="BG328" s="1245">
        <v>0.18</v>
      </c>
      <c r="BH328" s="1246">
        <v>0.08</v>
      </c>
      <c r="BI328" s="963"/>
      <c r="BJ328" s="1400"/>
      <c r="BK328" s="963"/>
      <c r="BL328" s="963"/>
      <c r="BM328" s="963"/>
      <c r="BN328" s="963"/>
      <c r="BO328" s="1400"/>
      <c r="BP328" s="1401"/>
      <c r="BQ328" s="1401"/>
      <c r="BR328" s="1400"/>
      <c r="BS328" s="965"/>
    </row>
    <row r="329" spans="1:71" s="974" customFormat="1" ht="7.5" customHeight="1" hidden="1" outlineLevel="2">
      <c r="A329" s="975"/>
      <c r="B329" s="968"/>
      <c r="C329" s="1402"/>
      <c r="D329" s="1402"/>
      <c r="E329" s="1402"/>
      <c r="F329" s="1402"/>
      <c r="G329" s="1402"/>
      <c r="H329" s="970"/>
      <c r="I329" s="970"/>
      <c r="J329" s="970"/>
      <c r="K329" s="970"/>
      <c r="L329" s="1402"/>
      <c r="M329" s="970"/>
      <c r="N329" s="970"/>
      <c r="O329" s="970"/>
      <c r="P329" s="970"/>
      <c r="Q329" s="1402"/>
      <c r="R329" s="970"/>
      <c r="S329" s="970"/>
      <c r="T329" s="970"/>
      <c r="U329" s="970"/>
      <c r="V329" s="1402"/>
      <c r="W329" s="970"/>
      <c r="X329" s="970"/>
      <c r="Y329" s="970"/>
      <c r="Z329" s="970"/>
      <c r="AA329" s="1402"/>
      <c r="AB329" s="970"/>
      <c r="AC329" s="970"/>
      <c r="AD329" s="970"/>
      <c r="AE329" s="970"/>
      <c r="AF329" s="1402"/>
      <c r="AG329" s="970"/>
      <c r="AH329" s="970"/>
      <c r="AI329" s="970"/>
      <c r="AJ329" s="970"/>
      <c r="AK329" s="1402"/>
      <c r="AL329" s="970"/>
      <c r="AM329" s="970"/>
      <c r="AN329" s="970"/>
      <c r="AO329" s="970"/>
      <c r="AP329" s="1402"/>
      <c r="AQ329" s="970"/>
      <c r="AR329" s="970"/>
      <c r="AS329" s="970"/>
      <c r="AT329" s="970"/>
      <c r="AU329" s="1402"/>
      <c r="AV329" s="970"/>
      <c r="AW329" s="970"/>
      <c r="AX329" s="970"/>
      <c r="AY329" s="970"/>
      <c r="AZ329" s="1402"/>
      <c r="BA329" s="970"/>
      <c r="BB329" s="970"/>
      <c r="BC329" s="970"/>
      <c r="BD329" s="970"/>
      <c r="BE329" s="1402"/>
      <c r="BF329" s="970"/>
      <c r="BG329" s="970"/>
      <c r="BH329" s="971"/>
      <c r="BI329" s="972"/>
      <c r="BJ329" s="1403"/>
      <c r="BK329" s="972"/>
      <c r="BL329" s="972"/>
      <c r="BM329" s="972"/>
      <c r="BN329" s="972"/>
      <c r="BO329" s="1403"/>
      <c r="BP329" s="1402"/>
      <c r="BQ329" s="1402"/>
      <c r="BR329" s="1403"/>
      <c r="BS329" s="965"/>
    </row>
    <row r="330" spans="1:71" s="966" customFormat="1" ht="15" hidden="1" outlineLevel="2">
      <c r="A330" s="959" t="s">
        <v>644</v>
      </c>
      <c r="B330" s="960"/>
      <c r="C330" s="1399">
        <v>0.20</v>
      </c>
      <c r="D330" s="1399">
        <v>0.09</v>
      </c>
      <c r="E330" s="1399">
        <v>-0.02</v>
      </c>
      <c r="F330" s="1399">
        <v>-0.02</v>
      </c>
      <c r="G330" s="1399">
        <v>0.06</v>
      </c>
      <c r="H330" s="1245">
        <v>0.13</v>
      </c>
      <c r="I330" s="1245">
        <v>0.04</v>
      </c>
      <c r="J330" s="1245">
        <v>0.070000000000000007</v>
      </c>
      <c r="K330" s="962"/>
      <c r="L330" s="1399">
        <v>0.10000000000000001</v>
      </c>
      <c r="M330" s="1245">
        <v>0.13</v>
      </c>
      <c r="N330" s="1245">
        <v>0.16</v>
      </c>
      <c r="O330" s="1245">
        <v>0.14999999999999999</v>
      </c>
      <c r="P330" s="962"/>
      <c r="Q330" s="1399">
        <v>0.13</v>
      </c>
      <c r="R330" s="1245">
        <v>0.17</v>
      </c>
      <c r="S330" s="1245">
        <v>0.17</v>
      </c>
      <c r="T330" s="1245">
        <v>0.04</v>
      </c>
      <c r="U330" s="962"/>
      <c r="V330" s="1399">
        <v>0.09</v>
      </c>
      <c r="W330" s="1245">
        <v>-0.01</v>
      </c>
      <c r="X330" s="1245">
        <v>0.08</v>
      </c>
      <c r="Y330" s="1245">
        <v>0.25</v>
      </c>
      <c r="Z330" s="962"/>
      <c r="AA330" s="1399">
        <v>0.16</v>
      </c>
      <c r="AB330" s="1245">
        <v>0.31</v>
      </c>
      <c r="AC330" s="1245">
        <v>0.32</v>
      </c>
      <c r="AD330" s="1245">
        <v>0.26</v>
      </c>
      <c r="AE330" s="962"/>
      <c r="AF330" s="1399">
        <v>0.25</v>
      </c>
      <c r="AG330" s="1245">
        <v>0.08</v>
      </c>
      <c r="AH330" s="1245">
        <v>0.06</v>
      </c>
      <c r="AI330" s="1245">
        <v>0.06</v>
      </c>
      <c r="AJ330" s="962"/>
      <c r="AK330" s="1399">
        <v>0.09</v>
      </c>
      <c r="AL330" s="1245">
        <v>0.05</v>
      </c>
      <c r="AM330" s="1245">
        <v>0.04</v>
      </c>
      <c r="AN330" s="1245">
        <v>0.13</v>
      </c>
      <c r="AO330" s="962"/>
      <c r="AP330" s="1399">
        <v>0.05</v>
      </c>
      <c r="AQ330" s="1245">
        <v>0.17</v>
      </c>
      <c r="AR330" s="1245">
        <v>0.10000000000000001</v>
      </c>
      <c r="AS330" s="1245">
        <v>-0.14000000000000001</v>
      </c>
      <c r="AT330" s="962"/>
      <c r="AU330" s="1399">
        <v>0</v>
      </c>
      <c r="AV330" s="1245">
        <v>-0.25</v>
      </c>
      <c r="AW330" s="1245">
        <v>-0.11</v>
      </c>
      <c r="AX330" s="1245">
        <v>0.26</v>
      </c>
      <c r="AY330" s="962"/>
      <c r="AZ330" s="1399">
        <v>0.06</v>
      </c>
      <c r="BA330" s="1245">
        <v>0.92</v>
      </c>
      <c r="BB330" s="1245">
        <v>0.28999999999999998</v>
      </c>
      <c r="BC330" s="1245">
        <v>-0.22</v>
      </c>
      <c r="BD330" s="962"/>
      <c r="BE330" s="1399">
        <v>0.14999999999999999</v>
      </c>
      <c r="BF330" s="1245">
        <v>-0.06</v>
      </c>
      <c r="BG330" s="1245">
        <v>0.50</v>
      </c>
      <c r="BH330" s="1246">
        <v>1.1699999999999999</v>
      </c>
      <c r="BI330" s="963"/>
      <c r="BJ330" s="1400"/>
      <c r="BK330" s="963"/>
      <c r="BL330" s="963"/>
      <c r="BM330" s="963"/>
      <c r="BN330" s="963"/>
      <c r="BO330" s="1400"/>
      <c r="BP330" s="1401"/>
      <c r="BQ330" s="1401"/>
      <c r="BR330" s="1400"/>
      <c r="BS330" s="965"/>
    </row>
    <row r="331" spans="1:71" s="966" customFormat="1" ht="15" hidden="1" outlineLevel="2">
      <c r="A331" s="959" t="s">
        <v>645</v>
      </c>
      <c r="B331" s="960"/>
      <c r="C331" s="1399">
        <v>0.13</v>
      </c>
      <c r="D331" s="1399">
        <v>0.13</v>
      </c>
      <c r="E331" s="1399">
        <v>0.11</v>
      </c>
      <c r="F331" s="1399">
        <v>0.070000000000000007</v>
      </c>
      <c r="G331" s="1399">
        <v>0.04</v>
      </c>
      <c r="H331" s="1245">
        <v>0.05</v>
      </c>
      <c r="I331" s="1245">
        <v>0.070000000000000007</v>
      </c>
      <c r="J331" s="1245">
        <v>0.070000000000000007</v>
      </c>
      <c r="K331" s="962"/>
      <c r="L331" s="1399">
        <v>0.08</v>
      </c>
      <c r="M331" s="1245">
        <v>0.070000000000000007</v>
      </c>
      <c r="N331" s="1245">
        <v>0.070000000000000007</v>
      </c>
      <c r="O331" s="1245">
        <v>0.08</v>
      </c>
      <c r="P331" s="962"/>
      <c r="Q331" s="1399">
        <v>0.05</v>
      </c>
      <c r="R331" s="1245">
        <v>0.070000000000000007</v>
      </c>
      <c r="S331" s="1245">
        <v>0.10000000000000001</v>
      </c>
      <c r="T331" s="1245">
        <v>0.09</v>
      </c>
      <c r="U331" s="962"/>
      <c r="V331" s="1399">
        <v>0.10000000000000001</v>
      </c>
      <c r="W331" s="1245">
        <v>0.10000000000000001</v>
      </c>
      <c r="X331" s="1245">
        <v>0.08</v>
      </c>
      <c r="Y331" s="1245">
        <v>0.09</v>
      </c>
      <c r="Z331" s="962"/>
      <c r="AA331" s="1399">
        <v>0.09</v>
      </c>
      <c r="AB331" s="1245">
        <v>0.13</v>
      </c>
      <c r="AC331" s="1245">
        <v>0.13</v>
      </c>
      <c r="AD331" s="1245">
        <v>0.14999999999999999</v>
      </c>
      <c r="AE331" s="962"/>
      <c r="AF331" s="1399">
        <v>0.14999999999999999</v>
      </c>
      <c r="AG331" s="1245">
        <v>0.16</v>
      </c>
      <c r="AH331" s="1245">
        <v>0.14999999999999999</v>
      </c>
      <c r="AI331" s="1245">
        <v>0.14000000000000001</v>
      </c>
      <c r="AJ331" s="962"/>
      <c r="AK331" s="1399">
        <v>0.17</v>
      </c>
      <c r="AL331" s="1245">
        <v>0.11</v>
      </c>
      <c r="AM331" s="1245">
        <v>0.14999999999999999</v>
      </c>
      <c r="AN331" s="1245">
        <v>0.14999999999999999</v>
      </c>
      <c r="AO331" s="962"/>
      <c r="AP331" s="1399">
        <v>0.11</v>
      </c>
      <c r="AQ331" s="1245">
        <v>0.18</v>
      </c>
      <c r="AR331" s="1245">
        <v>0.12</v>
      </c>
      <c r="AS331" s="1245">
        <v>0.13</v>
      </c>
      <c r="AT331" s="962"/>
      <c r="AU331" s="1399">
        <v>0.13</v>
      </c>
      <c r="AV331" s="1245">
        <v>0.070000000000000007</v>
      </c>
      <c r="AW331" s="1245">
        <v>0.04</v>
      </c>
      <c r="AX331" s="1245">
        <v>-0.01</v>
      </c>
      <c r="AY331" s="962"/>
      <c r="AZ331" s="1399">
        <v>0.03</v>
      </c>
      <c r="BA331" s="1245">
        <v>0.04</v>
      </c>
      <c r="BB331" s="1245">
        <v>0.10000000000000001</v>
      </c>
      <c r="BC331" s="1245">
        <v>0.20</v>
      </c>
      <c r="BD331" s="962"/>
      <c r="BE331" s="1399">
        <v>0.13</v>
      </c>
      <c r="BF331" s="1245">
        <v>0.11</v>
      </c>
      <c r="BG331" s="1245">
        <v>0.08</v>
      </c>
      <c r="BH331" s="1246">
        <v>0.10000000000000001</v>
      </c>
      <c r="BI331" s="963"/>
      <c r="BJ331" s="1400"/>
      <c r="BK331" s="963"/>
      <c r="BL331" s="963"/>
      <c r="BM331" s="963"/>
      <c r="BN331" s="963"/>
      <c r="BO331" s="1400"/>
      <c r="BP331" s="1401"/>
      <c r="BQ331" s="1401"/>
      <c r="BR331" s="1400"/>
      <c r="BS331" s="965"/>
    </row>
    <row r="332" spans="1:71" s="974" customFormat="1" ht="7.5" customHeight="1" hidden="1" outlineLevel="2">
      <c r="A332" s="967"/>
      <c r="B332" s="968"/>
      <c r="C332" s="1402"/>
      <c r="D332" s="1402"/>
      <c r="E332" s="1402"/>
      <c r="F332" s="1402"/>
      <c r="G332" s="1402"/>
      <c r="H332" s="970"/>
      <c r="I332" s="970"/>
      <c r="J332" s="970"/>
      <c r="K332" s="970"/>
      <c r="L332" s="1402"/>
      <c r="M332" s="970"/>
      <c r="N332" s="970"/>
      <c r="O332" s="970"/>
      <c r="P332" s="970"/>
      <c r="Q332" s="1402"/>
      <c r="R332" s="970"/>
      <c r="S332" s="970"/>
      <c r="T332" s="970"/>
      <c r="U332" s="970"/>
      <c r="V332" s="1402"/>
      <c r="W332" s="970"/>
      <c r="X332" s="970"/>
      <c r="Y332" s="970"/>
      <c r="Z332" s="970"/>
      <c r="AA332" s="1402"/>
      <c r="AB332" s="970"/>
      <c r="AC332" s="970"/>
      <c r="AD332" s="970"/>
      <c r="AE332" s="970"/>
      <c r="AF332" s="1402"/>
      <c r="AG332" s="970"/>
      <c r="AH332" s="970"/>
      <c r="AI332" s="970"/>
      <c r="AJ332" s="970"/>
      <c r="AK332" s="1402"/>
      <c r="AL332" s="970"/>
      <c r="AM332" s="970"/>
      <c r="AN332" s="970"/>
      <c r="AO332" s="970"/>
      <c r="AP332" s="1402"/>
      <c r="AQ332" s="970"/>
      <c r="AR332" s="970"/>
      <c r="AS332" s="970"/>
      <c r="AT332" s="970"/>
      <c r="AU332" s="1402"/>
      <c r="AV332" s="970"/>
      <c r="AW332" s="970"/>
      <c r="AX332" s="970"/>
      <c r="AY332" s="970"/>
      <c r="AZ332" s="1402"/>
      <c r="BA332" s="970"/>
      <c r="BB332" s="970"/>
      <c r="BC332" s="970"/>
      <c r="BD332" s="970"/>
      <c r="BE332" s="1402"/>
      <c r="BF332" s="970"/>
      <c r="BG332" s="970"/>
      <c r="BH332" s="971"/>
      <c r="BI332" s="972"/>
      <c r="BJ332" s="1403"/>
      <c r="BK332" s="972"/>
      <c r="BL332" s="972"/>
      <c r="BM332" s="972"/>
      <c r="BN332" s="972"/>
      <c r="BO332" s="1403"/>
      <c r="BP332" s="1402"/>
      <c r="BQ332" s="1402"/>
      <c r="BR332" s="1403"/>
      <c r="BS332" s="965"/>
    </row>
    <row r="333" spans="1:71" s="966" customFormat="1" ht="15" hidden="1" outlineLevel="2">
      <c r="A333" s="959" t="s">
        <v>646</v>
      </c>
      <c r="B333" s="960"/>
      <c r="C333" s="1399">
        <v>-0.04</v>
      </c>
      <c r="D333" s="1399">
        <v>-0.03</v>
      </c>
      <c r="E333" s="1399">
        <v>-0.01</v>
      </c>
      <c r="F333" s="1399">
        <v>0.03</v>
      </c>
      <c r="G333" s="1399">
        <v>0.03</v>
      </c>
      <c r="H333" s="1245">
        <v>0</v>
      </c>
      <c r="I333" s="1245">
        <v>0.02</v>
      </c>
      <c r="J333" s="1245">
        <v>0.04</v>
      </c>
      <c r="K333" s="962"/>
      <c r="L333" s="1399">
        <v>0.03</v>
      </c>
      <c r="M333" s="1245">
        <v>0.05</v>
      </c>
      <c r="N333" s="1245">
        <v>0.04</v>
      </c>
      <c r="O333" s="1245">
        <v>0.04</v>
      </c>
      <c r="P333" s="962"/>
      <c r="Q333" s="1399">
        <v>0.04</v>
      </c>
      <c r="R333" s="1245">
        <v>0.04</v>
      </c>
      <c r="S333" s="1245">
        <v>0.04</v>
      </c>
      <c r="T333" s="1245">
        <v>0.05</v>
      </c>
      <c r="U333" s="962"/>
      <c r="V333" s="1399">
        <v>0.05</v>
      </c>
      <c r="W333" s="1245">
        <v>0.06</v>
      </c>
      <c r="X333" s="1245">
        <v>0.05</v>
      </c>
      <c r="Y333" s="1245">
        <v>0.05</v>
      </c>
      <c r="Z333" s="962"/>
      <c r="AA333" s="1399">
        <v>0.05</v>
      </c>
      <c r="AB333" s="1245">
        <v>0.04</v>
      </c>
      <c r="AC333" s="1245">
        <v>0.05</v>
      </c>
      <c r="AD333" s="1245">
        <v>0.04</v>
      </c>
      <c r="AE333" s="962"/>
      <c r="AF333" s="1399">
        <v>0.04</v>
      </c>
      <c r="AG333" s="1245">
        <v>0.03</v>
      </c>
      <c r="AH333" s="1245">
        <v>0.02</v>
      </c>
      <c r="AI333" s="1245">
        <v>0.01</v>
      </c>
      <c r="AJ333" s="962"/>
      <c r="AK333" s="1399">
        <v>0.02</v>
      </c>
      <c r="AL333" s="1245">
        <v>0</v>
      </c>
      <c r="AM333" s="1245">
        <v>0</v>
      </c>
      <c r="AN333" s="1245">
        <v>-0.02</v>
      </c>
      <c r="AO333" s="962"/>
      <c r="AP333" s="1399">
        <v>-0.01</v>
      </c>
      <c r="AQ333" s="1245">
        <v>-0.04</v>
      </c>
      <c r="AR333" s="1245">
        <v>-0.04</v>
      </c>
      <c r="AS333" s="1245">
        <v>0</v>
      </c>
      <c r="AT333" s="962"/>
      <c r="AU333" s="1399">
        <v>-0.01</v>
      </c>
      <c r="AV333" s="1245">
        <v>0.05</v>
      </c>
      <c r="AW333" s="1245">
        <v>0.10000000000000001</v>
      </c>
      <c r="AX333" s="1245">
        <v>0.09</v>
      </c>
      <c r="AY333" s="962"/>
      <c r="AZ333" s="1399">
        <v>0.08</v>
      </c>
      <c r="BA333" s="1245">
        <v>0.070000000000000007</v>
      </c>
      <c r="BB333" s="1245">
        <v>0.06</v>
      </c>
      <c r="BC333" s="1245">
        <v>0.12</v>
      </c>
      <c r="BD333" s="962"/>
      <c r="BE333" s="1399">
        <v>0.10000000000000001</v>
      </c>
      <c r="BF333" s="1245">
        <v>0.13</v>
      </c>
      <c r="BG333" s="1245">
        <v>0.10000000000000001</v>
      </c>
      <c r="BH333" s="1246">
        <v>0.05</v>
      </c>
      <c r="BI333" s="963"/>
      <c r="BJ333" s="1400"/>
      <c r="BK333" s="963"/>
      <c r="BL333" s="963"/>
      <c r="BM333" s="963"/>
      <c r="BN333" s="963"/>
      <c r="BO333" s="1400"/>
      <c r="BP333" s="1401"/>
      <c r="BQ333" s="1401"/>
      <c r="BR333" s="1400"/>
      <c r="BS333" s="965"/>
    </row>
    <row r="334" spans="1:71" s="974" customFormat="1" ht="7.5" customHeight="1" hidden="1" outlineLevel="2">
      <c r="A334" s="967"/>
      <c r="B334" s="968"/>
      <c r="C334" s="1402"/>
      <c r="D334" s="1402"/>
      <c r="E334" s="1402"/>
      <c r="F334" s="1402"/>
      <c r="G334" s="1402"/>
      <c r="H334" s="970"/>
      <c r="I334" s="970"/>
      <c r="J334" s="970"/>
      <c r="K334" s="970"/>
      <c r="L334" s="1402"/>
      <c r="M334" s="970"/>
      <c r="N334" s="970"/>
      <c r="O334" s="970"/>
      <c r="P334" s="970"/>
      <c r="Q334" s="1402"/>
      <c r="R334" s="970"/>
      <c r="S334" s="970"/>
      <c r="T334" s="970"/>
      <c r="U334" s="970"/>
      <c r="V334" s="1402"/>
      <c r="W334" s="970"/>
      <c r="X334" s="970"/>
      <c r="Y334" s="970"/>
      <c r="Z334" s="970"/>
      <c r="AA334" s="1402"/>
      <c r="AB334" s="970"/>
      <c r="AC334" s="970"/>
      <c r="AD334" s="970"/>
      <c r="AE334" s="970"/>
      <c r="AF334" s="1402"/>
      <c r="AG334" s="970"/>
      <c r="AH334" s="970"/>
      <c r="AI334" s="970"/>
      <c r="AJ334" s="970"/>
      <c r="AK334" s="1402"/>
      <c r="AL334" s="970"/>
      <c r="AM334" s="970"/>
      <c r="AN334" s="970"/>
      <c r="AO334" s="970"/>
      <c r="AP334" s="1402"/>
      <c r="AQ334" s="970"/>
      <c r="AR334" s="970"/>
      <c r="AS334" s="970"/>
      <c r="AT334" s="970"/>
      <c r="AU334" s="1402"/>
      <c r="AV334" s="970"/>
      <c r="AW334" s="970"/>
      <c r="AX334" s="970"/>
      <c r="AY334" s="970"/>
      <c r="AZ334" s="1402"/>
      <c r="BA334" s="970"/>
      <c r="BB334" s="970"/>
      <c r="BC334" s="970"/>
      <c r="BD334" s="970"/>
      <c r="BE334" s="1402"/>
      <c r="BF334" s="970"/>
      <c r="BG334" s="970"/>
      <c r="BH334" s="971"/>
      <c r="BI334" s="972"/>
      <c r="BJ334" s="1403"/>
      <c r="BK334" s="972"/>
      <c r="BL334" s="972"/>
      <c r="BM334" s="972"/>
      <c r="BN334" s="972"/>
      <c r="BO334" s="1403"/>
      <c r="BP334" s="1402"/>
      <c r="BQ334" s="1402"/>
      <c r="BR334" s="1403"/>
      <c r="BS334" s="965"/>
    </row>
    <row r="335" spans="1:71" s="966" customFormat="1" ht="15" hidden="1" outlineLevel="2">
      <c r="A335" s="959" t="s">
        <v>647</v>
      </c>
      <c r="B335" s="960"/>
      <c r="C335" s="1401"/>
      <c r="D335" s="1401"/>
      <c r="E335" s="1401"/>
      <c r="F335" s="1401"/>
      <c r="G335" s="1399">
        <v>0.08</v>
      </c>
      <c r="H335" s="962"/>
      <c r="I335" s="1245">
        <v>0.070000000000000007</v>
      </c>
      <c r="J335" s="962"/>
      <c r="K335" s="962"/>
      <c r="L335" s="1399">
        <v>-0.04</v>
      </c>
      <c r="M335" s="1245">
        <v>-0.06</v>
      </c>
      <c r="N335" s="1245">
        <v>-0.02</v>
      </c>
      <c r="O335" s="1245">
        <v>0</v>
      </c>
      <c r="P335" s="962"/>
      <c r="Q335" s="1399">
        <v>0.05</v>
      </c>
      <c r="R335" s="1245">
        <v>0.06</v>
      </c>
      <c r="S335" s="1245">
        <v>0.06</v>
      </c>
      <c r="T335" s="1245">
        <v>0.05</v>
      </c>
      <c r="U335" s="962"/>
      <c r="V335" s="1399">
        <v>0.01</v>
      </c>
      <c r="W335" s="1245">
        <v>-0.04</v>
      </c>
      <c r="X335" s="1245">
        <v>0.01</v>
      </c>
      <c r="Y335" s="1245">
        <v>0.08</v>
      </c>
      <c r="Z335" s="962"/>
      <c r="AA335" s="1399">
        <v>0.10000000000000001</v>
      </c>
      <c r="AB335" s="1245">
        <v>0.14000000000000001</v>
      </c>
      <c r="AC335" s="1245">
        <v>0.04</v>
      </c>
      <c r="AD335" s="1245">
        <v>-0.02</v>
      </c>
      <c r="AE335" s="962"/>
      <c r="AF335" s="1399">
        <v>-0.05</v>
      </c>
      <c r="AG335" s="1245">
        <v>-0.05</v>
      </c>
      <c r="AH335" s="1245">
        <v>-0.02</v>
      </c>
      <c r="AI335" s="1245">
        <v>-0.02</v>
      </c>
      <c r="AJ335" s="962"/>
      <c r="AK335" s="1399">
        <v>-0.03</v>
      </c>
      <c r="AL335" s="1245">
        <v>-0.04</v>
      </c>
      <c r="AM335" s="1245">
        <v>0</v>
      </c>
      <c r="AN335" s="1245">
        <v>0.08</v>
      </c>
      <c r="AO335" s="962"/>
      <c r="AP335" s="1399">
        <v>0.06</v>
      </c>
      <c r="AQ335" s="1245">
        <v>0.13</v>
      </c>
      <c r="AR335" s="962"/>
      <c r="AS335" s="1245">
        <v>0.11</v>
      </c>
      <c r="AT335" s="962"/>
      <c r="AU335" s="1399">
        <v>0.02</v>
      </c>
      <c r="AV335" s="1245">
        <v>-0.12</v>
      </c>
      <c r="AW335" s="1245">
        <v>-0.28999999999999998</v>
      </c>
      <c r="AX335" s="1245">
        <v>-0.27000000000000002</v>
      </c>
      <c r="AY335" s="962"/>
      <c r="AZ335" s="1399">
        <v>-0.06</v>
      </c>
      <c r="BA335" s="1245">
        <v>0.10000000000000001</v>
      </c>
      <c r="BB335" s="1245">
        <v>0.35</v>
      </c>
      <c r="BC335" s="1245">
        <v>0.28999999999999998</v>
      </c>
      <c r="BD335" s="962"/>
      <c r="BE335" s="1399">
        <v>0.06</v>
      </c>
      <c r="BF335" s="1245">
        <v>-0.06</v>
      </c>
      <c r="BG335" s="1245">
        <v>-0.10000000000000001</v>
      </c>
      <c r="BH335" s="1246">
        <v>-0.09</v>
      </c>
      <c r="BI335" s="963"/>
      <c r="BJ335" s="1400"/>
      <c r="BK335" s="963"/>
      <c r="BL335" s="963"/>
      <c r="BM335" s="963"/>
      <c r="BN335" s="963"/>
      <c r="BO335" s="1400"/>
      <c r="BP335" s="1401"/>
      <c r="BQ335" s="1401"/>
      <c r="BR335" s="1400"/>
      <c r="BS335" s="965"/>
    </row>
    <row r="336" spans="1:71" s="966" customFormat="1" ht="15" hidden="1" outlineLevel="2">
      <c r="A336" s="959" t="s">
        <v>648</v>
      </c>
      <c r="B336" s="960"/>
      <c r="C336" s="1399">
        <v>0.03</v>
      </c>
      <c r="D336" s="1399">
        <v>0.02</v>
      </c>
      <c r="E336" s="1399">
        <v>-0.03</v>
      </c>
      <c r="F336" s="1399">
        <v>-0.02</v>
      </c>
      <c r="G336" s="1399">
        <v>-0.02</v>
      </c>
      <c r="H336" s="1245">
        <v>0.03</v>
      </c>
      <c r="I336" s="1245">
        <v>0.06</v>
      </c>
      <c r="J336" s="962"/>
      <c r="K336" s="962"/>
      <c r="L336" s="1399">
        <v>0.03</v>
      </c>
      <c r="M336" s="1245">
        <v>-0.01</v>
      </c>
      <c r="N336" s="1245">
        <v>-0.03</v>
      </c>
      <c r="O336" s="1245">
        <v>-0.03</v>
      </c>
      <c r="P336" s="962"/>
      <c r="Q336" s="1399">
        <v>0</v>
      </c>
      <c r="R336" s="1245">
        <v>0.03</v>
      </c>
      <c r="S336" s="1245">
        <v>0.04</v>
      </c>
      <c r="T336" s="1245">
        <v>0.06</v>
      </c>
      <c r="U336" s="962"/>
      <c r="V336" s="1399">
        <v>0.04</v>
      </c>
      <c r="W336" s="1245">
        <v>0.03</v>
      </c>
      <c r="X336" s="1245">
        <v>0.02</v>
      </c>
      <c r="Y336" s="1245">
        <v>0.02</v>
      </c>
      <c r="Z336" s="962"/>
      <c r="AA336" s="1399">
        <v>0.04</v>
      </c>
      <c r="AB336" s="1245">
        <v>0.08</v>
      </c>
      <c r="AC336" s="1245">
        <v>0.09</v>
      </c>
      <c r="AD336" s="1245">
        <v>0.05</v>
      </c>
      <c r="AE336" s="962"/>
      <c r="AF336" s="1399">
        <v>0.01</v>
      </c>
      <c r="AG336" s="1245">
        <v>-0.03</v>
      </c>
      <c r="AH336" s="1245">
        <v>-0.04</v>
      </c>
      <c r="AI336" s="1245">
        <v>-0.03</v>
      </c>
      <c r="AJ336" s="962"/>
      <c r="AK336" s="1399">
        <v>-0.03</v>
      </c>
      <c r="AL336" s="1245">
        <v>-0.02</v>
      </c>
      <c r="AM336" s="1245">
        <v>0.05</v>
      </c>
      <c r="AN336" s="1245">
        <v>0.070000000000000007</v>
      </c>
      <c r="AO336" s="962"/>
      <c r="AP336" s="1399">
        <v>0.10000000000000001</v>
      </c>
      <c r="AQ336" s="1245">
        <v>0.14000000000000001</v>
      </c>
      <c r="AR336" s="1245">
        <v>0.03</v>
      </c>
      <c r="AS336" s="1245">
        <v>0.04</v>
      </c>
      <c r="AT336" s="962"/>
      <c r="AU336" s="1399">
        <v>0.03</v>
      </c>
      <c r="AV336" s="1245">
        <v>-0.04</v>
      </c>
      <c r="AW336" s="1245">
        <v>-0.09</v>
      </c>
      <c r="AX336" s="1245">
        <v>-0.18</v>
      </c>
      <c r="AY336" s="962"/>
      <c r="AZ336" s="1399">
        <v>-0.19</v>
      </c>
      <c r="BA336" s="1245">
        <v>-0.14000000000000001</v>
      </c>
      <c r="BB336" s="1245">
        <v>0.02</v>
      </c>
      <c r="BC336" s="1245">
        <v>0.17</v>
      </c>
      <c r="BD336" s="962"/>
      <c r="BE336" s="1399">
        <v>0.19</v>
      </c>
      <c r="BF336" s="1245">
        <v>0.13</v>
      </c>
      <c r="BG336" s="1245">
        <v>0.02</v>
      </c>
      <c r="BH336" s="1246">
        <v>-0.06</v>
      </c>
      <c r="BI336" s="963"/>
      <c r="BJ336" s="1400"/>
      <c r="BK336" s="963"/>
      <c r="BL336" s="963"/>
      <c r="BM336" s="963"/>
      <c r="BN336" s="963"/>
      <c r="BO336" s="1400"/>
      <c r="BP336" s="1401"/>
      <c r="BQ336" s="1401"/>
      <c r="BR336" s="1400"/>
      <c r="BS336" s="965"/>
    </row>
    <row r="337" spans="1:71" s="974" customFormat="1" ht="7.5" customHeight="1" hidden="1" outlineLevel="2">
      <c r="A337" s="975"/>
      <c r="B337" s="968"/>
      <c r="C337" s="1402"/>
      <c r="D337" s="1402"/>
      <c r="E337" s="1402"/>
      <c r="F337" s="1402"/>
      <c r="G337" s="1402"/>
      <c r="H337" s="970"/>
      <c r="I337" s="970"/>
      <c r="J337" s="970"/>
      <c r="K337" s="970"/>
      <c r="L337" s="1402"/>
      <c r="M337" s="970"/>
      <c r="N337" s="970"/>
      <c r="O337" s="970"/>
      <c r="P337" s="970"/>
      <c r="Q337" s="1402"/>
      <c r="R337" s="970"/>
      <c r="S337" s="970"/>
      <c r="T337" s="970"/>
      <c r="U337" s="970"/>
      <c r="V337" s="1402"/>
      <c r="W337" s="970"/>
      <c r="X337" s="970"/>
      <c r="Y337" s="970"/>
      <c r="Z337" s="970"/>
      <c r="AA337" s="1402"/>
      <c r="AB337" s="970"/>
      <c r="AC337" s="970"/>
      <c r="AD337" s="970"/>
      <c r="AE337" s="970"/>
      <c r="AF337" s="1402"/>
      <c r="AG337" s="970"/>
      <c r="AH337" s="970"/>
      <c r="AI337" s="970"/>
      <c r="AJ337" s="970"/>
      <c r="AK337" s="1402"/>
      <c r="AL337" s="970"/>
      <c r="AM337" s="970"/>
      <c r="AN337" s="970"/>
      <c r="AO337" s="970"/>
      <c r="AP337" s="1402"/>
      <c r="AQ337" s="970"/>
      <c r="AR337" s="970"/>
      <c r="AS337" s="970"/>
      <c r="AT337" s="970"/>
      <c r="AU337" s="1402"/>
      <c r="AV337" s="970"/>
      <c r="AW337" s="970"/>
      <c r="AX337" s="970"/>
      <c r="AY337" s="970"/>
      <c r="AZ337" s="1402"/>
      <c r="BA337" s="970"/>
      <c r="BB337" s="970"/>
      <c r="BC337" s="970"/>
      <c r="BD337" s="970"/>
      <c r="BE337" s="1402"/>
      <c r="BF337" s="970"/>
      <c r="BG337" s="970"/>
      <c r="BH337" s="971"/>
      <c r="BI337" s="972"/>
      <c r="BJ337" s="1403"/>
      <c r="BK337" s="972"/>
      <c r="BL337" s="972"/>
      <c r="BM337" s="972"/>
      <c r="BN337" s="972"/>
      <c r="BO337" s="1403"/>
      <c r="BP337" s="1402"/>
      <c r="BQ337" s="1402"/>
      <c r="BR337" s="1403"/>
      <c r="BS337" s="965"/>
    </row>
    <row r="338" spans="1:71" s="966" customFormat="1" ht="15" hidden="1" outlineLevel="2">
      <c r="A338" s="976" t="s">
        <v>649</v>
      </c>
      <c r="B338" s="960"/>
      <c r="C338" s="1399">
        <v>0.06</v>
      </c>
      <c r="D338" s="1399">
        <v>0.070000000000000007</v>
      </c>
      <c r="E338" s="1399">
        <v>-0.01</v>
      </c>
      <c r="F338" s="1399">
        <v>-0.01</v>
      </c>
      <c r="G338" s="1399">
        <v>-0.01</v>
      </c>
      <c r="H338" s="1245">
        <v>0.05</v>
      </c>
      <c r="I338" s="1245">
        <v>-0.02</v>
      </c>
      <c r="J338" s="1245">
        <v>-0.03</v>
      </c>
      <c r="K338" s="962"/>
      <c r="L338" s="1399">
        <v>0.01</v>
      </c>
      <c r="M338" s="1245">
        <v>0.06</v>
      </c>
      <c r="N338" s="1245">
        <v>0.070000000000000007</v>
      </c>
      <c r="O338" s="1245">
        <v>0.10000000000000001</v>
      </c>
      <c r="P338" s="962"/>
      <c r="Q338" s="1399">
        <v>0.070000000000000007</v>
      </c>
      <c r="R338" s="1245">
        <v>0.14999999999999999</v>
      </c>
      <c r="S338" s="1245">
        <v>0.14999999999999999</v>
      </c>
      <c r="T338" s="1245">
        <v>0.09</v>
      </c>
      <c r="U338" s="962"/>
      <c r="V338" s="1399">
        <v>0.12</v>
      </c>
      <c r="W338" s="1245">
        <v>0.05</v>
      </c>
      <c r="X338" s="1245">
        <v>0.09</v>
      </c>
      <c r="Y338" s="1245">
        <v>0.20</v>
      </c>
      <c r="Z338" s="962"/>
      <c r="AA338" s="1399">
        <v>0.14999999999999999</v>
      </c>
      <c r="AB338" s="1245">
        <v>0.21</v>
      </c>
      <c r="AC338" s="1245">
        <v>0.21</v>
      </c>
      <c r="AD338" s="1245">
        <v>0.17</v>
      </c>
      <c r="AE338" s="962"/>
      <c r="AF338" s="1399">
        <v>0.17</v>
      </c>
      <c r="AG338" s="1245">
        <v>0.08</v>
      </c>
      <c r="AH338" s="1245">
        <v>0.05</v>
      </c>
      <c r="AI338" s="1245">
        <v>0.05</v>
      </c>
      <c r="AJ338" s="962"/>
      <c r="AK338" s="1399">
        <v>0.08</v>
      </c>
      <c r="AL338" s="1245">
        <v>0.02</v>
      </c>
      <c r="AM338" s="1245">
        <v>0.02</v>
      </c>
      <c r="AN338" s="1245">
        <v>0.11</v>
      </c>
      <c r="AO338" s="962"/>
      <c r="AP338" s="1399">
        <v>0.03</v>
      </c>
      <c r="AQ338" s="1245">
        <v>0.14000000000000001</v>
      </c>
      <c r="AR338" s="1245">
        <v>0.070000000000000007</v>
      </c>
      <c r="AS338" s="1245">
        <v>-0.14999999999999999</v>
      </c>
      <c r="AT338" s="962"/>
      <c r="AU338" s="1399">
        <v>-0.02</v>
      </c>
      <c r="AV338" s="1245">
        <v>-0.24</v>
      </c>
      <c r="AW338" s="1245">
        <v>-0.13</v>
      </c>
      <c r="AX338" s="1245">
        <v>0.16</v>
      </c>
      <c r="AY338" s="962"/>
      <c r="AZ338" s="1399">
        <v>0.01</v>
      </c>
      <c r="BA338" s="1245">
        <v>0.70</v>
      </c>
      <c r="BB338" s="1245">
        <v>0.31</v>
      </c>
      <c r="BC338" s="1245">
        <v>-0.14999999999999999</v>
      </c>
      <c r="BD338" s="962"/>
      <c r="BE338" s="1399">
        <v>0.14000000000000001</v>
      </c>
      <c r="BF338" s="1245">
        <v>-0.070000000000000007</v>
      </c>
      <c r="BG338" s="1245">
        <v>0.28999999999999998</v>
      </c>
      <c r="BH338" s="1246">
        <v>0.90</v>
      </c>
      <c r="BI338" s="963"/>
      <c r="BJ338" s="1400"/>
      <c r="BK338" s="963"/>
      <c r="BL338" s="963"/>
      <c r="BM338" s="963"/>
      <c r="BN338" s="963"/>
      <c r="BO338" s="1400"/>
      <c r="BP338" s="1401"/>
      <c r="BQ338" s="1401"/>
      <c r="BR338" s="1400"/>
      <c r="BS338" s="965"/>
    </row>
    <row r="339" spans="1:71" s="966" customFormat="1" ht="15" hidden="1" outlineLevel="2">
      <c r="A339" s="976" t="s">
        <v>650</v>
      </c>
      <c r="B339" s="960"/>
      <c r="C339" s="1399">
        <v>0.06</v>
      </c>
      <c r="D339" s="1399">
        <v>0.05</v>
      </c>
      <c r="E339" s="1399">
        <v>0.070000000000000007</v>
      </c>
      <c r="F339" s="1399">
        <v>0.06</v>
      </c>
      <c r="G339" s="1399">
        <v>0.03</v>
      </c>
      <c r="H339" s="1245">
        <v>0.03</v>
      </c>
      <c r="I339" s="1245">
        <v>0.03</v>
      </c>
      <c r="J339" s="1245">
        <v>0.04</v>
      </c>
      <c r="K339" s="962"/>
      <c r="L339" s="1399">
        <v>0.05</v>
      </c>
      <c r="M339" s="1245">
        <v>0.04</v>
      </c>
      <c r="N339" s="1245">
        <v>0.02</v>
      </c>
      <c r="O339" s="1245">
        <v>0.02</v>
      </c>
      <c r="P339" s="962"/>
      <c r="Q339" s="1399">
        <v>0.01</v>
      </c>
      <c r="R339" s="1245">
        <v>0.02</v>
      </c>
      <c r="S339" s="1245">
        <v>0.04</v>
      </c>
      <c r="T339" s="1245">
        <v>0.05</v>
      </c>
      <c r="U339" s="962"/>
      <c r="V339" s="1399">
        <v>0.05</v>
      </c>
      <c r="W339" s="1245">
        <v>0.070000000000000007</v>
      </c>
      <c r="X339" s="1245">
        <v>0.06</v>
      </c>
      <c r="Y339" s="1245">
        <v>0.070000000000000007</v>
      </c>
      <c r="Z339" s="962"/>
      <c r="AA339" s="1399">
        <v>0.070000000000000007</v>
      </c>
      <c r="AB339" s="1245">
        <v>0.11</v>
      </c>
      <c r="AC339" s="1245">
        <v>0.09</v>
      </c>
      <c r="AD339" s="1245">
        <v>0.11</v>
      </c>
      <c r="AE339" s="962"/>
      <c r="AF339" s="1399">
        <v>0.11</v>
      </c>
      <c r="AG339" s="1245">
        <v>0.12</v>
      </c>
      <c r="AH339" s="1245">
        <v>0.11</v>
      </c>
      <c r="AI339" s="1245">
        <v>0.11</v>
      </c>
      <c r="AJ339" s="962"/>
      <c r="AK339" s="1399">
        <v>0.13</v>
      </c>
      <c r="AL339" s="1245">
        <v>0.10000000000000001</v>
      </c>
      <c r="AM339" s="1245">
        <v>0.12</v>
      </c>
      <c r="AN339" s="1245">
        <v>0.12</v>
      </c>
      <c r="AO339" s="962"/>
      <c r="AP339" s="1399">
        <v>0.08</v>
      </c>
      <c r="AQ339" s="1245">
        <v>0.14000000000000001</v>
      </c>
      <c r="AR339" s="1245">
        <v>0.09</v>
      </c>
      <c r="AS339" s="1245">
        <v>0.11</v>
      </c>
      <c r="AT339" s="962"/>
      <c r="AU339" s="1399">
        <v>0.11</v>
      </c>
      <c r="AV339" s="1245">
        <v>0.05</v>
      </c>
      <c r="AW339" s="1245">
        <v>0.02</v>
      </c>
      <c r="AX339" s="1245">
        <v>-0.02</v>
      </c>
      <c r="AY339" s="962"/>
      <c r="AZ339" s="1399">
        <v>0.01</v>
      </c>
      <c r="BA339" s="1245">
        <v>0.01</v>
      </c>
      <c r="BB339" s="1245">
        <v>0.070000000000000007</v>
      </c>
      <c r="BC339" s="1245">
        <v>0.14999999999999999</v>
      </c>
      <c r="BD339" s="962"/>
      <c r="BE339" s="1399">
        <v>0.10000000000000001</v>
      </c>
      <c r="BF339" s="1245">
        <v>0.10000000000000001</v>
      </c>
      <c r="BG339" s="1245">
        <v>0.08</v>
      </c>
      <c r="BH339" s="1246">
        <v>0.09</v>
      </c>
      <c r="BI339" s="963"/>
      <c r="BJ339" s="1400"/>
      <c r="BK339" s="963"/>
      <c r="BL339" s="963"/>
      <c r="BM339" s="963"/>
      <c r="BN339" s="963"/>
      <c r="BO339" s="1400"/>
      <c r="BP339" s="1401"/>
      <c r="BQ339" s="1401"/>
      <c r="BR339" s="1400"/>
      <c r="BS339" s="965"/>
    </row>
    <row r="340" spans="1:71" s="974" customFormat="1" ht="7.5" customHeight="1" hidden="1" outlineLevel="2">
      <c r="A340" s="975"/>
      <c r="B340" s="968"/>
      <c r="C340" s="1402"/>
      <c r="D340" s="1402"/>
      <c r="E340" s="1402"/>
      <c r="F340" s="1402"/>
      <c r="G340" s="1402"/>
      <c r="H340" s="970"/>
      <c r="I340" s="970"/>
      <c r="J340" s="970"/>
      <c r="K340" s="970"/>
      <c r="L340" s="1402"/>
      <c r="M340" s="970"/>
      <c r="N340" s="970"/>
      <c r="O340" s="970"/>
      <c r="P340" s="970"/>
      <c r="Q340" s="1402"/>
      <c r="R340" s="970"/>
      <c r="S340" s="970"/>
      <c r="T340" s="970"/>
      <c r="U340" s="970"/>
      <c r="V340" s="1402"/>
      <c r="W340" s="970"/>
      <c r="X340" s="970"/>
      <c r="Y340" s="970"/>
      <c r="Z340" s="970"/>
      <c r="AA340" s="1402"/>
      <c r="AB340" s="970"/>
      <c r="AC340" s="970"/>
      <c r="AD340" s="970"/>
      <c r="AE340" s="970"/>
      <c r="AF340" s="1402"/>
      <c r="AG340" s="970"/>
      <c r="AH340" s="970"/>
      <c r="AI340" s="970"/>
      <c r="AJ340" s="970"/>
      <c r="AK340" s="1402"/>
      <c r="AL340" s="970"/>
      <c r="AM340" s="970"/>
      <c r="AN340" s="970"/>
      <c r="AO340" s="970"/>
      <c r="AP340" s="1402"/>
      <c r="AQ340" s="970"/>
      <c r="AR340" s="970"/>
      <c r="AS340" s="970"/>
      <c r="AT340" s="970"/>
      <c r="AU340" s="1402"/>
      <c r="AV340" s="970"/>
      <c r="AW340" s="970"/>
      <c r="AX340" s="970"/>
      <c r="AY340" s="970"/>
      <c r="AZ340" s="1402"/>
      <c r="BA340" s="970"/>
      <c r="BB340" s="970"/>
      <c r="BC340" s="970"/>
      <c r="BD340" s="970"/>
      <c r="BE340" s="1402"/>
      <c r="BF340" s="970"/>
      <c r="BG340" s="970"/>
      <c r="BH340" s="971"/>
      <c r="BI340" s="972"/>
      <c r="BJ340" s="1403"/>
      <c r="BK340" s="972"/>
      <c r="BL340" s="972"/>
      <c r="BM340" s="972"/>
      <c r="BN340" s="972"/>
      <c r="BO340" s="1403"/>
      <c r="BP340" s="1402"/>
      <c r="BQ340" s="1402"/>
      <c r="BR340" s="1403"/>
      <c r="BS340" s="965"/>
    </row>
    <row r="341" spans="1:71" s="966" customFormat="1" ht="15" hidden="1" outlineLevel="2">
      <c r="A341" s="976" t="s">
        <v>651</v>
      </c>
      <c r="B341" s="960"/>
      <c r="C341" s="1399">
        <v>-0.02</v>
      </c>
      <c r="D341" s="1399">
        <v>-0.01</v>
      </c>
      <c r="E341" s="1399">
        <v>-0.01</v>
      </c>
      <c r="F341" s="1399">
        <v>0.03</v>
      </c>
      <c r="G341" s="1399">
        <v>0.04</v>
      </c>
      <c r="H341" s="1245">
        <v>0.02</v>
      </c>
      <c r="I341" s="1245">
        <v>0.03</v>
      </c>
      <c r="J341" s="1245">
        <v>0.04</v>
      </c>
      <c r="K341" s="962"/>
      <c r="L341" s="1399">
        <v>0.03</v>
      </c>
      <c r="M341" s="1245">
        <v>0.04</v>
      </c>
      <c r="N341" s="1245">
        <v>0.04</v>
      </c>
      <c r="O341" s="1245">
        <v>0.04</v>
      </c>
      <c r="P341" s="962"/>
      <c r="Q341" s="1399">
        <v>0.04</v>
      </c>
      <c r="R341" s="1245">
        <v>0.04</v>
      </c>
      <c r="S341" s="1245">
        <v>0.04</v>
      </c>
      <c r="T341" s="1245">
        <v>0.05</v>
      </c>
      <c r="U341" s="962"/>
      <c r="V341" s="1399">
        <v>0.05</v>
      </c>
      <c r="W341" s="1245">
        <v>0.06</v>
      </c>
      <c r="X341" s="1245">
        <v>0.06</v>
      </c>
      <c r="Y341" s="1245">
        <v>0.05</v>
      </c>
      <c r="Z341" s="962"/>
      <c r="AA341" s="1399">
        <v>0.05</v>
      </c>
      <c r="AB341" s="1245">
        <v>0.05</v>
      </c>
      <c r="AC341" s="1245">
        <v>0.05</v>
      </c>
      <c r="AD341" s="1245">
        <v>0.04</v>
      </c>
      <c r="AE341" s="962"/>
      <c r="AF341" s="1399">
        <v>0.04</v>
      </c>
      <c r="AG341" s="1245">
        <v>0.03</v>
      </c>
      <c r="AH341" s="1245">
        <v>0.02</v>
      </c>
      <c r="AI341" s="1245">
        <v>0.02</v>
      </c>
      <c r="AJ341" s="962"/>
      <c r="AK341" s="1399">
        <v>0.02</v>
      </c>
      <c r="AL341" s="1245">
        <v>0.01</v>
      </c>
      <c r="AM341" s="1245">
        <v>0</v>
      </c>
      <c r="AN341" s="1245">
        <v>-0.02</v>
      </c>
      <c r="AO341" s="962"/>
      <c r="AP341" s="1399">
        <v>-0.01</v>
      </c>
      <c r="AQ341" s="1245">
        <v>-0.03</v>
      </c>
      <c r="AR341" s="1245">
        <v>-0.02</v>
      </c>
      <c r="AS341" s="1245">
        <v>0.01</v>
      </c>
      <c r="AT341" s="962"/>
      <c r="AU341" s="1399">
        <v>0</v>
      </c>
      <c r="AV341" s="1245">
        <v>0.06</v>
      </c>
      <c r="AW341" s="1245">
        <v>0.11</v>
      </c>
      <c r="AX341" s="1245">
        <v>0.10000000000000001</v>
      </c>
      <c r="AY341" s="962"/>
      <c r="AZ341" s="1399">
        <v>0.09</v>
      </c>
      <c r="BA341" s="1245">
        <v>0.08</v>
      </c>
      <c r="BB341" s="1245">
        <v>0.070000000000000007</v>
      </c>
      <c r="BC341" s="1245">
        <v>0.12</v>
      </c>
      <c r="BD341" s="962"/>
      <c r="BE341" s="1399">
        <v>0.10000000000000001</v>
      </c>
      <c r="BF341" s="1245">
        <v>0.14000000000000001</v>
      </c>
      <c r="BG341" s="1245">
        <v>0.11</v>
      </c>
      <c r="BH341" s="1246">
        <v>0.05</v>
      </c>
      <c r="BI341" s="963"/>
      <c r="BJ341" s="1400"/>
      <c r="BK341" s="963"/>
      <c r="BL341" s="963"/>
      <c r="BM341" s="963"/>
      <c r="BN341" s="963"/>
      <c r="BO341" s="1400"/>
      <c r="BP341" s="1401"/>
      <c r="BQ341" s="1401"/>
      <c r="BR341" s="1400"/>
      <c r="BS341" s="965"/>
    </row>
    <row r="342" spans="1:71" s="974" customFormat="1" ht="7.5" customHeight="1" hidden="1" outlineLevel="2">
      <c r="A342" s="975"/>
      <c r="B342" s="968"/>
      <c r="C342" s="1402"/>
      <c r="D342" s="1402"/>
      <c r="E342" s="1402"/>
      <c r="F342" s="1402"/>
      <c r="G342" s="1402"/>
      <c r="H342" s="970"/>
      <c r="I342" s="970"/>
      <c r="J342" s="970"/>
      <c r="K342" s="970"/>
      <c r="L342" s="1402"/>
      <c r="M342" s="970"/>
      <c r="N342" s="970"/>
      <c r="O342" s="970"/>
      <c r="P342" s="970"/>
      <c r="Q342" s="1402"/>
      <c r="R342" s="970"/>
      <c r="S342" s="970"/>
      <c r="T342" s="970"/>
      <c r="U342" s="970"/>
      <c r="V342" s="1402"/>
      <c r="W342" s="970"/>
      <c r="X342" s="970"/>
      <c r="Y342" s="970"/>
      <c r="Z342" s="970"/>
      <c r="AA342" s="1402"/>
      <c r="AB342" s="970"/>
      <c r="AC342" s="970"/>
      <c r="AD342" s="970"/>
      <c r="AE342" s="970"/>
      <c r="AF342" s="1402"/>
      <c r="AG342" s="970"/>
      <c r="AH342" s="970"/>
      <c r="AI342" s="970"/>
      <c r="AJ342" s="970"/>
      <c r="AK342" s="1402"/>
      <c r="AL342" s="970"/>
      <c r="AM342" s="970"/>
      <c r="AN342" s="970"/>
      <c r="AO342" s="970"/>
      <c r="AP342" s="1402"/>
      <c r="AQ342" s="970"/>
      <c r="AR342" s="970"/>
      <c r="AS342" s="970"/>
      <c r="AT342" s="970"/>
      <c r="AU342" s="1402"/>
      <c r="AV342" s="970"/>
      <c r="AW342" s="970"/>
      <c r="AX342" s="970"/>
      <c r="AY342" s="970"/>
      <c r="AZ342" s="1402"/>
      <c r="BA342" s="970"/>
      <c r="BB342" s="970"/>
      <c r="BC342" s="970"/>
      <c r="BD342" s="970"/>
      <c r="BE342" s="1402"/>
      <c r="BF342" s="970"/>
      <c r="BG342" s="970"/>
      <c r="BH342" s="971"/>
      <c r="BI342" s="972"/>
      <c r="BJ342" s="1403"/>
      <c r="BK342" s="972"/>
      <c r="BL342" s="972"/>
      <c r="BM342" s="972"/>
      <c r="BN342" s="972"/>
      <c r="BO342" s="1403"/>
      <c r="BP342" s="1402"/>
      <c r="BQ342" s="1402"/>
      <c r="BR342" s="1403"/>
      <c r="BS342" s="965"/>
    </row>
    <row r="343" spans="1:71" s="966" customFormat="1" ht="15" hidden="1" outlineLevel="2">
      <c r="A343" s="976" t="s">
        <v>652</v>
      </c>
      <c r="B343" s="960"/>
      <c r="C343" s="1401"/>
      <c r="D343" s="1401"/>
      <c r="E343" s="1401"/>
      <c r="F343" s="1401"/>
      <c r="G343" s="1399">
        <v>0.04</v>
      </c>
      <c r="H343" s="1245">
        <v>0.10000000000000001</v>
      </c>
      <c r="I343" s="1245">
        <v>0.03</v>
      </c>
      <c r="J343" s="1245">
        <v>-0.03</v>
      </c>
      <c r="K343" s="962"/>
      <c r="L343" s="1399">
        <v>-0.06</v>
      </c>
      <c r="M343" s="1245">
        <v>-0.070000000000000007</v>
      </c>
      <c r="N343" s="1245">
        <v>-0.04</v>
      </c>
      <c r="O343" s="1245">
        <v>0</v>
      </c>
      <c r="P343" s="962"/>
      <c r="Q343" s="1399">
        <v>0.05</v>
      </c>
      <c r="R343" s="1245">
        <v>0.05</v>
      </c>
      <c r="S343" s="1245">
        <v>0.06</v>
      </c>
      <c r="T343" s="1245">
        <v>0.070000000000000007</v>
      </c>
      <c r="U343" s="962"/>
      <c r="V343" s="1399">
        <v>0.03</v>
      </c>
      <c r="W343" s="1245">
        <v>-0.01</v>
      </c>
      <c r="X343" s="1245">
        <v>0.04</v>
      </c>
      <c r="Y343" s="1245">
        <v>0.10000000000000001</v>
      </c>
      <c r="Z343" s="962"/>
      <c r="AA343" s="1399">
        <v>0.12</v>
      </c>
      <c r="AB343" s="1245">
        <v>0.14000000000000001</v>
      </c>
      <c r="AC343" s="1245">
        <v>0.05</v>
      </c>
      <c r="AD343" s="1245">
        <v>0</v>
      </c>
      <c r="AE343" s="962"/>
      <c r="AF343" s="1399">
        <v>-0.04</v>
      </c>
      <c r="AG343" s="1245">
        <v>-0.02</v>
      </c>
      <c r="AH343" s="1245">
        <v>0.01</v>
      </c>
      <c r="AI343" s="1245">
        <v>0.01</v>
      </c>
      <c r="AJ343" s="962"/>
      <c r="AK343" s="1399">
        <v>0</v>
      </c>
      <c r="AL343" s="1245">
        <v>-0.01</v>
      </c>
      <c r="AM343" s="962"/>
      <c r="AN343" s="1245">
        <v>0.070000000000000007</v>
      </c>
      <c r="AO343" s="962"/>
      <c r="AP343" s="1399">
        <v>0.070000000000000007</v>
      </c>
      <c r="AQ343" s="1245">
        <v>0.12</v>
      </c>
      <c r="AR343" s="962"/>
      <c r="AS343" s="1245">
        <v>0.10000000000000001</v>
      </c>
      <c r="AT343" s="962"/>
      <c r="AU343" s="1399">
        <v>-0.01</v>
      </c>
      <c r="AV343" s="1245">
        <v>-0.14999999999999999</v>
      </c>
      <c r="AW343" s="1245">
        <v>-0.32</v>
      </c>
      <c r="AX343" s="1245">
        <v>-0.30</v>
      </c>
      <c r="AY343" s="962"/>
      <c r="AZ343" s="1399">
        <v>-0.09</v>
      </c>
      <c r="BA343" s="1245">
        <v>0.10000000000000001</v>
      </c>
      <c r="BB343" s="1245">
        <v>0.40</v>
      </c>
      <c r="BC343" s="1245">
        <v>0.35</v>
      </c>
      <c r="BD343" s="962"/>
      <c r="BE343" s="1399">
        <v>0.14000000000000001</v>
      </c>
      <c r="BF343" s="1245">
        <v>0</v>
      </c>
      <c r="BG343" s="1245">
        <v>-0.05</v>
      </c>
      <c r="BH343" s="1246">
        <v>-0.06</v>
      </c>
      <c r="BI343" s="963"/>
      <c r="BJ343" s="1400"/>
      <c r="BK343" s="963"/>
      <c r="BL343" s="963"/>
      <c r="BM343" s="963"/>
      <c r="BN343" s="963"/>
      <c r="BO343" s="1400"/>
      <c r="BP343" s="1401"/>
      <c r="BQ343" s="1401"/>
      <c r="BR343" s="1400"/>
      <c r="BS343" s="965"/>
    </row>
    <row r="344" spans="1:71" s="966" customFormat="1" ht="15" hidden="1" outlineLevel="2">
      <c r="A344" s="976" t="s">
        <v>653</v>
      </c>
      <c r="B344" s="960"/>
      <c r="C344" s="1401"/>
      <c r="D344" s="1401"/>
      <c r="E344" s="1401"/>
      <c r="F344" s="1401"/>
      <c r="G344" s="1399">
        <v>-0.04</v>
      </c>
      <c r="H344" s="1245">
        <v>0</v>
      </c>
      <c r="I344" s="1245">
        <v>0.03</v>
      </c>
      <c r="J344" s="1245">
        <v>0.02</v>
      </c>
      <c r="K344" s="962"/>
      <c r="L344" s="1399">
        <v>0</v>
      </c>
      <c r="M344" s="1245">
        <v>-0.03</v>
      </c>
      <c r="N344" s="1245">
        <v>-0.04</v>
      </c>
      <c r="O344" s="1245">
        <v>-0.04</v>
      </c>
      <c r="P344" s="962"/>
      <c r="Q344" s="1399">
        <v>-0.01</v>
      </c>
      <c r="R344" s="1245">
        <v>0.02</v>
      </c>
      <c r="S344" s="1245">
        <v>0.04</v>
      </c>
      <c r="T344" s="1245">
        <v>0.06</v>
      </c>
      <c r="U344" s="962"/>
      <c r="V344" s="1399">
        <v>0.05</v>
      </c>
      <c r="W344" s="1245">
        <v>0.05</v>
      </c>
      <c r="X344" s="1245">
        <v>0.05</v>
      </c>
      <c r="Y344" s="1245">
        <v>0.05</v>
      </c>
      <c r="Z344" s="962"/>
      <c r="AA344" s="1399">
        <v>0.070000000000000007</v>
      </c>
      <c r="AB344" s="1245">
        <v>0.10000000000000001</v>
      </c>
      <c r="AC344" s="1245">
        <v>0.10000000000000001</v>
      </c>
      <c r="AD344" s="1245">
        <v>0.070000000000000007</v>
      </c>
      <c r="AE344" s="962"/>
      <c r="AF344" s="1399">
        <v>0.03</v>
      </c>
      <c r="AG344" s="1245">
        <v>-0.01</v>
      </c>
      <c r="AH344" s="1245">
        <v>-0.02</v>
      </c>
      <c r="AI344" s="1245">
        <v>-0.01</v>
      </c>
      <c r="AJ344" s="962"/>
      <c r="AK344" s="1399">
        <v>0</v>
      </c>
      <c r="AL344" s="1245">
        <v>0</v>
      </c>
      <c r="AM344" s="1245">
        <v>0.070000000000000007</v>
      </c>
      <c r="AN344" s="1245">
        <v>0.09</v>
      </c>
      <c r="AO344" s="962"/>
      <c r="AP344" s="1399">
        <v>0.10000000000000001</v>
      </c>
      <c r="AQ344" s="1245">
        <v>0.13</v>
      </c>
      <c r="AR344" s="1245">
        <v>0.03</v>
      </c>
      <c r="AS344" s="1245">
        <v>0.04</v>
      </c>
      <c r="AT344" s="962"/>
      <c r="AU344" s="1399">
        <v>0.02</v>
      </c>
      <c r="AV344" s="1245">
        <v>-0.05</v>
      </c>
      <c r="AW344" s="1245">
        <v>-0.11</v>
      </c>
      <c r="AX344" s="1245">
        <v>-0.21</v>
      </c>
      <c r="AY344" s="962"/>
      <c r="AZ344" s="1399">
        <v>-0.22</v>
      </c>
      <c r="BA344" s="1245">
        <v>-0.16</v>
      </c>
      <c r="BB344" s="1245">
        <v>0.01</v>
      </c>
      <c r="BC344" s="1245">
        <v>0.19</v>
      </c>
      <c r="BD344" s="962"/>
      <c r="BE344" s="1399">
        <v>0.24</v>
      </c>
      <c r="BF344" s="1245">
        <v>0.20</v>
      </c>
      <c r="BG344" s="1245">
        <v>0.09</v>
      </c>
      <c r="BH344" s="1246">
        <v>0</v>
      </c>
      <c r="BI344" s="963"/>
      <c r="BJ344" s="1400"/>
      <c r="BK344" s="963"/>
      <c r="BL344" s="963"/>
      <c r="BM344" s="963"/>
      <c r="BN344" s="963"/>
      <c r="BO344" s="1400"/>
      <c r="BP344" s="1401"/>
      <c r="BQ344" s="1401"/>
      <c r="BR344" s="1400"/>
      <c r="BS344" s="965"/>
    </row>
    <row r="345" spans="1:71" s="966" customFormat="1" ht="15" hidden="1" outlineLevel="2">
      <c r="A345" s="976"/>
      <c r="B345" s="960"/>
      <c r="C345" s="1401"/>
      <c r="D345" s="1401"/>
      <c r="E345" s="1401"/>
      <c r="F345" s="1401"/>
      <c r="G345" s="1401"/>
      <c r="H345" s="962"/>
      <c r="I345" s="962"/>
      <c r="J345" s="962"/>
      <c r="K345" s="962"/>
      <c r="L345" s="1401"/>
      <c r="M345" s="962"/>
      <c r="N345" s="962"/>
      <c r="O345" s="962"/>
      <c r="P345" s="962"/>
      <c r="Q345" s="1401"/>
      <c r="R345" s="962"/>
      <c r="S345" s="962"/>
      <c r="T345" s="962"/>
      <c r="U345" s="962"/>
      <c r="V345" s="1401"/>
      <c r="W345" s="962"/>
      <c r="X345" s="962"/>
      <c r="Y345" s="962"/>
      <c r="Z345" s="962"/>
      <c r="AA345" s="1401"/>
      <c r="AB345" s="962"/>
      <c r="AC345" s="962"/>
      <c r="AD345" s="962"/>
      <c r="AE345" s="962"/>
      <c r="AF345" s="1401"/>
      <c r="AG345" s="962"/>
      <c r="AH345" s="962"/>
      <c r="AI345" s="962"/>
      <c r="AJ345" s="962"/>
      <c r="AK345" s="1401"/>
      <c r="AL345" s="962"/>
      <c r="AM345" s="962"/>
      <c r="AN345" s="962"/>
      <c r="AO345" s="962"/>
      <c r="AP345" s="1401"/>
      <c r="AQ345" s="962"/>
      <c r="AR345" s="962"/>
      <c r="AS345" s="962"/>
      <c r="AT345" s="962"/>
      <c r="AU345" s="1401"/>
      <c r="AV345" s="962"/>
      <c r="AW345" s="962"/>
      <c r="AX345" s="962"/>
      <c r="AY345" s="962"/>
      <c r="AZ345" s="1401"/>
      <c r="BA345" s="962"/>
      <c r="BB345" s="962"/>
      <c r="BC345" s="962"/>
      <c r="BD345" s="962"/>
      <c r="BE345" s="1401"/>
      <c r="BF345" s="962"/>
      <c r="BG345" s="962"/>
      <c r="BH345" s="977"/>
      <c r="BI345" s="963"/>
      <c r="BJ345" s="1400"/>
      <c r="BK345" s="963"/>
      <c r="BL345" s="963"/>
      <c r="BM345" s="963"/>
      <c r="BN345" s="963"/>
      <c r="BO345" s="1400"/>
      <c r="BP345" s="1401"/>
      <c r="BQ345" s="1401"/>
      <c r="BR345" s="1400"/>
      <c r="BS345" s="965"/>
    </row>
    <row r="346" spans="1:71" s="966" customFormat="1" ht="15" hidden="1" outlineLevel="2">
      <c r="A346" s="976" t="s">
        <v>654</v>
      </c>
      <c r="B346" s="960"/>
      <c r="C346" s="1399">
        <v>-0.09</v>
      </c>
      <c r="D346" s="1399">
        <v>-0.01</v>
      </c>
      <c r="E346" s="1399">
        <v>-0.02</v>
      </c>
      <c r="F346" s="1399">
        <v>0.03</v>
      </c>
      <c r="G346" s="1399">
        <v>-0.06</v>
      </c>
      <c r="H346" s="1245">
        <v>-0.10000000000000001</v>
      </c>
      <c r="I346" s="1245">
        <v>-0.01</v>
      </c>
      <c r="J346" s="1245">
        <v>0.03</v>
      </c>
      <c r="K346" s="962"/>
      <c r="L346" s="1399">
        <v>0.01</v>
      </c>
      <c r="M346" s="1245">
        <v>0.19</v>
      </c>
      <c r="N346" s="1245">
        <v>0.10000000000000001</v>
      </c>
      <c r="O346" s="1245">
        <v>0.18</v>
      </c>
      <c r="P346" s="962"/>
      <c r="Q346" s="1399">
        <v>0.14999999999999999</v>
      </c>
      <c r="R346" s="1245">
        <v>0.23</v>
      </c>
      <c r="S346" s="1245">
        <v>0.21</v>
      </c>
      <c r="T346" s="1245">
        <v>0.08</v>
      </c>
      <c r="U346" s="962"/>
      <c r="V346" s="1399">
        <v>0.11</v>
      </c>
      <c r="W346" s="1245">
        <v>-0.20</v>
      </c>
      <c r="X346" s="1245">
        <v>-0.04</v>
      </c>
      <c r="Y346" s="1245">
        <v>0.05</v>
      </c>
      <c r="Z346" s="962"/>
      <c r="AA346" s="1399">
        <v>0.01</v>
      </c>
      <c r="AB346" s="1245">
        <v>0.27000000000000002</v>
      </c>
      <c r="AC346" s="1245">
        <v>0.09</v>
      </c>
      <c r="AD346" s="1245">
        <v>0.10000000000000001</v>
      </c>
      <c r="AE346" s="962"/>
      <c r="AF346" s="1399">
        <v>0.12</v>
      </c>
      <c r="AG346" s="1245">
        <v>0.11</v>
      </c>
      <c r="AH346" s="1245">
        <v>0.11</v>
      </c>
      <c r="AI346" s="1245">
        <v>0.08</v>
      </c>
      <c r="AJ346" s="962"/>
      <c r="AK346" s="1399">
        <v>0.11</v>
      </c>
      <c r="AL346" s="1245">
        <v>0.05</v>
      </c>
      <c r="AM346" s="1245">
        <v>-0.10000000000000001</v>
      </c>
      <c r="AN346" s="1245">
        <v>0.18</v>
      </c>
      <c r="AO346" s="962"/>
      <c r="AP346" s="1399">
        <v>0.05</v>
      </c>
      <c r="AQ346" s="1245">
        <v>0.28000000000000003</v>
      </c>
      <c r="AR346" s="1245">
        <v>0.52</v>
      </c>
      <c r="AS346" s="1245">
        <v>0.18</v>
      </c>
      <c r="AT346" s="962"/>
      <c r="AU346" s="1399">
        <v>0.27000000000000002</v>
      </c>
      <c r="AV346" s="1245">
        <v>0.08</v>
      </c>
      <c r="AW346" s="1245">
        <v>-0.06</v>
      </c>
      <c r="AX346" s="1245">
        <v>-0.06</v>
      </c>
      <c r="AY346" s="962"/>
      <c r="AZ346" s="1399">
        <v>-0.01</v>
      </c>
      <c r="BA346" s="1245">
        <v>0.02</v>
      </c>
      <c r="BB346" s="1245">
        <v>0.070000000000000007</v>
      </c>
      <c r="BC346" s="1245">
        <v>0.03</v>
      </c>
      <c r="BD346" s="962"/>
      <c r="BE346" s="1399">
        <v>0.04</v>
      </c>
      <c r="BF346" s="1245">
        <v>0.02</v>
      </c>
      <c r="BG346" s="1245">
        <v>0.070000000000000007</v>
      </c>
      <c r="BH346" s="1246">
        <v>0.11</v>
      </c>
      <c r="BI346" s="963"/>
      <c r="BJ346" s="1400"/>
      <c r="BK346" s="963"/>
      <c r="BL346" s="963"/>
      <c r="BM346" s="963"/>
      <c r="BN346" s="963"/>
      <c r="BO346" s="1400"/>
      <c r="BP346" s="1401"/>
      <c r="BQ346" s="1401"/>
      <c r="BR346" s="1400"/>
      <c r="BS346" s="965"/>
    </row>
    <row r="347" spans="1:71" s="966" customFormat="1" ht="15" hidden="1" outlineLevel="2">
      <c r="A347" s="976" t="s">
        <v>655</v>
      </c>
      <c r="B347" s="960"/>
      <c r="C347" s="1399">
        <v>0.02</v>
      </c>
      <c r="D347" s="1399">
        <v>-0.04</v>
      </c>
      <c r="E347" s="1399">
        <v>-0.01</v>
      </c>
      <c r="F347" s="1399">
        <v>0.01</v>
      </c>
      <c r="G347" s="1399">
        <v>0</v>
      </c>
      <c r="H347" s="1245">
        <v>-0.02</v>
      </c>
      <c r="I347" s="1245">
        <v>-0.01</v>
      </c>
      <c r="J347" s="1245">
        <v>-0.01</v>
      </c>
      <c r="K347" s="962"/>
      <c r="L347" s="1399">
        <v>0.01</v>
      </c>
      <c r="M347" s="1245">
        <v>0.02</v>
      </c>
      <c r="N347" s="1245">
        <v>0.01</v>
      </c>
      <c r="O347" s="1245">
        <v>0.03</v>
      </c>
      <c r="P347" s="962"/>
      <c r="Q347" s="1399">
        <v>0</v>
      </c>
      <c r="R347" s="1245">
        <v>0.03</v>
      </c>
      <c r="S347" s="1245">
        <v>0.070000000000000007</v>
      </c>
      <c r="T347" s="1245">
        <v>0.08</v>
      </c>
      <c r="U347" s="962"/>
      <c r="V347" s="1399">
        <v>0.070000000000000007</v>
      </c>
      <c r="W347" s="1245">
        <v>0.10000000000000001</v>
      </c>
      <c r="X347" s="1245">
        <v>0.10000000000000001</v>
      </c>
      <c r="Y347" s="1245">
        <v>0.08</v>
      </c>
      <c r="Z347" s="962"/>
      <c r="AA347" s="1399">
        <v>0.08</v>
      </c>
      <c r="AB347" s="1245">
        <v>0.03</v>
      </c>
      <c r="AC347" s="1245">
        <v>0.05</v>
      </c>
      <c r="AD347" s="1245">
        <v>0.06</v>
      </c>
      <c r="AE347" s="962"/>
      <c r="AF347" s="1399">
        <v>0.06</v>
      </c>
      <c r="AG347" s="1245">
        <v>0.09</v>
      </c>
      <c r="AH347" s="1245">
        <v>0.070000000000000007</v>
      </c>
      <c r="AI347" s="1245">
        <v>0.070000000000000007</v>
      </c>
      <c r="AJ347" s="962"/>
      <c r="AK347" s="1399">
        <v>0.09</v>
      </c>
      <c r="AL347" s="1245">
        <v>0.08</v>
      </c>
      <c r="AM347" s="1245">
        <v>0.070000000000000007</v>
      </c>
      <c r="AN347" s="1245">
        <v>0.09</v>
      </c>
      <c r="AO347" s="962"/>
      <c r="AP347" s="1399">
        <v>0.06</v>
      </c>
      <c r="AQ347" s="1245">
        <v>0.13</v>
      </c>
      <c r="AR347" s="1245">
        <v>0.08</v>
      </c>
      <c r="AS347" s="1245">
        <v>0.14999999999999999</v>
      </c>
      <c r="AT347" s="962"/>
      <c r="AU347" s="1399">
        <v>0.12</v>
      </c>
      <c r="AV347" s="1245">
        <v>0.13</v>
      </c>
      <c r="AW347" s="1245">
        <v>0.14999999999999999</v>
      </c>
      <c r="AX347" s="1245">
        <v>0.10000000000000001</v>
      </c>
      <c r="AY347" s="962"/>
      <c r="AZ347" s="1399">
        <v>0.12</v>
      </c>
      <c r="BA347" s="1245">
        <v>0.070000000000000007</v>
      </c>
      <c r="BB347" s="1245">
        <v>0.06</v>
      </c>
      <c r="BC347" s="1245">
        <v>0.02</v>
      </c>
      <c r="BD347" s="962"/>
      <c r="BE347" s="1399">
        <v>0.04</v>
      </c>
      <c r="BF347" s="1245">
        <v>0</v>
      </c>
      <c r="BG347" s="1245">
        <v>0.01</v>
      </c>
      <c r="BH347" s="1246">
        <v>0.02</v>
      </c>
      <c r="BI347" s="963"/>
      <c r="BJ347" s="1400"/>
      <c r="BK347" s="963"/>
      <c r="BL347" s="963"/>
      <c r="BM347" s="963"/>
      <c r="BN347" s="963"/>
      <c r="BO347" s="1400"/>
      <c r="BP347" s="1401"/>
      <c r="BQ347" s="1401"/>
      <c r="BR347" s="1400"/>
      <c r="BS347" s="965"/>
    </row>
    <row r="348" spans="1:71" s="974" customFormat="1" ht="7.5" customHeight="1" hidden="1" outlineLevel="2">
      <c r="A348" s="975"/>
      <c r="B348" s="968"/>
      <c r="C348" s="1402"/>
      <c r="D348" s="1402"/>
      <c r="E348" s="1402"/>
      <c r="F348" s="1402"/>
      <c r="G348" s="1402"/>
      <c r="H348" s="970"/>
      <c r="I348" s="970"/>
      <c r="J348" s="970"/>
      <c r="K348" s="970"/>
      <c r="L348" s="1402"/>
      <c r="M348" s="970"/>
      <c r="N348" s="970"/>
      <c r="O348" s="970"/>
      <c r="P348" s="970"/>
      <c r="Q348" s="1402"/>
      <c r="R348" s="970"/>
      <c r="S348" s="970"/>
      <c r="T348" s="970"/>
      <c r="U348" s="970"/>
      <c r="V348" s="1402"/>
      <c r="W348" s="970"/>
      <c r="X348" s="970"/>
      <c r="Y348" s="970"/>
      <c r="Z348" s="970"/>
      <c r="AA348" s="1402"/>
      <c r="AB348" s="970"/>
      <c r="AC348" s="970"/>
      <c r="AD348" s="970"/>
      <c r="AE348" s="970"/>
      <c r="AF348" s="1402"/>
      <c r="AG348" s="970"/>
      <c r="AH348" s="970"/>
      <c r="AI348" s="970"/>
      <c r="AJ348" s="970"/>
      <c r="AK348" s="1402"/>
      <c r="AL348" s="970"/>
      <c r="AM348" s="970"/>
      <c r="AN348" s="970"/>
      <c r="AO348" s="970"/>
      <c r="AP348" s="1402"/>
      <c r="AQ348" s="970"/>
      <c r="AR348" s="970"/>
      <c r="AS348" s="970"/>
      <c r="AT348" s="970"/>
      <c r="AU348" s="1402"/>
      <c r="AV348" s="970"/>
      <c r="AW348" s="970"/>
      <c r="AX348" s="970"/>
      <c r="AY348" s="970"/>
      <c r="AZ348" s="1402"/>
      <c r="BA348" s="970"/>
      <c r="BB348" s="970"/>
      <c r="BC348" s="970"/>
      <c r="BD348" s="970"/>
      <c r="BE348" s="1402"/>
      <c r="BF348" s="970"/>
      <c r="BG348" s="970"/>
      <c r="BH348" s="971"/>
      <c r="BI348" s="972"/>
      <c r="BJ348" s="1403"/>
      <c r="BK348" s="972"/>
      <c r="BL348" s="972"/>
      <c r="BM348" s="972"/>
      <c r="BN348" s="972"/>
      <c r="BO348" s="1403"/>
      <c r="BP348" s="1402"/>
      <c r="BQ348" s="1402"/>
      <c r="BR348" s="1403"/>
      <c r="BS348" s="965"/>
    </row>
    <row r="349" spans="1:71" s="966" customFormat="1" ht="15" hidden="1" outlineLevel="2">
      <c r="A349" s="976" t="s">
        <v>656</v>
      </c>
      <c r="B349" s="960"/>
      <c r="C349" s="1399">
        <v>-0.070000000000000007</v>
      </c>
      <c r="D349" s="1399">
        <v>-0.06</v>
      </c>
      <c r="E349" s="1399">
        <v>0.05</v>
      </c>
      <c r="F349" s="1399">
        <v>0.10000000000000001</v>
      </c>
      <c r="G349" s="1399">
        <v>0.05</v>
      </c>
      <c r="H349" s="1245">
        <v>0.04</v>
      </c>
      <c r="I349" s="1245">
        <v>0.04</v>
      </c>
      <c r="J349" s="1245">
        <v>0.04</v>
      </c>
      <c r="K349" s="962"/>
      <c r="L349" s="1399">
        <v>0.04</v>
      </c>
      <c r="M349" s="1245">
        <v>0.05</v>
      </c>
      <c r="N349" s="1245">
        <v>0.08</v>
      </c>
      <c r="O349" s="1245">
        <v>0.09</v>
      </c>
      <c r="P349" s="962"/>
      <c r="Q349" s="1399">
        <v>0.08</v>
      </c>
      <c r="R349" s="1245">
        <v>0.12</v>
      </c>
      <c r="S349" s="1245">
        <v>0.13</v>
      </c>
      <c r="T349" s="1245">
        <v>0.12</v>
      </c>
      <c r="U349" s="962"/>
      <c r="V349" s="1399">
        <v>0.10000000000000001</v>
      </c>
      <c r="W349" s="1245">
        <v>0.04</v>
      </c>
      <c r="X349" s="1245">
        <v>0.11</v>
      </c>
      <c r="Y349" s="1245">
        <v>0.13</v>
      </c>
      <c r="Z349" s="962"/>
      <c r="AA349" s="1399">
        <v>0.12</v>
      </c>
      <c r="AB349" s="1245">
        <v>0.14000000000000001</v>
      </c>
      <c r="AC349" s="1245">
        <v>0.12</v>
      </c>
      <c r="AD349" s="1245">
        <v>0.14999999999999999</v>
      </c>
      <c r="AE349" s="962"/>
      <c r="AF349" s="1399">
        <v>0.14000000000000001</v>
      </c>
      <c r="AG349" s="1245">
        <v>0.14999999999999999</v>
      </c>
      <c r="AH349" s="1245">
        <v>0.10000000000000001</v>
      </c>
      <c r="AI349" s="1245">
        <v>0.04</v>
      </c>
      <c r="AJ349" s="962"/>
      <c r="AK349" s="1399">
        <v>0.08</v>
      </c>
      <c r="AL349" s="1245">
        <v>0.04</v>
      </c>
      <c r="AM349" s="1245">
        <v>-0.01</v>
      </c>
      <c r="AN349" s="1245">
        <v>0.04</v>
      </c>
      <c r="AO349" s="962"/>
      <c r="AP349" s="1399">
        <v>0.04</v>
      </c>
      <c r="AQ349" s="1245">
        <v>0.12</v>
      </c>
      <c r="AR349" s="1245">
        <v>0.20</v>
      </c>
      <c r="AS349" s="1245">
        <v>0.20</v>
      </c>
      <c r="AT349" s="962"/>
      <c r="AU349" s="1399">
        <v>0.17</v>
      </c>
      <c r="AV349" s="1245">
        <v>0.19</v>
      </c>
      <c r="AW349" s="1245">
        <v>0.14000000000000001</v>
      </c>
      <c r="AX349" s="1245">
        <v>0.08</v>
      </c>
      <c r="AY349" s="962"/>
      <c r="AZ349" s="1399">
        <v>0.11</v>
      </c>
      <c r="BA349" s="1245">
        <v>0.01</v>
      </c>
      <c r="BB349" s="1245">
        <v>0</v>
      </c>
      <c r="BC349" s="1245">
        <v>0.04</v>
      </c>
      <c r="BD349" s="962"/>
      <c r="BE349" s="1399">
        <v>0.03</v>
      </c>
      <c r="BF349" s="1245">
        <v>0.10000000000000001</v>
      </c>
      <c r="BG349" s="1245">
        <v>0.08</v>
      </c>
      <c r="BH349" s="1246">
        <v>0.02</v>
      </c>
      <c r="BI349" s="963"/>
      <c r="BJ349" s="1400"/>
      <c r="BK349" s="963"/>
      <c r="BL349" s="963"/>
      <c r="BM349" s="963"/>
      <c r="BN349" s="963"/>
      <c r="BO349" s="1400"/>
      <c r="BP349" s="1401"/>
      <c r="BQ349" s="1401"/>
      <c r="BR349" s="1400"/>
      <c r="BS349" s="965"/>
    </row>
    <row r="350" spans="1:71" s="974" customFormat="1" ht="7.5" customHeight="1" hidden="1" outlineLevel="2">
      <c r="A350" s="975"/>
      <c r="B350" s="968"/>
      <c r="C350" s="1402"/>
      <c r="D350" s="1402"/>
      <c r="E350" s="1402"/>
      <c r="F350" s="1402"/>
      <c r="G350" s="1402"/>
      <c r="H350" s="970"/>
      <c r="I350" s="970"/>
      <c r="J350" s="970"/>
      <c r="K350" s="970"/>
      <c r="L350" s="1402"/>
      <c r="M350" s="970"/>
      <c r="N350" s="970"/>
      <c r="O350" s="970"/>
      <c r="P350" s="970"/>
      <c r="Q350" s="1402"/>
      <c r="R350" s="970"/>
      <c r="S350" s="970"/>
      <c r="T350" s="970"/>
      <c r="U350" s="970"/>
      <c r="V350" s="1402"/>
      <c r="W350" s="970"/>
      <c r="X350" s="970"/>
      <c r="Y350" s="970"/>
      <c r="Z350" s="970"/>
      <c r="AA350" s="1402"/>
      <c r="AB350" s="970"/>
      <c r="AC350" s="970"/>
      <c r="AD350" s="970"/>
      <c r="AE350" s="970"/>
      <c r="AF350" s="1402"/>
      <c r="AG350" s="970"/>
      <c r="AH350" s="970"/>
      <c r="AI350" s="970"/>
      <c r="AJ350" s="970"/>
      <c r="AK350" s="1402"/>
      <c r="AL350" s="970"/>
      <c r="AM350" s="970"/>
      <c r="AN350" s="970"/>
      <c r="AO350" s="970"/>
      <c r="AP350" s="1402"/>
      <c r="AQ350" s="970"/>
      <c r="AR350" s="970"/>
      <c r="AS350" s="970"/>
      <c r="AT350" s="970"/>
      <c r="AU350" s="1402"/>
      <c r="AV350" s="970"/>
      <c r="AW350" s="970"/>
      <c r="AX350" s="970"/>
      <c r="AY350" s="970"/>
      <c r="AZ350" s="1402"/>
      <c r="BA350" s="970"/>
      <c r="BB350" s="970"/>
      <c r="BC350" s="970"/>
      <c r="BD350" s="970"/>
      <c r="BE350" s="1402"/>
      <c r="BF350" s="970"/>
      <c r="BG350" s="970"/>
      <c r="BH350" s="971"/>
      <c r="BI350" s="972"/>
      <c r="BJ350" s="1403"/>
      <c r="BK350" s="972"/>
      <c r="BL350" s="972"/>
      <c r="BM350" s="972"/>
      <c r="BN350" s="972"/>
      <c r="BO350" s="1403"/>
      <c r="BP350" s="1402"/>
      <c r="BQ350" s="1402"/>
      <c r="BR350" s="1403"/>
      <c r="BS350" s="965"/>
    </row>
    <row r="351" spans="1:71" s="966" customFormat="1" ht="15" hidden="1" outlineLevel="2">
      <c r="A351" s="976" t="s">
        <v>657</v>
      </c>
      <c r="B351" s="960"/>
      <c r="C351" s="1399">
        <v>0</v>
      </c>
      <c r="D351" s="1399">
        <v>-0.01</v>
      </c>
      <c r="E351" s="1399">
        <v>0</v>
      </c>
      <c r="F351" s="1399">
        <v>0</v>
      </c>
      <c r="G351" s="1399">
        <v>-0.03</v>
      </c>
      <c r="H351" s="1245">
        <v>0.01</v>
      </c>
      <c r="I351" s="1245">
        <v>-0.04</v>
      </c>
      <c r="J351" s="1245">
        <v>-0.03</v>
      </c>
      <c r="K351" s="962"/>
      <c r="L351" s="1399">
        <v>0</v>
      </c>
      <c r="M351" s="1245">
        <v>0.04</v>
      </c>
      <c r="N351" s="1245">
        <v>0.09</v>
      </c>
      <c r="O351" s="1245">
        <v>0.12</v>
      </c>
      <c r="P351" s="962"/>
      <c r="Q351" s="1399">
        <v>0.13</v>
      </c>
      <c r="R351" s="1245">
        <v>0.11</v>
      </c>
      <c r="S351" s="1245">
        <v>0.10000000000000001</v>
      </c>
      <c r="T351" s="1245">
        <v>0.070000000000000007</v>
      </c>
      <c r="U351" s="962"/>
      <c r="V351" s="1399">
        <v>0.06</v>
      </c>
      <c r="W351" s="1245">
        <v>0.03</v>
      </c>
      <c r="X351" s="1245">
        <v>0</v>
      </c>
      <c r="Y351" s="1245">
        <v>-0.03</v>
      </c>
      <c r="Z351" s="962"/>
      <c r="AA351" s="1399">
        <v>-0.04</v>
      </c>
      <c r="AB351" s="1245">
        <v>-0.01</v>
      </c>
      <c r="AC351" s="1245">
        <v>0.02</v>
      </c>
      <c r="AD351" s="1245">
        <v>0.02</v>
      </c>
      <c r="AE351" s="962"/>
      <c r="AF351" s="1399">
        <v>0.01</v>
      </c>
      <c r="AG351" s="1245">
        <v>-0.03</v>
      </c>
      <c r="AH351" s="1245">
        <v>-0.070000000000000007</v>
      </c>
      <c r="AI351" s="1245">
        <v>-0.05</v>
      </c>
      <c r="AJ351" s="962"/>
      <c r="AK351" s="1399">
        <v>-0.02</v>
      </c>
      <c r="AL351" s="1245">
        <v>0.01</v>
      </c>
      <c r="AM351" s="1245">
        <v>0.06</v>
      </c>
      <c r="AN351" s="1245">
        <v>0.04</v>
      </c>
      <c r="AO351" s="962"/>
      <c r="AP351" s="1399">
        <v>0.05</v>
      </c>
      <c r="AQ351" s="1245">
        <v>0.070000000000000007</v>
      </c>
      <c r="AR351" s="1245">
        <v>0.05</v>
      </c>
      <c r="AS351" s="1245">
        <v>0.13</v>
      </c>
      <c r="AT351" s="962"/>
      <c r="AU351" s="1399">
        <v>0.11</v>
      </c>
      <c r="AV351" s="1245">
        <v>0.070000000000000007</v>
      </c>
      <c r="AW351" s="1245">
        <v>0.01</v>
      </c>
      <c r="AX351" s="1245">
        <v>-0.09</v>
      </c>
      <c r="AY351" s="962"/>
      <c r="AZ351" s="1399">
        <v>-0.12</v>
      </c>
      <c r="BA351" s="1245">
        <v>-0.14000000000000001</v>
      </c>
      <c r="BB351" s="1245">
        <v>-0.11</v>
      </c>
      <c r="BC351" s="1245">
        <v>-0.09</v>
      </c>
      <c r="BD351" s="962"/>
      <c r="BE351" s="1399">
        <v>-0.12</v>
      </c>
      <c r="BF351" s="1245">
        <v>-0.14999999999999999</v>
      </c>
      <c r="BG351" s="1245">
        <v>-0.19</v>
      </c>
      <c r="BH351" s="1246">
        <v>-0.20</v>
      </c>
      <c r="BI351" s="963"/>
      <c r="BJ351" s="1400"/>
      <c r="BK351" s="963"/>
      <c r="BL351" s="963"/>
      <c r="BM351" s="963"/>
      <c r="BN351" s="963"/>
      <c r="BO351" s="1400"/>
      <c r="BP351" s="1401"/>
      <c r="BQ351" s="1401"/>
      <c r="BR351" s="1400"/>
      <c r="BS351" s="965"/>
    </row>
    <row r="352" spans="1:71" s="966" customFormat="1" ht="15" hidden="1" outlineLevel="2">
      <c r="A352" s="976"/>
      <c r="B352" s="960"/>
      <c r="C352" s="1401"/>
      <c r="D352" s="1401"/>
      <c r="E352" s="1401"/>
      <c r="F352" s="1401"/>
      <c r="G352" s="1401"/>
      <c r="H352" s="962"/>
      <c r="I352" s="962"/>
      <c r="J352" s="962"/>
      <c r="K352" s="962"/>
      <c r="L352" s="1401"/>
      <c r="M352" s="962"/>
      <c r="N352" s="962"/>
      <c r="O352" s="962"/>
      <c r="P352" s="962"/>
      <c r="Q352" s="1401"/>
      <c r="R352" s="962"/>
      <c r="S352" s="962"/>
      <c r="T352" s="962"/>
      <c r="U352" s="962"/>
      <c r="V352" s="1401"/>
      <c r="W352" s="962"/>
      <c r="X352" s="962"/>
      <c r="Y352" s="962"/>
      <c r="Z352" s="962"/>
      <c r="AA352" s="1401"/>
      <c r="AB352" s="962"/>
      <c r="AC352" s="962"/>
      <c r="AD352" s="962"/>
      <c r="AE352" s="962"/>
      <c r="AF352" s="1401"/>
      <c r="AG352" s="962"/>
      <c r="AH352" s="962"/>
      <c r="AI352" s="962"/>
      <c r="AJ352" s="962"/>
      <c r="AK352" s="1401"/>
      <c r="AL352" s="962"/>
      <c r="AM352" s="962"/>
      <c r="AN352" s="962"/>
      <c r="AO352" s="962"/>
      <c r="AP352" s="1401"/>
      <c r="AQ352" s="962"/>
      <c r="AR352" s="962"/>
      <c r="AS352" s="962"/>
      <c r="AT352" s="962"/>
      <c r="AU352" s="1401"/>
      <c r="AV352" s="962"/>
      <c r="AW352" s="962"/>
      <c r="AX352" s="962"/>
      <c r="AY352" s="962"/>
      <c r="AZ352" s="1401"/>
      <c r="BA352" s="962"/>
      <c r="BB352" s="962"/>
      <c r="BC352" s="962"/>
      <c r="BD352" s="962"/>
      <c r="BE352" s="1401"/>
      <c r="BF352" s="962"/>
      <c r="BG352" s="962"/>
      <c r="BH352" s="977"/>
      <c r="BI352" s="963"/>
      <c r="BJ352" s="1400"/>
      <c r="BK352" s="963"/>
      <c r="BL352" s="963"/>
      <c r="BM352" s="963"/>
      <c r="BN352" s="963"/>
      <c r="BO352" s="1400"/>
      <c r="BP352" s="1401"/>
      <c r="BQ352" s="1401"/>
      <c r="BR352" s="1400"/>
      <c r="BS352" s="965"/>
    </row>
    <row r="353" spans="1:71" s="966" customFormat="1" ht="15" hidden="1" outlineLevel="2">
      <c r="A353" s="976" t="s">
        <v>658</v>
      </c>
      <c r="B353" s="960"/>
      <c r="C353" s="1401"/>
      <c r="D353" s="1401"/>
      <c r="E353" s="1401"/>
      <c r="F353" s="1401"/>
      <c r="G353" s="1401"/>
      <c r="H353" s="962"/>
      <c r="I353" s="962"/>
      <c r="J353" s="962"/>
      <c r="K353" s="962"/>
      <c r="L353" s="1401"/>
      <c r="M353" s="962"/>
      <c r="N353" s="962"/>
      <c r="O353" s="962"/>
      <c r="P353" s="962"/>
      <c r="Q353" s="1401"/>
      <c r="R353" s="962"/>
      <c r="S353" s="1245">
        <v>0.11</v>
      </c>
      <c r="T353" s="1245">
        <v>0.19</v>
      </c>
      <c r="U353" s="962"/>
      <c r="V353" s="1399">
        <v>0.17</v>
      </c>
      <c r="W353" s="1245">
        <v>0.28999999999999998</v>
      </c>
      <c r="X353" s="1245">
        <v>0.35</v>
      </c>
      <c r="Y353" s="1245">
        <v>0.46</v>
      </c>
      <c r="Z353" s="962"/>
      <c r="AA353" s="1399">
        <v>0.48</v>
      </c>
      <c r="AB353" s="1245">
        <v>0.85</v>
      </c>
      <c r="AC353" s="1245">
        <v>0.81</v>
      </c>
      <c r="AD353" s="1245">
        <v>0.51</v>
      </c>
      <c r="AE353" s="962"/>
      <c r="AF353" s="1399">
        <v>0.53</v>
      </c>
      <c r="AG353" s="1245">
        <v>0.03</v>
      </c>
      <c r="AH353" s="1245">
        <v>-0.06</v>
      </c>
      <c r="AI353" s="1245">
        <v>-0.01</v>
      </c>
      <c r="AJ353" s="962"/>
      <c r="AK353" s="1399">
        <v>-0.01</v>
      </c>
      <c r="AL353" s="1245">
        <v>0.070000000000000007</v>
      </c>
      <c r="AM353" s="1245">
        <v>0.04</v>
      </c>
      <c r="AN353" s="1245">
        <v>0.17</v>
      </c>
      <c r="AO353" s="962"/>
      <c r="AP353" s="1399">
        <v>0.12</v>
      </c>
      <c r="AQ353" s="1245">
        <v>0.26</v>
      </c>
      <c r="AR353" s="1245">
        <v>0.28999999999999998</v>
      </c>
      <c r="AS353" s="1245">
        <v>0.16</v>
      </c>
      <c r="AT353" s="962"/>
      <c r="AU353" s="1399">
        <v>0.20</v>
      </c>
      <c r="AV353" s="1245">
        <v>-0.06</v>
      </c>
      <c r="AW353" s="1245">
        <v>-0.05</v>
      </c>
      <c r="AX353" s="1245">
        <v>-0.09</v>
      </c>
      <c r="AY353" s="962"/>
      <c r="AZ353" s="1399">
        <v>-0.08</v>
      </c>
      <c r="BA353" s="1245">
        <v>0.12</v>
      </c>
      <c r="BB353" s="1245">
        <v>0.12</v>
      </c>
      <c r="BC353" s="1245">
        <v>0.09</v>
      </c>
      <c r="BD353" s="962"/>
      <c r="BE353" s="1399">
        <v>0.14999999999999999</v>
      </c>
      <c r="BF353" s="1245">
        <v>0.31</v>
      </c>
      <c r="BG353" s="1245">
        <v>0.35</v>
      </c>
      <c r="BH353" s="1246">
        <v>0.42</v>
      </c>
      <c r="BI353" s="963"/>
      <c r="BJ353" s="1400"/>
      <c r="BK353" s="963"/>
      <c r="BL353" s="963"/>
      <c r="BM353" s="963"/>
      <c r="BN353" s="963"/>
      <c r="BO353" s="1400"/>
      <c r="BP353" s="1401"/>
      <c r="BQ353" s="1401"/>
      <c r="BR353" s="1400"/>
      <c r="BS353" s="965"/>
    </row>
    <row r="354" spans="1:71" s="966" customFormat="1" ht="15" hidden="1" outlineLevel="2">
      <c r="A354" s="976" t="s">
        <v>659</v>
      </c>
      <c r="B354" s="960"/>
      <c r="C354" s="1401"/>
      <c r="D354" s="1401"/>
      <c r="E354" s="1401"/>
      <c r="F354" s="1401"/>
      <c r="G354" s="1401"/>
      <c r="H354" s="962"/>
      <c r="I354" s="962"/>
      <c r="J354" s="962"/>
      <c r="K354" s="962"/>
      <c r="L354" s="1401"/>
      <c r="M354" s="962"/>
      <c r="N354" s="962"/>
      <c r="O354" s="962"/>
      <c r="P354" s="962"/>
      <c r="Q354" s="1401"/>
      <c r="R354" s="962"/>
      <c r="S354" s="1245">
        <v>0.01</v>
      </c>
      <c r="T354" s="1245">
        <v>0.08</v>
      </c>
      <c r="U354" s="962"/>
      <c r="V354" s="1399">
        <v>0.070000000000000007</v>
      </c>
      <c r="W354" s="1245">
        <v>0.22</v>
      </c>
      <c r="X354" s="1245">
        <v>0.19</v>
      </c>
      <c r="Y354" s="1245">
        <v>0.11</v>
      </c>
      <c r="Z354" s="962"/>
      <c r="AA354" s="1399">
        <v>0.16</v>
      </c>
      <c r="AB354" s="1245">
        <v>0.19</v>
      </c>
      <c r="AC354" s="1245">
        <v>0.21</v>
      </c>
      <c r="AD354" s="1245">
        <v>0.26</v>
      </c>
      <c r="AE354" s="962"/>
      <c r="AF354" s="1399">
        <v>0.25</v>
      </c>
      <c r="AG354" s="1245">
        <v>0.25</v>
      </c>
      <c r="AH354" s="1245">
        <v>0.23</v>
      </c>
      <c r="AI354" s="1245">
        <v>0.22</v>
      </c>
      <c r="AJ354" s="962"/>
      <c r="AK354" s="1399">
        <v>0.22</v>
      </c>
      <c r="AL354" s="1245">
        <v>0.17</v>
      </c>
      <c r="AM354" s="1245">
        <v>0.14999999999999999</v>
      </c>
      <c r="AN354" s="1245">
        <v>0.14000000000000001</v>
      </c>
      <c r="AO354" s="962"/>
      <c r="AP354" s="1399">
        <v>0.14000000000000001</v>
      </c>
      <c r="AQ354" s="1245">
        <v>0.12</v>
      </c>
      <c r="AR354" s="1245">
        <v>0.08</v>
      </c>
      <c r="AS354" s="1245">
        <v>0.11</v>
      </c>
      <c r="AT354" s="962"/>
      <c r="AU354" s="1399">
        <v>0.10000000000000001</v>
      </c>
      <c r="AV354" s="1245">
        <v>0.12</v>
      </c>
      <c r="AW354" s="1245">
        <v>0.08</v>
      </c>
      <c r="AX354" s="1245">
        <v>0.070000000000000007</v>
      </c>
      <c r="AY354" s="962"/>
      <c r="AZ354" s="1399">
        <v>0.08</v>
      </c>
      <c r="BA354" s="1245">
        <v>0.06</v>
      </c>
      <c r="BB354" s="1245">
        <v>0.05</v>
      </c>
      <c r="BC354" s="1245">
        <v>0.04</v>
      </c>
      <c r="BD354" s="962"/>
      <c r="BE354" s="1399">
        <v>0.05</v>
      </c>
      <c r="BF354" s="1245">
        <v>0.070000000000000007</v>
      </c>
      <c r="BG354" s="1245">
        <v>0.06</v>
      </c>
      <c r="BH354" s="1246">
        <v>0.03</v>
      </c>
      <c r="BI354" s="963"/>
      <c r="BJ354" s="1400"/>
      <c r="BK354" s="963"/>
      <c r="BL354" s="963"/>
      <c r="BM354" s="963"/>
      <c r="BN354" s="963"/>
      <c r="BO354" s="1400"/>
      <c r="BP354" s="1401"/>
      <c r="BQ354" s="1401"/>
      <c r="BR354" s="1400"/>
      <c r="BS354" s="965"/>
    </row>
    <row r="355" spans="1:71" s="974" customFormat="1" ht="7.5" customHeight="1" hidden="1" outlineLevel="2">
      <c r="A355" s="975"/>
      <c r="B355" s="968"/>
      <c r="C355" s="1402"/>
      <c r="D355" s="1402"/>
      <c r="E355" s="1402"/>
      <c r="F355" s="1402"/>
      <c r="G355" s="1402"/>
      <c r="H355" s="970"/>
      <c r="I355" s="970"/>
      <c r="J355" s="970"/>
      <c r="K355" s="970"/>
      <c r="L355" s="1402"/>
      <c r="M355" s="970"/>
      <c r="N355" s="970"/>
      <c r="O355" s="970"/>
      <c r="P355" s="970"/>
      <c r="Q355" s="1402"/>
      <c r="R355" s="970"/>
      <c r="S355" s="970"/>
      <c r="T355" s="970"/>
      <c r="U355" s="970"/>
      <c r="V355" s="1402"/>
      <c r="W355" s="970"/>
      <c r="X355" s="970"/>
      <c r="Y355" s="970"/>
      <c r="Z355" s="970"/>
      <c r="AA355" s="1402"/>
      <c r="AB355" s="970"/>
      <c r="AC355" s="970"/>
      <c r="AD355" s="970"/>
      <c r="AE355" s="970"/>
      <c r="AF355" s="1402"/>
      <c r="AG355" s="970"/>
      <c r="AH355" s="970"/>
      <c r="AI355" s="970"/>
      <c r="AJ355" s="970"/>
      <c r="AK355" s="1402"/>
      <c r="AL355" s="970"/>
      <c r="AM355" s="970"/>
      <c r="AN355" s="970"/>
      <c r="AO355" s="970"/>
      <c r="AP355" s="1402"/>
      <c r="AQ355" s="970"/>
      <c r="AR355" s="970"/>
      <c r="AS355" s="970"/>
      <c r="AT355" s="970"/>
      <c r="AU355" s="1402"/>
      <c r="AV355" s="970"/>
      <c r="AW355" s="970"/>
      <c r="AX355" s="970"/>
      <c r="AY355" s="970"/>
      <c r="AZ355" s="1402"/>
      <c r="BA355" s="970"/>
      <c r="BB355" s="970"/>
      <c r="BC355" s="970"/>
      <c r="BD355" s="970"/>
      <c r="BE355" s="1402"/>
      <c r="BF355" s="970"/>
      <c r="BG355" s="970"/>
      <c r="BH355" s="971"/>
      <c r="BI355" s="972"/>
      <c r="BJ355" s="1403"/>
      <c r="BK355" s="972"/>
      <c r="BL355" s="972"/>
      <c r="BM355" s="972"/>
      <c r="BN355" s="972"/>
      <c r="BO355" s="1403"/>
      <c r="BP355" s="1402"/>
      <c r="BQ355" s="1402"/>
      <c r="BR355" s="1403"/>
      <c r="BS355" s="965"/>
    </row>
    <row r="356" spans="1:71" s="966" customFormat="1" ht="15" hidden="1" outlineLevel="2">
      <c r="A356" s="976" t="s">
        <v>660</v>
      </c>
      <c r="B356" s="960"/>
      <c r="C356" s="1401"/>
      <c r="D356" s="1401"/>
      <c r="E356" s="1401"/>
      <c r="F356" s="1401"/>
      <c r="G356" s="1401"/>
      <c r="H356" s="962"/>
      <c r="I356" s="962"/>
      <c r="J356" s="962"/>
      <c r="K356" s="962"/>
      <c r="L356" s="1401"/>
      <c r="M356" s="962"/>
      <c r="N356" s="962"/>
      <c r="O356" s="962"/>
      <c r="P356" s="962"/>
      <c r="Q356" s="1401"/>
      <c r="R356" s="962"/>
      <c r="S356" s="1245">
        <v>-0.070000000000000007</v>
      </c>
      <c r="T356" s="1245">
        <v>-0.070000000000000007</v>
      </c>
      <c r="U356" s="962"/>
      <c r="V356" s="1399">
        <v>-0.070000000000000007</v>
      </c>
      <c r="W356" s="1245">
        <v>-0.06</v>
      </c>
      <c r="X356" s="1245">
        <v>-0.070000000000000007</v>
      </c>
      <c r="Y356" s="1245">
        <v>-0.01</v>
      </c>
      <c r="Z356" s="962"/>
      <c r="AA356" s="1399">
        <v>-0.05</v>
      </c>
      <c r="AB356" s="1245">
        <v>-0.05</v>
      </c>
      <c r="AC356" s="1245">
        <v>-0.05</v>
      </c>
      <c r="AD356" s="1245">
        <v>-0.03</v>
      </c>
      <c r="AE356" s="962"/>
      <c r="AF356" s="1399">
        <v>-0.03</v>
      </c>
      <c r="AG356" s="1245">
        <v>0</v>
      </c>
      <c r="AH356" s="1245">
        <v>0.03</v>
      </c>
      <c r="AI356" s="1245">
        <v>0.02</v>
      </c>
      <c r="AJ356" s="962"/>
      <c r="AK356" s="1399">
        <v>0.02</v>
      </c>
      <c r="AL356" s="1245">
        <v>0.01</v>
      </c>
      <c r="AM356" s="1245">
        <v>0</v>
      </c>
      <c r="AN356" s="1245">
        <v>-0.01</v>
      </c>
      <c r="AO356" s="962"/>
      <c r="AP356" s="1401"/>
      <c r="AQ356" s="1245">
        <v>0.01</v>
      </c>
      <c r="AR356" s="1245">
        <v>0</v>
      </c>
      <c r="AS356" s="1245">
        <v>0.01</v>
      </c>
      <c r="AT356" s="962"/>
      <c r="AU356" s="1399">
        <v>0.01</v>
      </c>
      <c r="AV356" s="1245">
        <v>0.05</v>
      </c>
      <c r="AW356" s="1245">
        <v>0.04</v>
      </c>
      <c r="AX356" s="1245">
        <v>0.05</v>
      </c>
      <c r="AY356" s="962"/>
      <c r="AZ356" s="1399">
        <v>0.06</v>
      </c>
      <c r="BA356" s="1245">
        <v>0.10000000000000001</v>
      </c>
      <c r="BB356" s="1245">
        <v>0.12</v>
      </c>
      <c r="BC356" s="1245">
        <v>0.12</v>
      </c>
      <c r="BD356" s="962"/>
      <c r="BE356" s="1399">
        <v>0.10000000000000001</v>
      </c>
      <c r="BF356" s="1245">
        <v>0.02</v>
      </c>
      <c r="BG356" s="1245">
        <v>-0.04</v>
      </c>
      <c r="BH356" s="1246">
        <v>-0.09</v>
      </c>
      <c r="BI356" s="963"/>
      <c r="BJ356" s="1400"/>
      <c r="BK356" s="963"/>
      <c r="BL356" s="963"/>
      <c r="BM356" s="963"/>
      <c r="BN356" s="963"/>
      <c r="BO356" s="1400"/>
      <c r="BP356" s="1401"/>
      <c r="BQ356" s="1401"/>
      <c r="BR356" s="1400"/>
      <c r="BS356" s="965"/>
    </row>
    <row r="357" spans="1:71" s="974" customFormat="1" ht="7.5" customHeight="1" hidden="1" outlineLevel="2">
      <c r="A357" s="975"/>
      <c r="B357" s="968"/>
      <c r="C357" s="1402"/>
      <c r="D357" s="1402"/>
      <c r="E357" s="1402"/>
      <c r="F357" s="1402"/>
      <c r="G357" s="1402"/>
      <c r="H357" s="970"/>
      <c r="I357" s="970"/>
      <c r="J357" s="970"/>
      <c r="K357" s="970"/>
      <c r="L357" s="1402"/>
      <c r="M357" s="970"/>
      <c r="N357" s="970"/>
      <c r="O357" s="970"/>
      <c r="P357" s="970"/>
      <c r="Q357" s="1402"/>
      <c r="R357" s="970"/>
      <c r="S357" s="970"/>
      <c r="T357" s="970"/>
      <c r="U357" s="970"/>
      <c r="V357" s="1402"/>
      <c r="W357" s="970"/>
      <c r="X357" s="970"/>
      <c r="Y357" s="970"/>
      <c r="Z357" s="970"/>
      <c r="AA357" s="1402"/>
      <c r="AB357" s="970"/>
      <c r="AC357" s="970"/>
      <c r="AD357" s="970"/>
      <c r="AE357" s="970"/>
      <c r="AF357" s="1402"/>
      <c r="AG357" s="970"/>
      <c r="AH357" s="970"/>
      <c r="AI357" s="970"/>
      <c r="AJ357" s="970"/>
      <c r="AK357" s="1402"/>
      <c r="AL357" s="970"/>
      <c r="AM357" s="970"/>
      <c r="AN357" s="970"/>
      <c r="AO357" s="970"/>
      <c r="AP357" s="1402"/>
      <c r="AQ357" s="970"/>
      <c r="AR357" s="970"/>
      <c r="AS357" s="970"/>
      <c r="AT357" s="970"/>
      <c r="AU357" s="1402"/>
      <c r="AV357" s="970"/>
      <c r="AW357" s="970"/>
      <c r="AX357" s="970"/>
      <c r="AY357" s="970"/>
      <c r="AZ357" s="1402"/>
      <c r="BA357" s="970"/>
      <c r="BB357" s="970"/>
      <c r="BC357" s="970"/>
      <c r="BD357" s="970"/>
      <c r="BE357" s="1402"/>
      <c r="BF357" s="970"/>
      <c r="BG357" s="970"/>
      <c r="BH357" s="971"/>
      <c r="BI357" s="972"/>
      <c r="BJ357" s="1403"/>
      <c r="BK357" s="972"/>
      <c r="BL357" s="972"/>
      <c r="BM357" s="972"/>
      <c r="BN357" s="972"/>
      <c r="BO357" s="1403"/>
      <c r="BP357" s="1402"/>
      <c r="BQ357" s="1402"/>
      <c r="BR357" s="1403"/>
      <c r="BS357" s="965"/>
    </row>
    <row r="358" spans="1:71" s="966" customFormat="1" ht="15" hidden="1" outlineLevel="2">
      <c r="A358" s="976" t="s">
        <v>661</v>
      </c>
      <c r="B358" s="960"/>
      <c r="C358" s="1401"/>
      <c r="D358" s="1401"/>
      <c r="E358" s="1401"/>
      <c r="F358" s="1401"/>
      <c r="G358" s="1401"/>
      <c r="H358" s="962"/>
      <c r="I358" s="962"/>
      <c r="J358" s="962"/>
      <c r="K358" s="962"/>
      <c r="L358" s="1401"/>
      <c r="M358" s="962"/>
      <c r="N358" s="962"/>
      <c r="O358" s="962"/>
      <c r="P358" s="962"/>
      <c r="Q358" s="1401"/>
      <c r="R358" s="962"/>
      <c r="S358" s="962"/>
      <c r="T358" s="962"/>
      <c r="U358" s="962"/>
      <c r="V358" s="1401"/>
      <c r="W358" s="962"/>
      <c r="X358" s="962"/>
      <c r="Y358" s="962"/>
      <c r="Z358" s="962"/>
      <c r="AA358" s="1401"/>
      <c r="AB358" s="962"/>
      <c r="AC358" s="962"/>
      <c r="AD358" s="962"/>
      <c r="AE358" s="962"/>
      <c r="AF358" s="1401"/>
      <c r="AG358" s="962"/>
      <c r="AH358" s="962"/>
      <c r="AI358" s="962"/>
      <c r="AJ358" s="962"/>
      <c r="AK358" s="1401"/>
      <c r="AL358" s="1245">
        <v>-0.05</v>
      </c>
      <c r="AM358" s="1245">
        <v>-0.03</v>
      </c>
      <c r="AN358" s="1245">
        <v>-0.01</v>
      </c>
      <c r="AO358" s="962"/>
      <c r="AP358" s="1399">
        <v>-0.03</v>
      </c>
      <c r="AQ358" s="1245">
        <v>-0.03</v>
      </c>
      <c r="AR358" s="1245">
        <v>-0.06</v>
      </c>
      <c r="AS358" s="1245">
        <v>-0.08</v>
      </c>
      <c r="AT358" s="962"/>
      <c r="AU358" s="1399">
        <v>-0.09</v>
      </c>
      <c r="AV358" s="1245">
        <v>-0.070000000000000007</v>
      </c>
      <c r="AW358" s="1245">
        <v>-0.08</v>
      </c>
      <c r="AX358" s="1245">
        <v>-0.09</v>
      </c>
      <c r="AY358" s="962"/>
      <c r="AZ358" s="1399">
        <v>-0.070000000000000007</v>
      </c>
      <c r="BA358" s="1245">
        <v>0</v>
      </c>
      <c r="BB358" s="1245">
        <v>0.070000000000000007</v>
      </c>
      <c r="BC358" s="1245">
        <v>0.14000000000000001</v>
      </c>
      <c r="BD358" s="962"/>
      <c r="BE358" s="1399">
        <v>0.14999999999999999</v>
      </c>
      <c r="BF358" s="1245">
        <v>0.11</v>
      </c>
      <c r="BG358" s="1245">
        <v>0.05</v>
      </c>
      <c r="BH358" s="1246">
        <v>-0.06</v>
      </c>
      <c r="BI358" s="963"/>
      <c r="BJ358" s="1400"/>
      <c r="BK358" s="963"/>
      <c r="BL358" s="963"/>
      <c r="BM358" s="963"/>
      <c r="BN358" s="963"/>
      <c r="BO358" s="1400"/>
      <c r="BP358" s="1401"/>
      <c r="BQ358" s="1401"/>
      <c r="BR358" s="1400"/>
      <c r="BS358" s="965"/>
    </row>
    <row r="359" spans="1:71" s="665" customFormat="1" ht="15" hidden="1" outlineLevel="2">
      <c r="A359" s="999"/>
      <c r="B359" s="308"/>
      <c r="C359" s="1351"/>
      <c r="D359" s="1351"/>
      <c r="E359" s="1351"/>
      <c r="F359" s="1351"/>
      <c r="G359" s="1351"/>
      <c r="H359" s="1047"/>
      <c r="I359" s="1047"/>
      <c r="J359" s="1047"/>
      <c r="K359" s="1047"/>
      <c r="L359" s="1351"/>
      <c r="M359" s="1047"/>
      <c r="N359" s="1047"/>
      <c r="O359" s="1047"/>
      <c r="P359" s="1047"/>
      <c r="Q359" s="1351"/>
      <c r="R359" s="1047"/>
      <c r="S359" s="1047"/>
      <c r="T359" s="1047"/>
      <c r="U359" s="1047"/>
      <c r="V359" s="1351"/>
      <c r="W359" s="1047"/>
      <c r="X359" s="1047"/>
      <c r="Y359" s="1047"/>
      <c r="Z359" s="1047"/>
      <c r="AA359" s="1351"/>
      <c r="AB359" s="1047"/>
      <c r="AC359" s="1047"/>
      <c r="AD359" s="1047"/>
      <c r="AE359" s="1047"/>
      <c r="AF359" s="1351"/>
      <c r="AG359" s="1047"/>
      <c r="AH359" s="1047"/>
      <c r="AI359" s="1047"/>
      <c r="AJ359" s="1047"/>
      <c r="AK359" s="1351"/>
      <c r="AL359" s="1047"/>
      <c r="AM359" s="1047"/>
      <c r="AN359" s="1047"/>
      <c r="AO359" s="1047"/>
      <c r="AP359" s="1351"/>
      <c r="AQ359" s="1047"/>
      <c r="AR359" s="1047"/>
      <c r="AS359" s="1047"/>
      <c r="AT359" s="1047"/>
      <c r="AU359" s="1351"/>
      <c r="AV359" s="1047"/>
      <c r="AW359" s="1047"/>
      <c r="AX359" s="1047"/>
      <c r="AY359" s="1047"/>
      <c r="AZ359" s="1351"/>
      <c r="BA359" s="1047"/>
      <c r="BB359" s="1047"/>
      <c r="BC359" s="1047"/>
      <c r="BD359" s="1047"/>
      <c r="BE359" s="1351"/>
      <c r="BF359" s="1047"/>
      <c r="BG359" s="1047"/>
      <c r="BH359" s="1048"/>
      <c r="BI359" s="1044"/>
      <c r="BJ359" s="1350"/>
      <c r="BK359" s="1044"/>
      <c r="BL359" s="1044"/>
      <c r="BM359" s="1044"/>
      <c r="BN359" s="1044"/>
      <c r="BO359" s="1350"/>
      <c r="BP359" s="1351"/>
      <c r="BQ359" s="1351"/>
      <c r="BR359" s="1350"/>
      <c r="BS359" s="648"/>
    </row>
    <row r="360" spans="1:71" s="668" customFormat="1" ht="15" hidden="1" outlineLevel="2">
      <c r="A360" s="991" t="s">
        <v>508</v>
      </c>
      <c r="B360" s="991"/>
      <c r="C360" s="1035"/>
      <c r="D360" s="1035"/>
      <c r="E360" s="1035"/>
      <c r="F360" s="1035"/>
      <c r="G360" s="1035"/>
      <c r="H360" s="1035"/>
      <c r="I360" s="1035"/>
      <c r="J360" s="1035"/>
      <c r="K360" s="1035"/>
      <c r="L360" s="1035"/>
      <c r="M360" s="1035"/>
      <c r="N360" s="1035"/>
      <c r="O360" s="1035"/>
      <c r="P360" s="1035"/>
      <c r="Q360" s="1035"/>
      <c r="R360" s="1035"/>
      <c r="S360" s="1035"/>
      <c r="T360" s="1035"/>
      <c r="U360" s="1035"/>
      <c r="V360" s="1035"/>
      <c r="W360" s="1035"/>
      <c r="X360" s="1035"/>
      <c r="Y360" s="1035"/>
      <c r="Z360" s="1035"/>
      <c r="AA360" s="1035"/>
      <c r="AB360" s="1035"/>
      <c r="AC360" s="1035"/>
      <c r="AD360" s="1035"/>
      <c r="AE360" s="1035"/>
      <c r="AF360" s="1035"/>
      <c r="AG360" s="1035"/>
      <c r="AH360" s="1035"/>
      <c r="AI360" s="1035"/>
      <c r="AJ360" s="1035"/>
      <c r="AK360" s="1035"/>
      <c r="AL360" s="1035"/>
      <c r="AM360" s="1035"/>
      <c r="AN360" s="1035"/>
      <c r="AO360" s="1035"/>
      <c r="AP360" s="1035"/>
      <c r="AQ360" s="1035"/>
      <c r="AR360" s="1035"/>
      <c r="AS360" s="1035"/>
      <c r="AT360" s="1035"/>
      <c r="AU360" s="1035"/>
      <c r="AV360" s="1035"/>
      <c r="AW360" s="1035"/>
      <c r="AX360" s="1035"/>
      <c r="AY360" s="1035"/>
      <c r="AZ360" s="1035"/>
      <c r="BA360" s="1035"/>
      <c r="BB360" s="1035"/>
      <c r="BC360" s="1035"/>
      <c r="BD360" s="1035"/>
      <c r="BE360" s="1035"/>
      <c r="BF360" s="1035"/>
      <c r="BG360" s="1035"/>
      <c r="BH360" s="1036"/>
      <c r="BI360" s="1037"/>
      <c r="BJ360" s="1037"/>
      <c r="BK360" s="1037"/>
      <c r="BL360" s="1037"/>
      <c r="BM360" s="1037"/>
      <c r="BN360" s="1037"/>
      <c r="BO360" s="1037"/>
      <c r="BP360" s="1035"/>
      <c r="BQ360" s="1035"/>
      <c r="BR360" s="1037"/>
      <c r="BS360" s="648"/>
    </row>
    <row r="361" spans="1:71" s="665" customFormat="1" ht="15" hidden="1" outlineLevel="2">
      <c r="A361" s="999" t="s">
        <v>458</v>
      </c>
      <c r="B361" s="308"/>
      <c r="C361" s="1364">
        <v>1667</v>
      </c>
      <c r="D361" s="1364">
        <v>1603.20</v>
      </c>
      <c r="E361" s="1364">
        <v>1683.10</v>
      </c>
      <c r="F361" s="1364">
        <v>2000.10</v>
      </c>
      <c r="G361" s="1364">
        <v>2188.10</v>
      </c>
      <c r="H361" s="1047"/>
      <c r="I361" s="1047"/>
      <c r="J361" s="1047"/>
      <c r="K361" s="1047"/>
      <c r="L361" s="1364">
        <v>2399</v>
      </c>
      <c r="M361" s="1047"/>
      <c r="N361" s="1047"/>
      <c r="O361" s="1047"/>
      <c r="P361" s="1047"/>
      <c r="Q361" s="1364">
        <v>2839.60</v>
      </c>
      <c r="R361" s="1047"/>
      <c r="S361" s="1047"/>
      <c r="T361" s="1047"/>
      <c r="U361" s="1047"/>
      <c r="V361" s="1364">
        <v>3305.10</v>
      </c>
      <c r="W361" s="1047"/>
      <c r="X361" s="1047"/>
      <c r="Y361" s="1047"/>
      <c r="Z361" s="1047"/>
      <c r="AA361" s="1364">
        <v>3808</v>
      </c>
      <c r="AB361" s="1047"/>
      <c r="AC361" s="1047"/>
      <c r="AD361" s="1047"/>
      <c r="AE361" s="1047"/>
      <c r="AF361" s="1364">
        <v>4700.8999999999996</v>
      </c>
      <c r="AG361" s="1047"/>
      <c r="AH361" s="1047"/>
      <c r="AI361" s="1047"/>
      <c r="AJ361" s="1047"/>
      <c r="AK361" s="1364">
        <v>5233.3999999999996</v>
      </c>
      <c r="AL361" s="1047"/>
      <c r="AM361" s="1047"/>
      <c r="AN361" s="1047"/>
      <c r="AO361" s="1047"/>
      <c r="AP361" s="1364">
        <v>5533.70</v>
      </c>
      <c r="AQ361" s="1047"/>
      <c r="AR361" s="1047"/>
      <c r="AS361" s="1047"/>
      <c r="AT361" s="1047"/>
      <c r="AU361" s="1364">
        <v>6290.70</v>
      </c>
      <c r="AV361" s="1047"/>
      <c r="AW361" s="1047"/>
      <c r="AX361" s="1047"/>
      <c r="AY361" s="1047"/>
      <c r="AZ361" s="1364">
        <v>7144.60</v>
      </c>
      <c r="BA361" s="1047"/>
      <c r="BB361" s="1047"/>
      <c r="BC361" s="1047"/>
      <c r="BD361" s="1047"/>
      <c r="BE361" s="1364">
        <v>9096.50</v>
      </c>
      <c r="BF361" s="1047"/>
      <c r="BG361" s="1047"/>
      <c r="BH361" s="1048"/>
      <c r="BI361" s="1044"/>
      <c r="BJ361" s="1350"/>
      <c r="BK361" s="1044"/>
      <c r="BL361" s="1044"/>
      <c r="BM361" s="1044"/>
      <c r="BN361" s="1044"/>
      <c r="BO361" s="1350"/>
      <c r="BP361" s="1351"/>
      <c r="BQ361" s="1351"/>
      <c r="BR361" s="1350"/>
      <c r="BS361" s="648"/>
    </row>
    <row r="362" spans="1:71" s="665" customFormat="1" ht="15" hidden="1" outlineLevel="2">
      <c r="A362" s="999" t="s">
        <v>459</v>
      </c>
      <c r="B362" s="308"/>
      <c r="C362" s="1364">
        <v>1228.9000000000001</v>
      </c>
      <c r="D362" s="1364">
        <v>1321.40</v>
      </c>
      <c r="E362" s="1364">
        <v>1403.80</v>
      </c>
      <c r="F362" s="1364">
        <v>1536.60</v>
      </c>
      <c r="G362" s="1364">
        <v>1560.70</v>
      </c>
      <c r="H362" s="1047"/>
      <c r="I362" s="1047"/>
      <c r="J362" s="1047"/>
      <c r="K362" s="1047"/>
      <c r="L362" s="1364">
        <v>1664.60</v>
      </c>
      <c r="M362" s="1047"/>
      <c r="N362" s="1047"/>
      <c r="O362" s="1047"/>
      <c r="P362" s="1047"/>
      <c r="Q362" s="1364">
        <v>1941.50</v>
      </c>
      <c r="R362" s="1047"/>
      <c r="S362" s="1047"/>
      <c r="T362" s="1047"/>
      <c r="U362" s="1047"/>
      <c r="V362" s="1364">
        <v>2226.8000000000002</v>
      </c>
      <c r="W362" s="1047"/>
      <c r="X362" s="1047"/>
      <c r="Y362" s="1047"/>
      <c r="Z362" s="1047"/>
      <c r="AA362" s="1364">
        <v>2704.90</v>
      </c>
      <c r="AB362" s="1047"/>
      <c r="AC362" s="1047"/>
      <c r="AD362" s="1047"/>
      <c r="AE362" s="1047"/>
      <c r="AF362" s="1364">
        <v>3388.60</v>
      </c>
      <c r="AG362" s="1047"/>
      <c r="AH362" s="1047"/>
      <c r="AI362" s="1047"/>
      <c r="AJ362" s="1047"/>
      <c r="AK362" s="1364">
        <v>4081</v>
      </c>
      <c r="AL362" s="1047"/>
      <c r="AM362" s="1047"/>
      <c r="AN362" s="1047"/>
      <c r="AO362" s="1047"/>
      <c r="AP362" s="1364">
        <v>4530.50</v>
      </c>
      <c r="AQ362" s="1047"/>
      <c r="AR362" s="1047"/>
      <c r="AS362" s="1047"/>
      <c r="AT362" s="1047"/>
      <c r="AU362" s="1364">
        <v>5343.50</v>
      </c>
      <c r="AV362" s="1047"/>
      <c r="AW362" s="1047"/>
      <c r="AX362" s="1047"/>
      <c r="AY362" s="1047"/>
      <c r="AZ362" s="1364">
        <v>6089.30</v>
      </c>
      <c r="BA362" s="1047"/>
      <c r="BB362" s="1047"/>
      <c r="BC362" s="1047"/>
      <c r="BD362" s="1047"/>
      <c r="BE362" s="1364">
        <v>7809</v>
      </c>
      <c r="BF362" s="1047"/>
      <c r="BG362" s="1047"/>
      <c r="BH362" s="1048"/>
      <c r="BI362" s="1044"/>
      <c r="BJ362" s="1350"/>
      <c r="BK362" s="1044"/>
      <c r="BL362" s="1044"/>
      <c r="BM362" s="1044"/>
      <c r="BN362" s="1044"/>
      <c r="BO362" s="1350"/>
      <c r="BP362" s="1351"/>
      <c r="BQ362" s="1351"/>
      <c r="BR362" s="1350"/>
      <c r="BS362" s="648"/>
    </row>
    <row r="363" spans="1:71" s="665" customFormat="1" ht="15" hidden="1" outlineLevel="2">
      <c r="A363" s="999" t="s">
        <v>460</v>
      </c>
      <c r="B363" s="308"/>
      <c r="C363" s="1364">
        <v>951.90</v>
      </c>
      <c r="D363" s="1364">
        <v>914.10</v>
      </c>
      <c r="E363" s="1364">
        <v>935.80</v>
      </c>
      <c r="F363" s="1364">
        <v>954.40</v>
      </c>
      <c r="G363" s="1364">
        <v>996</v>
      </c>
      <c r="H363" s="1047"/>
      <c r="I363" s="1047"/>
      <c r="J363" s="1047"/>
      <c r="K363" s="1047"/>
      <c r="L363" s="1364">
        <v>1080.5999999999999</v>
      </c>
      <c r="M363" s="1047"/>
      <c r="N363" s="1047"/>
      <c r="O363" s="1047"/>
      <c r="P363" s="1047"/>
      <c r="Q363" s="1364">
        <v>1173.5999999999999</v>
      </c>
      <c r="R363" s="1047"/>
      <c r="S363" s="1047"/>
      <c r="T363" s="1047"/>
      <c r="U363" s="1047"/>
      <c r="V363" s="1364">
        <v>1284.80</v>
      </c>
      <c r="W363" s="1047"/>
      <c r="X363" s="1047"/>
      <c r="Y363" s="1047"/>
      <c r="Z363" s="1047"/>
      <c r="AA363" s="1364">
        <v>1520.50</v>
      </c>
      <c r="AB363" s="1047"/>
      <c r="AC363" s="1047"/>
      <c r="AD363" s="1047"/>
      <c r="AE363" s="1047"/>
      <c r="AF363" s="1364">
        <v>1836</v>
      </c>
      <c r="AG363" s="1047"/>
      <c r="AH363" s="1047"/>
      <c r="AI363" s="1047"/>
      <c r="AJ363" s="1047"/>
      <c r="AK363" s="1364">
        <v>2208.8000000000002</v>
      </c>
      <c r="AL363" s="1047"/>
      <c r="AM363" s="1047"/>
      <c r="AN363" s="1047"/>
      <c r="AO363" s="1047"/>
      <c r="AP363" s="1364">
        <v>2241.1999999999998</v>
      </c>
      <c r="AQ363" s="1047"/>
      <c r="AR363" s="1047"/>
      <c r="AS363" s="1047"/>
      <c r="AT363" s="1047"/>
      <c r="AU363" s="1364">
        <v>2585.10</v>
      </c>
      <c r="AV363" s="1047"/>
      <c r="AW363" s="1047"/>
      <c r="AX363" s="1047"/>
      <c r="AY363" s="1047"/>
      <c r="AZ363" s="1364">
        <v>2867.10</v>
      </c>
      <c r="BA363" s="1047"/>
      <c r="BB363" s="1047"/>
      <c r="BC363" s="1047"/>
      <c r="BD363" s="1047"/>
      <c r="BE363" s="1364">
        <v>3407.50</v>
      </c>
      <c r="BF363" s="1047"/>
      <c r="BG363" s="1047"/>
      <c r="BH363" s="1048"/>
      <c r="BI363" s="1044"/>
      <c r="BJ363" s="1350"/>
      <c r="BK363" s="1044"/>
      <c r="BL363" s="1044"/>
      <c r="BM363" s="1044"/>
      <c r="BN363" s="1044"/>
      <c r="BO363" s="1350"/>
      <c r="BP363" s="1351"/>
      <c r="BQ363" s="1351"/>
      <c r="BR363" s="1350"/>
      <c r="BS363" s="648"/>
    </row>
    <row r="364" spans="1:71" s="665" customFormat="1" ht="15" hidden="1" outlineLevel="2">
      <c r="A364" s="999" t="s">
        <v>461</v>
      </c>
      <c r="B364" s="308"/>
      <c r="C364" s="1364">
        <v>682.90</v>
      </c>
      <c r="D364" s="1364">
        <v>714.60</v>
      </c>
      <c r="E364" s="1364">
        <v>738.20</v>
      </c>
      <c r="F364" s="1364">
        <v>757.10</v>
      </c>
      <c r="G364" s="1364">
        <v>771.60</v>
      </c>
      <c r="H364" s="1047"/>
      <c r="I364" s="1047"/>
      <c r="J364" s="1047"/>
      <c r="K364" s="1047"/>
      <c r="L364" s="1364">
        <v>774</v>
      </c>
      <c r="M364" s="1047"/>
      <c r="N364" s="1047"/>
      <c r="O364" s="1047"/>
      <c r="P364" s="1047"/>
      <c r="Q364" s="1364">
        <v>813.20</v>
      </c>
      <c r="R364" s="1047"/>
      <c r="S364" s="1047"/>
      <c r="T364" s="1047"/>
      <c r="U364" s="1047"/>
      <c r="V364" s="1364">
        <v>939.40</v>
      </c>
      <c r="W364" s="1047"/>
      <c r="X364" s="1047"/>
      <c r="Y364" s="1047"/>
      <c r="Z364" s="1047"/>
      <c r="AA364" s="1364">
        <v>1177</v>
      </c>
      <c r="AB364" s="1047"/>
      <c r="AC364" s="1047"/>
      <c r="AD364" s="1047"/>
      <c r="AE364" s="1047"/>
      <c r="AF364" s="1364">
        <v>1452.90</v>
      </c>
      <c r="AG364" s="1047"/>
      <c r="AH364" s="1047"/>
      <c r="AI364" s="1047"/>
      <c r="AJ364" s="1047"/>
      <c r="AK364" s="1364">
        <v>1645.30</v>
      </c>
      <c r="AL364" s="1047"/>
      <c r="AM364" s="1047"/>
      <c r="AN364" s="1047"/>
      <c r="AO364" s="1047"/>
      <c r="AP364" s="1364">
        <v>1860.90</v>
      </c>
      <c r="AQ364" s="1047"/>
      <c r="AR364" s="1047"/>
      <c r="AS364" s="1047"/>
      <c r="AT364" s="1047"/>
      <c r="AU364" s="1364">
        <v>2147.6999999999998</v>
      </c>
      <c r="AV364" s="1047"/>
      <c r="AW364" s="1047"/>
      <c r="AX364" s="1047"/>
      <c r="AY364" s="1047"/>
      <c r="AZ364" s="1364">
        <v>2443.8000000000002</v>
      </c>
      <c r="BA364" s="1047"/>
      <c r="BB364" s="1047"/>
      <c r="BC364" s="1047"/>
      <c r="BD364" s="1047"/>
      <c r="BE364" s="1364">
        <v>2928.30</v>
      </c>
      <c r="BF364" s="1047"/>
      <c r="BG364" s="1047"/>
      <c r="BH364" s="1048"/>
      <c r="BI364" s="1044"/>
      <c r="BJ364" s="1350"/>
      <c r="BK364" s="1044"/>
      <c r="BL364" s="1044"/>
      <c r="BM364" s="1044"/>
      <c r="BN364" s="1044"/>
      <c r="BO364" s="1350"/>
      <c r="BP364" s="1351"/>
      <c r="BQ364" s="1351"/>
      <c r="BR364" s="1350"/>
      <c r="BS364" s="648"/>
    </row>
    <row r="365" spans="1:71" s="665" customFormat="1" ht="15" hidden="1" outlineLevel="2">
      <c r="A365" s="999" t="s">
        <v>462</v>
      </c>
      <c r="B365" s="308"/>
      <c r="C365" s="1364">
        <v>704.10</v>
      </c>
      <c r="D365" s="1364">
        <v>685.30</v>
      </c>
      <c r="E365" s="1364">
        <v>713.40</v>
      </c>
      <c r="F365" s="1364">
        <v>782.30</v>
      </c>
      <c r="G365" s="1364">
        <v>882.80</v>
      </c>
      <c r="H365" s="1047"/>
      <c r="I365" s="1047"/>
      <c r="J365" s="1047"/>
      <c r="K365" s="1047"/>
      <c r="L365" s="1364">
        <v>1000.70</v>
      </c>
      <c r="M365" s="1047"/>
      <c r="N365" s="1047"/>
      <c r="O365" s="1047"/>
      <c r="P365" s="1047"/>
      <c r="Q365" s="1364">
        <v>1095.5999999999999</v>
      </c>
      <c r="R365" s="1047"/>
      <c r="S365" s="1047"/>
      <c r="T365" s="1047"/>
      <c r="U365" s="1047"/>
      <c r="V365" s="1364">
        <v>1279.4000000000001</v>
      </c>
      <c r="W365" s="1047"/>
      <c r="X365" s="1047"/>
      <c r="Y365" s="1047"/>
      <c r="Z365" s="1047"/>
      <c r="AA365" s="1364">
        <v>1472.80</v>
      </c>
      <c r="AB365" s="1047"/>
      <c r="AC365" s="1047"/>
      <c r="AD365" s="1047"/>
      <c r="AE365" s="1047"/>
      <c r="AF365" s="1364">
        <v>1699</v>
      </c>
      <c r="AG365" s="1047"/>
      <c r="AH365" s="1047"/>
      <c r="AI365" s="1047"/>
      <c r="AJ365" s="1047"/>
      <c r="AK365" s="1364">
        <v>1843.20</v>
      </c>
      <c r="AL365" s="1047"/>
      <c r="AM365" s="1047"/>
      <c r="AN365" s="1047"/>
      <c r="AO365" s="1047"/>
      <c r="AP365" s="1364">
        <v>1932.80</v>
      </c>
      <c r="AQ365" s="1047"/>
      <c r="AR365" s="1047"/>
      <c r="AS365" s="1047"/>
      <c r="AT365" s="1047"/>
      <c r="AU365" s="1364">
        <v>2008.60</v>
      </c>
      <c r="AV365" s="1047"/>
      <c r="AW365" s="1047"/>
      <c r="AX365" s="1047"/>
      <c r="AY365" s="1047"/>
      <c r="AZ365" s="1364">
        <v>2056.10</v>
      </c>
      <c r="BA365" s="1047"/>
      <c r="BB365" s="1047"/>
      <c r="BC365" s="1047"/>
      <c r="BD365" s="1047"/>
      <c r="BE365" s="1364">
        <v>2416</v>
      </c>
      <c r="BF365" s="1047"/>
      <c r="BG365" s="1047"/>
      <c r="BH365" s="1048"/>
      <c r="BI365" s="1044"/>
      <c r="BJ365" s="1350"/>
      <c r="BK365" s="1044"/>
      <c r="BL365" s="1044"/>
      <c r="BM365" s="1044"/>
      <c r="BN365" s="1044"/>
      <c r="BO365" s="1350"/>
      <c r="BP365" s="1351"/>
      <c r="BQ365" s="1351"/>
      <c r="BR365" s="1350"/>
      <c r="BS365" s="648"/>
    </row>
    <row r="366" spans="1:71" s="665" customFormat="1" ht="15" hidden="1" outlineLevel="2">
      <c r="A366" s="999" t="s">
        <v>463</v>
      </c>
      <c r="B366" s="308"/>
      <c r="C366" s="1364">
        <v>455.30</v>
      </c>
      <c r="D366" s="1364">
        <v>448.40</v>
      </c>
      <c r="E366" s="1364">
        <v>471.70</v>
      </c>
      <c r="F366" s="1364">
        <v>488.50</v>
      </c>
      <c r="G366" s="1364">
        <v>539.50</v>
      </c>
      <c r="H366" s="1047"/>
      <c r="I366" s="1047"/>
      <c r="J366" s="1047"/>
      <c r="K366" s="1047"/>
      <c r="L366" s="1364">
        <v>659.60</v>
      </c>
      <c r="M366" s="1047"/>
      <c r="N366" s="1047"/>
      <c r="O366" s="1047"/>
      <c r="P366" s="1047"/>
      <c r="Q366" s="1364">
        <v>812.50</v>
      </c>
      <c r="R366" s="1047"/>
      <c r="S366" s="1047"/>
      <c r="T366" s="1047"/>
      <c r="U366" s="1047"/>
      <c r="V366" s="1364">
        <v>971.30</v>
      </c>
      <c r="W366" s="1047"/>
      <c r="X366" s="1047"/>
      <c r="Y366" s="1047"/>
      <c r="Z366" s="1047"/>
      <c r="AA366" s="1364">
        <v>1186.80</v>
      </c>
      <c r="AB366" s="1047"/>
      <c r="AC366" s="1047"/>
      <c r="AD366" s="1047"/>
      <c r="AE366" s="1047"/>
      <c r="AF366" s="1364">
        <v>1423.70</v>
      </c>
      <c r="AG366" s="1047"/>
      <c r="AH366" s="1047"/>
      <c r="AI366" s="1047"/>
      <c r="AJ366" s="1047"/>
      <c r="AK366" s="1364">
        <v>1673.50</v>
      </c>
      <c r="AL366" s="1047"/>
      <c r="AM366" s="1047"/>
      <c r="AN366" s="1047"/>
      <c r="AO366" s="1047"/>
      <c r="AP366" s="1364">
        <v>1797.60</v>
      </c>
      <c r="AQ366" s="1047"/>
      <c r="AR366" s="1047"/>
      <c r="AS366" s="1047"/>
      <c r="AT366" s="1047"/>
      <c r="AU366" s="1364">
        <v>1962.70</v>
      </c>
      <c r="AV366" s="1047"/>
      <c r="AW366" s="1047"/>
      <c r="AX366" s="1047"/>
      <c r="AY366" s="1047"/>
      <c r="AZ366" s="1364">
        <v>2014.90</v>
      </c>
      <c r="BA366" s="1047"/>
      <c r="BB366" s="1047"/>
      <c r="BC366" s="1047"/>
      <c r="BD366" s="1047"/>
      <c r="BE366" s="1364">
        <v>2255.3000000000002</v>
      </c>
      <c r="BF366" s="1047"/>
      <c r="BG366" s="1047"/>
      <c r="BH366" s="1048"/>
      <c r="BI366" s="1044"/>
      <c r="BJ366" s="1350"/>
      <c r="BK366" s="1044"/>
      <c r="BL366" s="1044"/>
      <c r="BM366" s="1044"/>
      <c r="BN366" s="1044"/>
      <c r="BO366" s="1350"/>
      <c r="BP366" s="1351"/>
      <c r="BQ366" s="1351"/>
      <c r="BR366" s="1350"/>
      <c r="BS366" s="648"/>
    </row>
    <row r="367" spans="1:71" s="665" customFormat="1" ht="15" hidden="1" outlineLevel="2">
      <c r="A367" s="999" t="s">
        <v>464</v>
      </c>
      <c r="B367" s="308"/>
      <c r="C367" s="1364">
        <v>623.90</v>
      </c>
      <c r="D367" s="1364">
        <v>652.50</v>
      </c>
      <c r="E367" s="1364">
        <v>689</v>
      </c>
      <c r="F367" s="1364">
        <v>725.80</v>
      </c>
      <c r="G367" s="1364">
        <v>757.40</v>
      </c>
      <c r="H367" s="1047"/>
      <c r="I367" s="1047"/>
      <c r="J367" s="1047"/>
      <c r="K367" s="1047"/>
      <c r="L367" s="1364">
        <v>807.70</v>
      </c>
      <c r="M367" s="1047"/>
      <c r="N367" s="1047"/>
      <c r="O367" s="1047"/>
      <c r="P367" s="1047"/>
      <c r="Q367" s="1364">
        <v>820.80</v>
      </c>
      <c r="R367" s="1047"/>
      <c r="S367" s="1047"/>
      <c r="T367" s="1047"/>
      <c r="U367" s="1047"/>
      <c r="V367" s="1364">
        <v>905.20</v>
      </c>
      <c r="W367" s="1047"/>
      <c r="X367" s="1047"/>
      <c r="Y367" s="1047"/>
      <c r="Z367" s="1047"/>
      <c r="AA367" s="1364">
        <v>1033.50</v>
      </c>
      <c r="AB367" s="1047"/>
      <c r="AC367" s="1047"/>
      <c r="AD367" s="1047"/>
      <c r="AE367" s="1047"/>
      <c r="AF367" s="1364">
        <v>1194</v>
      </c>
      <c r="AG367" s="1047"/>
      <c r="AH367" s="1047"/>
      <c r="AI367" s="1047"/>
      <c r="AJ367" s="1047"/>
      <c r="AK367" s="1364">
        <v>1339.50</v>
      </c>
      <c r="AL367" s="1047"/>
      <c r="AM367" s="1047"/>
      <c r="AN367" s="1047"/>
      <c r="AO367" s="1047"/>
      <c r="AP367" s="1364">
        <v>1404.20</v>
      </c>
      <c r="AQ367" s="1047"/>
      <c r="AR367" s="1047"/>
      <c r="AS367" s="1047"/>
      <c r="AT367" s="1047"/>
      <c r="AU367" s="1364">
        <v>1563</v>
      </c>
      <c r="AV367" s="1047"/>
      <c r="AW367" s="1047"/>
      <c r="AX367" s="1047"/>
      <c r="AY367" s="1047"/>
      <c r="AZ367" s="1364">
        <v>1708.90</v>
      </c>
      <c r="BA367" s="1047"/>
      <c r="BB367" s="1047"/>
      <c r="BC367" s="1047"/>
      <c r="BD367" s="1047"/>
      <c r="BE367" s="1364">
        <v>1851</v>
      </c>
      <c r="BF367" s="1047"/>
      <c r="BG367" s="1047"/>
      <c r="BH367" s="1048"/>
      <c r="BI367" s="1044"/>
      <c r="BJ367" s="1350"/>
      <c r="BK367" s="1044"/>
      <c r="BL367" s="1044"/>
      <c r="BM367" s="1044"/>
      <c r="BN367" s="1044"/>
      <c r="BO367" s="1350"/>
      <c r="BP367" s="1351"/>
      <c r="BQ367" s="1351"/>
      <c r="BR367" s="1350"/>
      <c r="BS367" s="648"/>
    </row>
    <row r="368" spans="1:71" s="665" customFormat="1" ht="15" hidden="1" outlineLevel="2">
      <c r="A368" s="999" t="s">
        <v>465</v>
      </c>
      <c r="B368" s="308"/>
      <c r="C368" s="1364">
        <v>580.70000000000005</v>
      </c>
      <c r="D368" s="1364">
        <v>608.50</v>
      </c>
      <c r="E368" s="1364">
        <v>623.10</v>
      </c>
      <c r="F368" s="1364">
        <v>644.20000000000005</v>
      </c>
      <c r="G368" s="1364">
        <v>663.80</v>
      </c>
      <c r="H368" s="1047"/>
      <c r="I368" s="1047"/>
      <c r="J368" s="1047"/>
      <c r="K368" s="1047"/>
      <c r="L368" s="1364">
        <v>718.60</v>
      </c>
      <c r="M368" s="1047"/>
      <c r="N368" s="1047"/>
      <c r="O368" s="1047"/>
      <c r="P368" s="1047"/>
      <c r="Q368" s="1364">
        <v>787.30</v>
      </c>
      <c r="R368" s="1047"/>
      <c r="S368" s="1047"/>
      <c r="T368" s="1047"/>
      <c r="U368" s="1047"/>
      <c r="V368" s="1364">
        <v>895.80</v>
      </c>
      <c r="W368" s="1047"/>
      <c r="X368" s="1047"/>
      <c r="Y368" s="1047"/>
      <c r="Z368" s="1047"/>
      <c r="AA368" s="1364">
        <v>1005.50</v>
      </c>
      <c r="AB368" s="1047"/>
      <c r="AC368" s="1047"/>
      <c r="AD368" s="1047"/>
      <c r="AE368" s="1047"/>
      <c r="AF368" s="1364">
        <v>1157.4000000000001</v>
      </c>
      <c r="AG368" s="1047"/>
      <c r="AH368" s="1047"/>
      <c r="AI368" s="1047"/>
      <c r="AJ368" s="1047"/>
      <c r="AK368" s="1364">
        <v>1268.30</v>
      </c>
      <c r="AL368" s="1047"/>
      <c r="AM368" s="1047"/>
      <c r="AN368" s="1047"/>
      <c r="AO368" s="1047"/>
      <c r="AP368" s="1364">
        <v>1327.20</v>
      </c>
      <c r="AQ368" s="1047"/>
      <c r="AR368" s="1047"/>
      <c r="AS368" s="1047"/>
      <c r="AT368" s="1047"/>
      <c r="AU368" s="1364">
        <v>1504.80</v>
      </c>
      <c r="AV368" s="1047"/>
      <c r="AW368" s="1047"/>
      <c r="AX368" s="1047"/>
      <c r="AY368" s="1047"/>
      <c r="AZ368" s="1364">
        <v>1670.20</v>
      </c>
      <c r="BA368" s="1047"/>
      <c r="BB368" s="1047"/>
      <c r="BC368" s="1047"/>
      <c r="BD368" s="1047"/>
      <c r="BE368" s="1364">
        <v>1803.70</v>
      </c>
      <c r="BF368" s="1047"/>
      <c r="BG368" s="1047"/>
      <c r="BH368" s="1048"/>
      <c r="BI368" s="1044"/>
      <c r="BJ368" s="1350"/>
      <c r="BK368" s="1044"/>
      <c r="BL368" s="1044"/>
      <c r="BM368" s="1044"/>
      <c r="BN368" s="1044"/>
      <c r="BO368" s="1350"/>
      <c r="BP368" s="1351"/>
      <c r="BQ368" s="1351"/>
      <c r="BR368" s="1350"/>
      <c r="BS368" s="648"/>
    </row>
    <row r="369" spans="1:71" s="665" customFormat="1" ht="15" hidden="1" outlineLevel="2">
      <c r="A369" s="999" t="s">
        <v>466</v>
      </c>
      <c r="B369" s="308"/>
      <c r="C369" s="1364">
        <v>0</v>
      </c>
      <c r="D369" s="1364">
        <v>440.60</v>
      </c>
      <c r="E369" s="1364">
        <v>496.30</v>
      </c>
      <c r="F369" s="1364">
        <v>600.10</v>
      </c>
      <c r="G369" s="1364">
        <v>697.40</v>
      </c>
      <c r="H369" s="1047"/>
      <c r="I369" s="1047"/>
      <c r="J369" s="1047"/>
      <c r="K369" s="1047"/>
      <c r="L369" s="1364">
        <v>754.60</v>
      </c>
      <c r="M369" s="1047"/>
      <c r="N369" s="1047"/>
      <c r="O369" s="1047"/>
      <c r="P369" s="1047"/>
      <c r="Q369" s="1364">
        <v>820.20</v>
      </c>
      <c r="R369" s="1047"/>
      <c r="S369" s="1047"/>
      <c r="T369" s="1047"/>
      <c r="U369" s="1047"/>
      <c r="V369" s="1364">
        <v>902.80</v>
      </c>
      <c r="W369" s="1047"/>
      <c r="X369" s="1047"/>
      <c r="Y369" s="1047"/>
      <c r="Z369" s="1047"/>
      <c r="AA369" s="1364">
        <v>985.80</v>
      </c>
      <c r="AB369" s="1047"/>
      <c r="AC369" s="1047"/>
      <c r="AD369" s="1047"/>
      <c r="AE369" s="1047"/>
      <c r="AF369" s="1364">
        <v>1088.0999999999999</v>
      </c>
      <c r="AG369" s="1047"/>
      <c r="AH369" s="1047"/>
      <c r="AI369" s="1047"/>
      <c r="AJ369" s="1047"/>
      <c r="AK369" s="1364">
        <v>1192.30</v>
      </c>
      <c r="AL369" s="1047"/>
      <c r="AM369" s="1047"/>
      <c r="AN369" s="1047"/>
      <c r="AO369" s="1047"/>
      <c r="AP369" s="1364">
        <v>1242</v>
      </c>
      <c r="AQ369" s="1047"/>
      <c r="AR369" s="1047"/>
      <c r="AS369" s="1047"/>
      <c r="AT369" s="1047"/>
      <c r="AU369" s="1364">
        <v>1417.50</v>
      </c>
      <c r="AV369" s="1047"/>
      <c r="AW369" s="1047"/>
      <c r="AX369" s="1047"/>
      <c r="AY369" s="1047"/>
      <c r="AZ369" s="1364">
        <v>1599.90</v>
      </c>
      <c r="BA369" s="1047"/>
      <c r="BB369" s="1047"/>
      <c r="BC369" s="1047"/>
      <c r="BD369" s="1047"/>
      <c r="BE369" s="1364">
        <v>1911.40</v>
      </c>
      <c r="BF369" s="1047"/>
      <c r="BG369" s="1047"/>
      <c r="BH369" s="1048"/>
      <c r="BI369" s="1044"/>
      <c r="BJ369" s="1350"/>
      <c r="BK369" s="1044"/>
      <c r="BL369" s="1044"/>
      <c r="BM369" s="1044"/>
      <c r="BN369" s="1044"/>
      <c r="BO369" s="1350"/>
      <c r="BP369" s="1351"/>
      <c r="BQ369" s="1351"/>
      <c r="BR369" s="1350"/>
      <c r="BS369" s="648"/>
    </row>
    <row r="370" spans="1:71" s="665" customFormat="1" ht="15" hidden="1" outlineLevel="2">
      <c r="A370" s="999" t="s">
        <v>786</v>
      </c>
      <c r="B370" s="308"/>
      <c r="C370" s="1351"/>
      <c r="D370" s="1351"/>
      <c r="E370" s="1351"/>
      <c r="F370" s="1351"/>
      <c r="G370" s="1351"/>
      <c r="H370" s="1047"/>
      <c r="I370" s="1047"/>
      <c r="J370" s="1047"/>
      <c r="K370" s="1047"/>
      <c r="L370" s="1351"/>
      <c r="M370" s="1047"/>
      <c r="N370" s="1047"/>
      <c r="O370" s="1047"/>
      <c r="P370" s="1047"/>
      <c r="Q370" s="1351"/>
      <c r="R370" s="1047"/>
      <c r="S370" s="1047"/>
      <c r="T370" s="1047"/>
      <c r="U370" s="1047"/>
      <c r="V370" s="1351"/>
      <c r="W370" s="1047"/>
      <c r="X370" s="1047"/>
      <c r="Y370" s="1047"/>
      <c r="Z370" s="1047"/>
      <c r="AA370" s="1351"/>
      <c r="AB370" s="1047"/>
      <c r="AC370" s="1047"/>
      <c r="AD370" s="1047"/>
      <c r="AE370" s="1047"/>
      <c r="AF370" s="1351"/>
      <c r="AG370" s="1047"/>
      <c r="AH370" s="1047"/>
      <c r="AI370" s="1047"/>
      <c r="AJ370" s="1047"/>
      <c r="AK370" s="1351"/>
      <c r="AL370" s="1047"/>
      <c r="AM370" s="1047"/>
      <c r="AN370" s="1047"/>
      <c r="AO370" s="1047"/>
      <c r="AP370" s="1351"/>
      <c r="AQ370" s="1047"/>
      <c r="AR370" s="1047"/>
      <c r="AS370" s="1047"/>
      <c r="AT370" s="1047"/>
      <c r="AU370" s="1351"/>
      <c r="AV370" s="1047"/>
      <c r="AW370" s="1047"/>
      <c r="AX370" s="1047"/>
      <c r="AY370" s="1047"/>
      <c r="AZ370" s="1351"/>
      <c r="BA370" s="1047"/>
      <c r="BB370" s="1047"/>
      <c r="BC370" s="1047"/>
      <c r="BD370" s="1047"/>
      <c r="BE370" s="1364">
        <v>1582.60</v>
      </c>
      <c r="BF370" s="1047"/>
      <c r="BG370" s="1047"/>
      <c r="BH370" s="1048"/>
      <c r="BI370" s="1044"/>
      <c r="BJ370" s="1350"/>
      <c r="BK370" s="1044"/>
      <c r="BL370" s="1044"/>
      <c r="BM370" s="1044"/>
      <c r="BN370" s="1044"/>
      <c r="BO370" s="1350"/>
      <c r="BP370" s="1351"/>
      <c r="BQ370" s="1351"/>
      <c r="BR370" s="1350"/>
      <c r="BS370" s="648"/>
    </row>
    <row r="371" spans="1:71" s="665" customFormat="1" ht="15" hidden="1" outlineLevel="2">
      <c r="A371" s="999" t="s">
        <v>467</v>
      </c>
      <c r="B371" s="308"/>
      <c r="C371" s="1364">
        <v>414.50</v>
      </c>
      <c r="D371" s="1364">
        <v>465.90</v>
      </c>
      <c r="E371" s="1364">
        <v>496.10</v>
      </c>
      <c r="F371" s="1364">
        <v>515.90</v>
      </c>
      <c r="G371" s="1364">
        <v>540.10</v>
      </c>
      <c r="H371" s="1047"/>
      <c r="I371" s="1047"/>
      <c r="J371" s="1047"/>
      <c r="K371" s="1047"/>
      <c r="L371" s="1364">
        <v>552.50</v>
      </c>
      <c r="M371" s="1047"/>
      <c r="N371" s="1047"/>
      <c r="O371" s="1047"/>
      <c r="P371" s="1047"/>
      <c r="Q371" s="1364">
        <v>614.90</v>
      </c>
      <c r="R371" s="1047"/>
      <c r="S371" s="1047"/>
      <c r="T371" s="1047"/>
      <c r="U371" s="1047"/>
      <c r="V371" s="1364">
        <v>694.70</v>
      </c>
      <c r="W371" s="1047"/>
      <c r="X371" s="1047"/>
      <c r="Y371" s="1047"/>
      <c r="Z371" s="1047"/>
      <c r="AA371" s="1364">
        <v>739.20</v>
      </c>
      <c r="AB371" s="1047"/>
      <c r="AC371" s="1047"/>
      <c r="AD371" s="1047"/>
      <c r="AE371" s="1047"/>
      <c r="AF371" s="1364">
        <v>856.50</v>
      </c>
      <c r="AG371" s="1047"/>
      <c r="AH371" s="1047"/>
      <c r="AI371" s="1047"/>
      <c r="AJ371" s="1047"/>
      <c r="AK371" s="1364">
        <v>965.60</v>
      </c>
      <c r="AL371" s="1047"/>
      <c r="AM371" s="1047"/>
      <c r="AN371" s="1047"/>
      <c r="AO371" s="1047"/>
      <c r="AP371" s="1364">
        <v>1039.4000000000001</v>
      </c>
      <c r="AQ371" s="1047"/>
      <c r="AR371" s="1047"/>
      <c r="AS371" s="1047"/>
      <c r="AT371" s="1047"/>
      <c r="AU371" s="1364">
        <v>1154.4000000000001</v>
      </c>
      <c r="AV371" s="1047"/>
      <c r="AW371" s="1047"/>
      <c r="AX371" s="1047"/>
      <c r="AY371" s="1047"/>
      <c r="AZ371" s="1364">
        <v>1258.9000000000001</v>
      </c>
      <c r="BA371" s="1047"/>
      <c r="BB371" s="1047"/>
      <c r="BC371" s="1047"/>
      <c r="BD371" s="1047"/>
      <c r="BE371" s="1351"/>
      <c r="BF371" s="1047"/>
      <c r="BG371" s="1047"/>
      <c r="BH371" s="1048"/>
      <c r="BI371" s="1044"/>
      <c r="BJ371" s="1350"/>
      <c r="BK371" s="1044"/>
      <c r="BL371" s="1044"/>
      <c r="BM371" s="1044"/>
      <c r="BN371" s="1044"/>
      <c r="BO371" s="1350"/>
      <c r="BP371" s="1351"/>
      <c r="BQ371" s="1351"/>
      <c r="BR371" s="1350"/>
      <c r="BS371" s="648"/>
    </row>
    <row r="372" spans="1:71" s="665" customFormat="1" ht="15" hidden="1" outlineLevel="2">
      <c r="A372" s="999" t="s">
        <v>468</v>
      </c>
      <c r="B372" s="308"/>
      <c r="C372" s="1364">
        <v>6693.70</v>
      </c>
      <c r="D372" s="1364">
        <v>6622.30</v>
      </c>
      <c r="E372" s="1364">
        <v>6896.10</v>
      </c>
      <c r="F372" s="1364">
        <v>7367.70</v>
      </c>
      <c r="G372" s="1364">
        <v>7742.30</v>
      </c>
      <c r="H372" s="1047"/>
      <c r="I372" s="1047"/>
      <c r="J372" s="1047"/>
      <c r="K372" s="1047"/>
      <c r="L372" s="1364">
        <v>8242.7000000000007</v>
      </c>
      <c r="M372" s="1047"/>
      <c r="N372" s="1047"/>
      <c r="O372" s="1047"/>
      <c r="P372" s="1047"/>
      <c r="Q372" s="1364">
        <v>8844.7999999999993</v>
      </c>
      <c r="R372" s="1047"/>
      <c r="S372" s="1047"/>
      <c r="T372" s="1047"/>
      <c r="U372" s="1047"/>
      <c r="V372" s="1364">
        <v>9948.2000000000007</v>
      </c>
      <c r="W372" s="1047"/>
      <c r="X372" s="1047"/>
      <c r="Y372" s="1047"/>
      <c r="Z372" s="1047"/>
      <c r="AA372" s="1364">
        <v>11498.10</v>
      </c>
      <c r="AB372" s="1047"/>
      <c r="AC372" s="1047"/>
      <c r="AD372" s="1047"/>
      <c r="AE372" s="1047"/>
      <c r="AF372" s="1364">
        <v>13812.80</v>
      </c>
      <c r="AG372" s="1047"/>
      <c r="AH372" s="1047"/>
      <c r="AI372" s="1047"/>
      <c r="AJ372" s="1047"/>
      <c r="AK372" s="1364">
        <v>16127</v>
      </c>
      <c r="AL372" s="1047"/>
      <c r="AM372" s="1047"/>
      <c r="AN372" s="1047"/>
      <c r="AO372" s="1047"/>
      <c r="AP372" s="1364">
        <v>17659.20</v>
      </c>
      <c r="AQ372" s="1047"/>
      <c r="AR372" s="1047"/>
      <c r="AS372" s="1047"/>
      <c r="AT372" s="1047"/>
      <c r="AU372" s="1364">
        <v>20427.20</v>
      </c>
      <c r="AV372" s="1047"/>
      <c r="AW372" s="1047"/>
      <c r="AX372" s="1047"/>
      <c r="AY372" s="1047"/>
      <c r="AZ372" s="1364">
        <v>22227.400000000001</v>
      </c>
      <c r="BA372" s="1047"/>
      <c r="BB372" s="1047"/>
      <c r="BC372" s="1047"/>
      <c r="BD372" s="1047"/>
      <c r="BE372" s="1364">
        <v>26488.900000000001</v>
      </c>
      <c r="BF372" s="1047"/>
      <c r="BG372" s="1047"/>
      <c r="BH372" s="1048"/>
      <c r="BI372" s="1044"/>
      <c r="BJ372" s="1350"/>
      <c r="BK372" s="1044"/>
      <c r="BL372" s="1044"/>
      <c r="BM372" s="1044"/>
      <c r="BN372" s="1044"/>
      <c r="BO372" s="1350"/>
      <c r="BP372" s="1351"/>
      <c r="BQ372" s="1351"/>
      <c r="BR372" s="1350"/>
      <c r="BS372" s="648"/>
    </row>
    <row r="373" spans="1:71" s="668" customFormat="1" ht="15" hidden="1" outlineLevel="2">
      <c r="A373" s="475" t="s">
        <v>469</v>
      </c>
      <c r="B373" s="389"/>
      <c r="C373" s="1356">
        <f>SUM(C361:C372)</f>
        <v>14002.90</v>
      </c>
      <c r="D373" s="1356">
        <f>SUM(D361:D372)</f>
        <v>14476.80</v>
      </c>
      <c r="E373" s="1356">
        <f>SUM(E361:E372)</f>
        <v>15146.60</v>
      </c>
      <c r="F373" s="1356">
        <f>SUM(F361:F372)</f>
        <v>16372.700000000001</v>
      </c>
      <c r="G373" s="1356">
        <f>SUM(G361:G372)</f>
        <v>17339.700000000001</v>
      </c>
      <c r="H373" s="1054"/>
      <c r="I373" s="1054"/>
      <c r="J373" s="1054"/>
      <c r="K373" s="1054"/>
      <c r="L373" s="1356">
        <f>SUM(L361:L372)</f>
        <v>18654.600000000002</v>
      </c>
      <c r="M373" s="1054"/>
      <c r="N373" s="1054"/>
      <c r="O373" s="1054"/>
      <c r="P373" s="1054"/>
      <c r="Q373" s="1356">
        <f>SUM(Q361:Q372)</f>
        <v>20564</v>
      </c>
      <c r="R373" s="1054"/>
      <c r="S373" s="1054"/>
      <c r="T373" s="1054"/>
      <c r="U373" s="1054"/>
      <c r="V373" s="1356">
        <f>SUM(V361:V372)</f>
        <v>23353.50</v>
      </c>
      <c r="W373" s="1054"/>
      <c r="X373" s="1054"/>
      <c r="Y373" s="1054"/>
      <c r="Z373" s="1054"/>
      <c r="AA373" s="1356">
        <f>SUM(AA361:AA372)</f>
        <v>27132.099999999999</v>
      </c>
      <c r="AB373" s="1054"/>
      <c r="AC373" s="1054"/>
      <c r="AD373" s="1054"/>
      <c r="AE373" s="1054"/>
      <c r="AF373" s="1356">
        <f>SUM(AF361:AF372)</f>
        <v>32609.899999999998</v>
      </c>
      <c r="AG373" s="1054"/>
      <c r="AH373" s="1054"/>
      <c r="AI373" s="1054"/>
      <c r="AJ373" s="1054"/>
      <c r="AK373" s="1356">
        <f>SUM(AK361:AK372)</f>
        <v>37577.899999999994</v>
      </c>
      <c r="AL373" s="1054"/>
      <c r="AM373" s="1054"/>
      <c r="AN373" s="1054"/>
      <c r="AO373" s="1054"/>
      <c r="AP373" s="1356">
        <f>SUM(AP361:AP372)</f>
        <v>40568.700000000004</v>
      </c>
      <c r="AQ373" s="1054"/>
      <c r="AR373" s="1054"/>
      <c r="AS373" s="1054"/>
      <c r="AT373" s="1054"/>
      <c r="AU373" s="1356">
        <f>SUM(AU361:AU372)</f>
        <v>46405.199999999997</v>
      </c>
      <c r="AV373" s="1054"/>
      <c r="AW373" s="1054"/>
      <c r="AX373" s="1054"/>
      <c r="AY373" s="1054"/>
      <c r="AZ373" s="1356">
        <f>SUM(AZ361:AZ372)</f>
        <v>51081.100000000006</v>
      </c>
      <c r="BA373" s="1054"/>
      <c r="BB373" s="1054"/>
      <c r="BC373" s="1054"/>
      <c r="BD373" s="1054"/>
      <c r="BE373" s="1356">
        <f>SUM(BE361:BE372)</f>
        <v>61550.199999999997</v>
      </c>
      <c r="BF373" s="1054"/>
      <c r="BG373" s="1054"/>
      <c r="BH373" s="1100"/>
      <c r="BI373" s="1054"/>
      <c r="BJ373" s="1356"/>
      <c r="BK373" s="1054"/>
      <c r="BL373" s="1054"/>
      <c r="BM373" s="1054"/>
      <c r="BN373" s="1054"/>
      <c r="BO373" s="1356"/>
      <c r="BP373" s="1356"/>
      <c r="BQ373" s="1356"/>
      <c r="BR373" s="1356"/>
      <c r="BS373" s="648"/>
    </row>
    <row r="374" spans="1:71" s="665" customFormat="1" ht="15" hidden="1" outlineLevel="1" collapsed="1">
      <c r="A374" s="999"/>
      <c r="B374" s="308"/>
      <c r="C374" s="1351"/>
      <c r="D374" s="1351"/>
      <c r="E374" s="1351"/>
      <c r="F374" s="1351"/>
      <c r="G374" s="1351"/>
      <c r="H374" s="1047"/>
      <c r="I374" s="1047"/>
      <c r="J374" s="1047"/>
      <c r="K374" s="1047"/>
      <c r="L374" s="1351"/>
      <c r="M374" s="1047"/>
      <c r="N374" s="1047"/>
      <c r="O374" s="1047"/>
      <c r="P374" s="1047"/>
      <c r="Q374" s="1351"/>
      <c r="R374" s="1047"/>
      <c r="S374" s="1047"/>
      <c r="T374" s="1047"/>
      <c r="U374" s="1047"/>
      <c r="V374" s="1351"/>
      <c r="W374" s="1047"/>
      <c r="X374" s="1047"/>
      <c r="Y374" s="1047"/>
      <c r="Z374" s="1047"/>
      <c r="AA374" s="1351"/>
      <c r="AB374" s="1047"/>
      <c r="AC374" s="1047"/>
      <c r="AD374" s="1047"/>
      <c r="AE374" s="1047"/>
      <c r="AF374" s="1351"/>
      <c r="AG374" s="1047"/>
      <c r="AH374" s="1047"/>
      <c r="AI374" s="1047"/>
      <c r="AJ374" s="1047"/>
      <c r="AK374" s="1351"/>
      <c r="AL374" s="1047"/>
      <c r="AM374" s="1047"/>
      <c r="AN374" s="1047"/>
      <c r="AO374" s="1047"/>
      <c r="AP374" s="1351"/>
      <c r="AQ374" s="1047"/>
      <c r="AR374" s="1047"/>
      <c r="AS374" s="1047"/>
      <c r="AT374" s="1047"/>
      <c r="AU374" s="1351"/>
      <c r="AV374" s="1047"/>
      <c r="AW374" s="1047"/>
      <c r="AX374" s="1047"/>
      <c r="AY374" s="1047"/>
      <c r="AZ374" s="1351"/>
      <c r="BA374" s="1047"/>
      <c r="BB374" s="1047"/>
      <c r="BC374" s="1047"/>
      <c r="BD374" s="1047"/>
      <c r="BE374" s="1351"/>
      <c r="BF374" s="1047"/>
      <c r="BG374" s="1047"/>
      <c r="BH374" s="1048"/>
      <c r="BI374" s="1044"/>
      <c r="BJ374" s="1350"/>
      <c r="BK374" s="1044"/>
      <c r="BL374" s="1044"/>
      <c r="BM374" s="1044"/>
      <c r="BN374" s="1044"/>
      <c r="BO374" s="1350"/>
      <c r="BP374" s="1351"/>
      <c r="BQ374" s="1351"/>
      <c r="BR374" s="1350"/>
      <c r="BS374" s="648"/>
    </row>
    <row r="375" spans="1:71" s="665" customFormat="1" ht="15" collapsed="1">
      <c r="A375" s="999"/>
      <c r="B375" s="308"/>
      <c r="C375" s="1351"/>
      <c r="D375" s="1351"/>
      <c r="E375" s="1351"/>
      <c r="F375" s="1351"/>
      <c r="G375" s="1351"/>
      <c r="H375" s="1047"/>
      <c r="I375" s="1047"/>
      <c r="J375" s="1047"/>
      <c r="K375" s="1047"/>
      <c r="L375" s="1351"/>
      <c r="M375" s="1047"/>
      <c r="N375" s="1047"/>
      <c r="O375" s="1047"/>
      <c r="P375" s="1047"/>
      <c r="Q375" s="1351"/>
      <c r="R375" s="1047"/>
      <c r="S375" s="1047"/>
      <c r="T375" s="1047"/>
      <c r="U375" s="1047"/>
      <c r="V375" s="1351"/>
      <c r="W375" s="1047"/>
      <c r="X375" s="1047"/>
      <c r="Y375" s="1047"/>
      <c r="Z375" s="1047"/>
      <c r="AA375" s="1351"/>
      <c r="AB375" s="1047"/>
      <c r="AC375" s="1047"/>
      <c r="AD375" s="1047"/>
      <c r="AE375" s="1047"/>
      <c r="AF375" s="1351"/>
      <c r="AG375" s="1047"/>
      <c r="AH375" s="1047"/>
      <c r="AI375" s="1047"/>
      <c r="AJ375" s="1047"/>
      <c r="AK375" s="1351"/>
      <c r="AL375" s="1047"/>
      <c r="AM375" s="1047"/>
      <c r="AN375" s="1047"/>
      <c r="AO375" s="1047"/>
      <c r="AP375" s="1351"/>
      <c r="AQ375" s="1047"/>
      <c r="AR375" s="1047"/>
      <c r="AS375" s="1047"/>
      <c r="AT375" s="1047"/>
      <c r="AU375" s="1351"/>
      <c r="AV375" s="1047"/>
      <c r="AW375" s="1047"/>
      <c r="AX375" s="1047"/>
      <c r="AY375" s="1047"/>
      <c r="AZ375" s="1351"/>
      <c r="BA375" s="1047"/>
      <c r="BB375" s="1047"/>
      <c r="BC375" s="1047"/>
      <c r="BD375" s="1047"/>
      <c r="BE375" s="1351"/>
      <c r="BF375" s="1047"/>
      <c r="BG375" s="1047"/>
      <c r="BH375" s="1048"/>
      <c r="BI375" s="1044"/>
      <c r="BJ375" s="1350"/>
      <c r="BK375" s="1044"/>
      <c r="BL375" s="1044"/>
      <c r="BM375" s="1044"/>
      <c r="BN375" s="1044"/>
      <c r="BO375" s="1350"/>
      <c r="BP375" s="1351"/>
      <c r="BQ375" s="1351"/>
      <c r="BR375" s="1350"/>
      <c r="BS375" s="648"/>
    </row>
    <row r="376" spans="1:71" s="668" customFormat="1" ht="15">
      <c r="A376" s="991" t="s">
        <v>45</v>
      </c>
      <c r="B376" s="991"/>
      <c r="C376" s="1035"/>
      <c r="D376" s="1035"/>
      <c r="E376" s="1035"/>
      <c r="F376" s="1035"/>
      <c r="G376" s="1035"/>
      <c r="H376" s="1035"/>
      <c r="I376" s="1035"/>
      <c r="J376" s="1035"/>
      <c r="K376" s="1035"/>
      <c r="L376" s="1035"/>
      <c r="M376" s="1035"/>
      <c r="N376" s="1035"/>
      <c r="O376" s="1035"/>
      <c r="P376" s="1035"/>
      <c r="Q376" s="1035"/>
      <c r="R376" s="1035"/>
      <c r="S376" s="1035"/>
      <c r="T376" s="1035"/>
      <c r="U376" s="1035"/>
      <c r="V376" s="1035"/>
      <c r="W376" s="1035"/>
      <c r="X376" s="1035"/>
      <c r="Y376" s="1035"/>
      <c r="Z376" s="1035"/>
      <c r="AA376" s="1035"/>
      <c r="AB376" s="1035"/>
      <c r="AC376" s="1035"/>
      <c r="AD376" s="1035"/>
      <c r="AE376" s="1035"/>
      <c r="AF376" s="1035"/>
      <c r="AG376" s="1035"/>
      <c r="AH376" s="1035"/>
      <c r="AI376" s="1035"/>
      <c r="AJ376" s="1035"/>
      <c r="AK376" s="1035"/>
      <c r="AL376" s="1035"/>
      <c r="AM376" s="1035"/>
      <c r="AN376" s="1035"/>
      <c r="AO376" s="1035"/>
      <c r="AP376" s="1035"/>
      <c r="AQ376" s="1035"/>
      <c r="AR376" s="1035"/>
      <c r="AS376" s="1035"/>
      <c r="AT376" s="1035"/>
      <c r="AU376" s="1035"/>
      <c r="AV376" s="1035"/>
      <c r="AW376" s="1035"/>
      <c r="AX376" s="1035"/>
      <c r="AY376" s="1035"/>
      <c r="AZ376" s="1035"/>
      <c r="BA376" s="1035"/>
      <c r="BB376" s="1035"/>
      <c r="BC376" s="1035"/>
      <c r="BD376" s="1035"/>
      <c r="BE376" s="1035"/>
      <c r="BF376" s="1035"/>
      <c r="BG376" s="1035"/>
      <c r="BH376" s="1036"/>
      <c r="BI376" s="1037"/>
      <c r="BJ376" s="1037"/>
      <c r="BK376" s="1037"/>
      <c r="BL376" s="1037"/>
      <c r="BM376" s="1037"/>
      <c r="BN376" s="1037"/>
      <c r="BO376" s="1037"/>
      <c r="BP376" s="1035"/>
      <c r="BQ376" s="1035"/>
      <c r="BR376" s="1037"/>
      <c r="BS376" s="648"/>
    </row>
    <row r="377" spans="1:71" s="665" customFormat="1" ht="15" hidden="1" outlineLevel="2">
      <c r="A377" s="71" t="s">
        <v>414</v>
      </c>
      <c r="B377" s="308"/>
      <c r="C377" s="1364">
        <v>4817.50</v>
      </c>
      <c r="D377" s="1364">
        <v>3242.60</v>
      </c>
      <c r="E377" s="1364">
        <v>2963</v>
      </c>
      <c r="F377" s="1364">
        <v>2896.50</v>
      </c>
      <c r="G377" s="1364">
        <v>3662.20</v>
      </c>
      <c r="H377" s="1225">
        <v>3230</v>
      </c>
      <c r="I377" s="1225">
        <v>3289.40</v>
      </c>
      <c r="J377" s="1225">
        <v>3062.90</v>
      </c>
      <c r="K377" s="1042">
        <f t="shared" si="739" ref="K377:K385">L377</f>
        <v>2667.10</v>
      </c>
      <c r="L377" s="1364">
        <v>2667.10</v>
      </c>
      <c r="M377" s="1225">
        <v>2708.20</v>
      </c>
      <c r="N377" s="1225">
        <v>2063.1999999999998</v>
      </c>
      <c r="O377" s="1225">
        <v>2038.30</v>
      </c>
      <c r="P377" s="1042">
        <f t="shared" si="740" ref="P377:P385">Q377</f>
        <v>2429.1999999999998</v>
      </c>
      <c r="Q377" s="1364">
        <v>2429.1999999999998</v>
      </c>
      <c r="R377" s="1225">
        <v>1388</v>
      </c>
      <c r="S377" s="1225">
        <v>1296</v>
      </c>
      <c r="T377" s="1225">
        <v>734.60</v>
      </c>
      <c r="U377" s="1042">
        <f t="shared" si="741" ref="U377:U385">V377</f>
        <v>2870.10</v>
      </c>
      <c r="V377" s="1364">
        <v>2870.10</v>
      </c>
      <c r="W377" s="1225">
        <v>3325.80</v>
      </c>
      <c r="X377" s="1225">
        <v>4155</v>
      </c>
      <c r="Y377" s="1225">
        <v>4595</v>
      </c>
      <c r="Z377" s="1042">
        <f>AA377</f>
        <v>6645.90</v>
      </c>
      <c r="AA377" s="1364">
        <v>6645.90</v>
      </c>
      <c r="AB377" s="1225">
        <v>8958.10</v>
      </c>
      <c r="AC377" s="1225">
        <v>7865.40</v>
      </c>
      <c r="AD377" s="1225">
        <v>9752.50</v>
      </c>
      <c r="AE377" s="1042">
        <f>AF377</f>
        <v>9916.50</v>
      </c>
      <c r="AF377" s="1364">
        <v>9916.50</v>
      </c>
      <c r="AG377" s="1225">
        <v>9770.50</v>
      </c>
      <c r="AH377" s="1225">
        <v>12379.40</v>
      </c>
      <c r="AI377" s="1225">
        <v>13678.700000000001</v>
      </c>
      <c r="AJ377" s="1042">
        <f>AK377</f>
        <v>13251.10</v>
      </c>
      <c r="AK377" s="1364">
        <v>13251.10</v>
      </c>
      <c r="AL377" s="1225">
        <v>11495.700000000001</v>
      </c>
      <c r="AM377" s="1225">
        <v>9277.7999999999993</v>
      </c>
      <c r="AN377" s="1225">
        <v>10203.799999999999</v>
      </c>
      <c r="AO377" s="1042">
        <f>AP377</f>
        <v>12740</v>
      </c>
      <c r="AP377" s="1364">
        <v>12740</v>
      </c>
      <c r="AQ377" s="1225">
        <v>16073.40</v>
      </c>
      <c r="AR377" s="1225">
        <v>19437.700000000001</v>
      </c>
      <c r="AS377" s="1225">
        <v>21142.099999999999</v>
      </c>
      <c r="AT377" s="1042">
        <f>AU377</f>
        <v>18488.20</v>
      </c>
      <c r="AU377" s="1364">
        <v>18488.20</v>
      </c>
      <c r="AV377" s="1225">
        <v>19528.80</v>
      </c>
      <c r="AW377" s="1225">
        <v>18719.20</v>
      </c>
      <c r="AX377" s="1225">
        <v>22405.50</v>
      </c>
      <c r="AY377" s="1047">
        <f>AZ377</f>
        <v>25167.400000000001</v>
      </c>
      <c r="AZ377" s="1364">
        <v>25167.400000000001</v>
      </c>
      <c r="BA377" s="1225">
        <v>27350.099999999999</v>
      </c>
      <c r="BB377" s="1225">
        <v>31600.50</v>
      </c>
      <c r="BC377" s="1225">
        <v>34293.800000000003</v>
      </c>
      <c r="BD377" s="1047">
        <f>BE377</f>
        <v>36869.400000000001</v>
      </c>
      <c r="BE377" s="1364">
        <v>36869.400000000001</v>
      </c>
      <c r="BF377" s="1225">
        <v>38562.699999999997</v>
      </c>
      <c r="BG377" s="1225">
        <v>40894</v>
      </c>
      <c r="BH377" s="1226">
        <v>44428.50</v>
      </c>
      <c r="BI377" s="1044"/>
      <c r="BJ377" s="1350"/>
      <c r="BK377" s="1044"/>
      <c r="BL377" s="1044"/>
      <c r="BM377" s="1044"/>
      <c r="BN377" s="1044"/>
      <c r="BO377" s="1350"/>
      <c r="BP377" s="1351"/>
      <c r="BQ377" s="1351"/>
      <c r="BR377" s="1350"/>
      <c r="BS377" s="648"/>
    </row>
    <row r="378" spans="1:71" s="665" customFormat="1" ht="15" hidden="1" outlineLevel="2">
      <c r="A378" s="71" t="s">
        <v>415</v>
      </c>
      <c r="B378" s="308"/>
      <c r="C378" s="1364">
        <v>2024</v>
      </c>
      <c r="D378" s="1364">
        <v>1989.10</v>
      </c>
      <c r="E378" s="1364">
        <v>2002.10</v>
      </c>
      <c r="F378" s="1364">
        <v>1964.40</v>
      </c>
      <c r="G378" s="1364">
        <v>2256</v>
      </c>
      <c r="H378" s="1225">
        <v>2154.90</v>
      </c>
      <c r="I378" s="1225">
        <v>2331.1999999999998</v>
      </c>
      <c r="J378" s="1225">
        <v>2172.8000000000002</v>
      </c>
      <c r="K378" s="1042">
        <f t="shared" si="739"/>
        <v>2139.1999999999998</v>
      </c>
      <c r="L378" s="1364">
        <v>2139.1999999999998</v>
      </c>
      <c r="M378" s="1225">
        <v>2273.8000000000002</v>
      </c>
      <c r="N378" s="1225">
        <v>3192.30</v>
      </c>
      <c r="O378" s="1225">
        <v>3067.90</v>
      </c>
      <c r="P378" s="1042">
        <f t="shared" si="740"/>
        <v>2721.40</v>
      </c>
      <c r="Q378" s="1364">
        <v>2721.40</v>
      </c>
      <c r="R378" s="1225">
        <v>2508.1999999999998</v>
      </c>
      <c r="S378" s="1225">
        <v>2617.60</v>
      </c>
      <c r="T378" s="1225">
        <v>2566</v>
      </c>
      <c r="U378" s="1042">
        <f t="shared" si="741"/>
        <v>2502.60</v>
      </c>
      <c r="V378" s="1364">
        <v>2502.60</v>
      </c>
      <c r="W378" s="1225">
        <v>2488.40</v>
      </c>
      <c r="X378" s="1225">
        <v>2500.10</v>
      </c>
      <c r="Y378" s="1225">
        <v>2364.1999999999998</v>
      </c>
      <c r="Z378" s="1042">
        <f>AA378</f>
        <v>2297.10</v>
      </c>
      <c r="AA378" s="1364">
        <v>2297.10</v>
      </c>
      <c r="AB378" s="1225">
        <v>1720.10</v>
      </c>
      <c r="AC378" s="1225">
        <v>1667.30</v>
      </c>
      <c r="AD378" s="1225">
        <v>1588.80</v>
      </c>
      <c r="AE378" s="1042">
        <f>AF378</f>
        <v>1649.10</v>
      </c>
      <c r="AF378" s="1364">
        <v>1649.10</v>
      </c>
      <c r="AG378" s="1225">
        <v>1515.80</v>
      </c>
      <c r="AH378" s="1225">
        <v>1589.70</v>
      </c>
      <c r="AI378" s="1225">
        <v>1683.70</v>
      </c>
      <c r="AJ378" s="1042">
        <f>AK378</f>
        <v>1713.30</v>
      </c>
      <c r="AK378" s="1364">
        <v>1713.30</v>
      </c>
      <c r="AL378" s="1225">
        <v>2304.1999999999998</v>
      </c>
      <c r="AM378" s="1225">
        <v>3574.30</v>
      </c>
      <c r="AN378" s="1225">
        <v>4529.80</v>
      </c>
      <c r="AO378" s="1042">
        <f>AP378</f>
        <v>3221.80</v>
      </c>
      <c r="AP378" s="1364">
        <v>3221.80</v>
      </c>
      <c r="AQ378" s="1225">
        <v>2624.10</v>
      </c>
      <c r="AR378" s="1225">
        <v>2440.50</v>
      </c>
      <c r="AS378" s="1225">
        <v>2165.90</v>
      </c>
      <c r="AT378" s="1042">
        <f>AU378</f>
        <v>2185.3000000000002</v>
      </c>
      <c r="AU378" s="1364">
        <v>2185.3000000000002</v>
      </c>
      <c r="AV378" s="1225">
        <v>2144.1999999999998</v>
      </c>
      <c r="AW378" s="1225">
        <v>2135.40</v>
      </c>
      <c r="AX378" s="1225">
        <v>1925.50</v>
      </c>
      <c r="AY378" s="1047">
        <f>AZ378</f>
        <v>1977.10</v>
      </c>
      <c r="AZ378" s="1364">
        <v>1977.10</v>
      </c>
      <c r="BA378" s="1225">
        <v>2061.60</v>
      </c>
      <c r="BB378" s="1225">
        <v>2154.6999999999998</v>
      </c>
      <c r="BC378" s="1225">
        <v>2054.3000000000002</v>
      </c>
      <c r="BD378" s="1047">
        <f>BE378</f>
        <v>2202.8000000000002</v>
      </c>
      <c r="BE378" s="1364">
        <v>2202.8000000000002</v>
      </c>
      <c r="BF378" s="1225">
        <v>2059.8000000000002</v>
      </c>
      <c r="BG378" s="1225">
        <v>2202</v>
      </c>
      <c r="BH378" s="1226">
        <v>2601.40</v>
      </c>
      <c r="BI378" s="1044"/>
      <c r="BJ378" s="1350"/>
      <c r="BK378" s="1044"/>
      <c r="BL378" s="1044"/>
      <c r="BM378" s="1044"/>
      <c r="BN378" s="1044"/>
      <c r="BO378" s="1350"/>
      <c r="BP378" s="1351"/>
      <c r="BQ378" s="1351"/>
      <c r="BR378" s="1350"/>
      <c r="BS378" s="648"/>
    </row>
    <row r="379" spans="1:71" s="665" customFormat="1" ht="15" hidden="1" outlineLevel="2">
      <c r="A379" s="71" t="s">
        <v>443</v>
      </c>
      <c r="B379" s="308"/>
      <c r="C379" s="1364">
        <v>0</v>
      </c>
      <c r="D379" s="1364">
        <v>0</v>
      </c>
      <c r="E379" s="1364">
        <v>0</v>
      </c>
      <c r="F379" s="1364">
        <v>0</v>
      </c>
      <c r="G379" s="1364">
        <v>15.60</v>
      </c>
      <c r="H379" s="1225">
        <v>17.90</v>
      </c>
      <c r="I379" s="1225">
        <v>0</v>
      </c>
      <c r="J379" s="1225">
        <v>20.20</v>
      </c>
      <c r="K379" s="1042">
        <f t="shared" si="739"/>
        <v>14.20</v>
      </c>
      <c r="L379" s="1364">
        <v>14.20</v>
      </c>
      <c r="M379" s="1225">
        <v>20</v>
      </c>
      <c r="N379" s="1225">
        <v>18.60</v>
      </c>
      <c r="O379" s="1225">
        <v>19.30</v>
      </c>
      <c r="P379" s="1042">
        <f t="shared" si="740"/>
        <v>18.60</v>
      </c>
      <c r="Q379" s="1364">
        <v>18.60</v>
      </c>
      <c r="R379" s="1225">
        <v>21.90</v>
      </c>
      <c r="S379" s="1225">
        <v>25</v>
      </c>
      <c r="T379" s="1225">
        <v>25.40</v>
      </c>
      <c r="U379" s="1042">
        <f t="shared" si="741"/>
        <v>24.50</v>
      </c>
      <c r="V379" s="1364">
        <v>24.50</v>
      </c>
      <c r="W379" s="1225">
        <v>22.90</v>
      </c>
      <c r="X379" s="1225">
        <v>22.50</v>
      </c>
      <c r="Y379" s="1225">
        <v>24.20</v>
      </c>
      <c r="Z379" s="1047"/>
      <c r="AA379" s="1351"/>
      <c r="AB379" s="1047"/>
      <c r="AC379" s="1047"/>
      <c r="AD379" s="1047"/>
      <c r="AE379" s="1047"/>
      <c r="AF379" s="1351"/>
      <c r="AG379" s="1047"/>
      <c r="AH379" s="1047"/>
      <c r="AI379" s="1047"/>
      <c r="AJ379" s="1047"/>
      <c r="AK379" s="1351"/>
      <c r="AL379" s="1047"/>
      <c r="AM379" s="1047"/>
      <c r="AN379" s="1047"/>
      <c r="AO379" s="1047"/>
      <c r="AP379" s="1351"/>
      <c r="AQ379" s="1047"/>
      <c r="AR379" s="1047"/>
      <c r="AS379" s="1047"/>
      <c r="AT379" s="1047">
        <f>AU379</f>
        <v>17.90</v>
      </c>
      <c r="AU379" s="1364">
        <v>17.90</v>
      </c>
      <c r="AV379" s="1225">
        <v>17.40</v>
      </c>
      <c r="AW379" s="1225">
        <v>16.40</v>
      </c>
      <c r="AX379" s="1225">
        <v>15.30</v>
      </c>
      <c r="AY379" s="1047">
        <f>AZ379</f>
        <v>15.50</v>
      </c>
      <c r="AZ379" s="1364">
        <v>15.50</v>
      </c>
      <c r="BA379" s="1225">
        <v>15.80</v>
      </c>
      <c r="BB379" s="1225">
        <v>15.80</v>
      </c>
      <c r="BC379" s="1225">
        <v>15.40</v>
      </c>
      <c r="BD379" s="1047">
        <f>BE379</f>
        <v>16.30</v>
      </c>
      <c r="BE379" s="1364">
        <v>16.30</v>
      </c>
      <c r="BF379" s="1225">
        <v>15.90</v>
      </c>
      <c r="BG379" s="1225">
        <v>15.80</v>
      </c>
      <c r="BH379" s="1226">
        <v>16.40</v>
      </c>
      <c r="BI379" s="1044"/>
      <c r="BJ379" s="1350"/>
      <c r="BK379" s="1044"/>
      <c r="BL379" s="1044"/>
      <c r="BM379" s="1044"/>
      <c r="BN379" s="1044"/>
      <c r="BO379" s="1350"/>
      <c r="BP379" s="1351"/>
      <c r="BQ379" s="1351"/>
      <c r="BR379" s="1350"/>
      <c r="BS379" s="648"/>
    </row>
    <row r="380" spans="1:71" s="665" customFormat="1" ht="15" hidden="1" outlineLevel="2">
      <c r="A380" s="71" t="s">
        <v>416</v>
      </c>
      <c r="B380" s="308"/>
      <c r="C380" s="1364">
        <v>1281.4000000000001</v>
      </c>
      <c r="D380" s="1364">
        <v>2646.10</v>
      </c>
      <c r="E380" s="1364">
        <v>2896.20</v>
      </c>
      <c r="F380" s="1364">
        <v>3113</v>
      </c>
      <c r="G380" s="1364">
        <v>2926.60</v>
      </c>
      <c r="H380" s="1225">
        <v>2501.60</v>
      </c>
      <c r="I380" s="1225">
        <v>2262.8000000000002</v>
      </c>
      <c r="J380" s="1225">
        <v>2519.10</v>
      </c>
      <c r="K380" s="1042">
        <f t="shared" si="739"/>
        <v>2836.70</v>
      </c>
      <c r="L380" s="1364">
        <v>2836.70</v>
      </c>
      <c r="M380" s="1225">
        <v>2904</v>
      </c>
      <c r="N380" s="1225">
        <v>3434.80</v>
      </c>
      <c r="O380" s="1225">
        <v>3799.50</v>
      </c>
      <c r="P380" s="1042">
        <f t="shared" si="740"/>
        <v>3691.60</v>
      </c>
      <c r="Q380" s="1364">
        <v>3691.60</v>
      </c>
      <c r="R380" s="1225">
        <v>3840</v>
      </c>
      <c r="S380" s="1225">
        <v>3911</v>
      </c>
      <c r="T380" s="1225">
        <v>4403.30</v>
      </c>
      <c r="U380" s="1042">
        <f t="shared" si="741"/>
        <v>4550.8999999999996</v>
      </c>
      <c r="V380" s="1364">
        <v>4550.8999999999996</v>
      </c>
      <c r="W380" s="1225">
        <v>5208</v>
      </c>
      <c r="X380" s="1225">
        <v>5013.80</v>
      </c>
      <c r="Y380" s="1225">
        <v>5225.6000000000004</v>
      </c>
      <c r="Z380" s="1042">
        <f>AA380</f>
        <v>4997.70</v>
      </c>
      <c r="AA380" s="1364">
        <v>4997.70</v>
      </c>
      <c r="AB380" s="1225">
        <v>6041.10</v>
      </c>
      <c r="AC380" s="1225">
        <v>7330.30</v>
      </c>
      <c r="AD380" s="1225">
        <v>7146.80</v>
      </c>
      <c r="AE380" s="1042">
        <f>AF380</f>
        <v>8694.2999999999993</v>
      </c>
      <c r="AF380" s="1364">
        <v>8694.2999999999993</v>
      </c>
      <c r="AG380" s="1225">
        <v>7978</v>
      </c>
      <c r="AH380" s="1225">
        <v>7385.70</v>
      </c>
      <c r="AI380" s="1225">
        <v>7281.10</v>
      </c>
      <c r="AJ380" s="1042">
        <f>AK380</f>
        <v>7067.70</v>
      </c>
      <c r="AK380" s="1364">
        <v>7067.70</v>
      </c>
      <c r="AL380" s="1225">
        <v>9491.90</v>
      </c>
      <c r="AM380" s="1225">
        <v>11062.50</v>
      </c>
      <c r="AN380" s="1225">
        <v>10612</v>
      </c>
      <c r="AO380" s="1042">
        <f>AP380</f>
        <v>10185.200000000001</v>
      </c>
      <c r="AP380" s="1364">
        <v>10185.200000000001</v>
      </c>
      <c r="AQ380" s="1225">
        <v>10436.200000000001</v>
      </c>
      <c r="AR380" s="1225">
        <v>10690.90</v>
      </c>
      <c r="AS380" s="1225">
        <v>10874</v>
      </c>
      <c r="AT380" s="1042">
        <f>AU380</f>
        <v>10692.10</v>
      </c>
      <c r="AU380" s="1364">
        <v>10692.10</v>
      </c>
      <c r="AV380" s="1225">
        <v>11280</v>
      </c>
      <c r="AW380" s="1225">
        <v>10167.799999999999</v>
      </c>
      <c r="AX380" s="1225">
        <v>9228.40</v>
      </c>
      <c r="AY380" s="1047">
        <f>AZ380</f>
        <v>9412.7000000000007</v>
      </c>
      <c r="AZ380" s="1364">
        <v>9412.7000000000007</v>
      </c>
      <c r="BA380" s="1225">
        <v>10681.299999999999</v>
      </c>
      <c r="BB380" s="1225">
        <v>10304.60</v>
      </c>
      <c r="BC380" s="1225">
        <v>10254.200000000001</v>
      </c>
      <c r="BD380" s="1047">
        <f>BE380</f>
        <v>11183.700000000001</v>
      </c>
      <c r="BE380" s="1364">
        <v>11183.700000000001</v>
      </c>
      <c r="BF380" s="1225">
        <v>12521.299999999999</v>
      </c>
      <c r="BG380" s="1225">
        <v>12974.60</v>
      </c>
      <c r="BH380" s="1226">
        <v>15035.50</v>
      </c>
      <c r="BI380" s="1044"/>
      <c r="BJ380" s="1350"/>
      <c r="BK380" s="1044"/>
      <c r="BL380" s="1044"/>
      <c r="BM380" s="1044"/>
      <c r="BN380" s="1044"/>
      <c r="BO380" s="1350"/>
      <c r="BP380" s="1351"/>
      <c r="BQ380" s="1351"/>
      <c r="BR380" s="1350"/>
      <c r="BS380" s="648"/>
    </row>
    <row r="381" spans="1:71" s="665" customFormat="1" ht="15" hidden="1" outlineLevel="2">
      <c r="A381" s="71" t="s">
        <v>417</v>
      </c>
      <c r="B381" s="308"/>
      <c r="C381" s="1364">
        <v>516.40</v>
      </c>
      <c r="D381" s="1364">
        <v>563.60</v>
      </c>
      <c r="E381" s="1364">
        <v>426.90</v>
      </c>
      <c r="F381" s="1364">
        <v>428.20</v>
      </c>
      <c r="G381" s="1364">
        <v>1127.9000000000001</v>
      </c>
      <c r="H381" s="1225">
        <v>1307.4000000000001</v>
      </c>
      <c r="I381" s="1225">
        <v>1335.40</v>
      </c>
      <c r="J381" s="1225">
        <v>1486.50</v>
      </c>
      <c r="K381" s="1042">
        <f t="shared" si="739"/>
        <v>1658.50</v>
      </c>
      <c r="L381" s="1364">
        <v>1658.50</v>
      </c>
      <c r="M381" s="1225">
        <v>1648.20</v>
      </c>
      <c r="N381" s="1225">
        <v>1892.50</v>
      </c>
      <c r="O381" s="1225">
        <v>1809.40</v>
      </c>
      <c r="P381" s="1042">
        <f t="shared" si="740"/>
        <v>1726.70</v>
      </c>
      <c r="Q381" s="1364">
        <v>1726.70</v>
      </c>
      <c r="R381" s="1225">
        <v>1801.50</v>
      </c>
      <c r="S381" s="1225">
        <v>1674.90</v>
      </c>
      <c r="T381" s="1225">
        <v>1594.20</v>
      </c>
      <c r="U381" s="1042">
        <f t="shared" si="741"/>
        <v>1458.70</v>
      </c>
      <c r="V381" s="1364">
        <v>1458.70</v>
      </c>
      <c r="W381" s="1225">
        <v>1409.60</v>
      </c>
      <c r="X381" s="1225">
        <v>1230.5999999999999</v>
      </c>
      <c r="Y381" s="1225">
        <v>920.30</v>
      </c>
      <c r="Z381" s="1042">
        <f>AA381</f>
        <v>836.70</v>
      </c>
      <c r="AA381" s="1364">
        <v>836.70</v>
      </c>
      <c r="AB381" s="1225">
        <v>751.80</v>
      </c>
      <c r="AC381" s="1225">
        <v>822.60</v>
      </c>
      <c r="AD381" s="1225">
        <v>769.80</v>
      </c>
      <c r="AE381" s="1042">
        <f>AF381</f>
        <v>734.40</v>
      </c>
      <c r="AF381" s="1364">
        <v>734.40</v>
      </c>
      <c r="AG381" s="1225">
        <v>613</v>
      </c>
      <c r="AH381" s="1225">
        <v>665.20</v>
      </c>
      <c r="AI381" s="1225">
        <v>681.50</v>
      </c>
      <c r="AJ381" s="1042">
        <f>AK381</f>
        <v>627.50</v>
      </c>
      <c r="AK381" s="1364">
        <v>627.50</v>
      </c>
      <c r="AL381" s="1225">
        <v>556.60</v>
      </c>
      <c r="AM381" s="1225">
        <v>543</v>
      </c>
      <c r="AN381" s="1225">
        <v>531</v>
      </c>
      <c r="AO381" s="1042">
        <f>AP381</f>
        <v>509.50</v>
      </c>
      <c r="AP381" s="1364">
        <v>509.50</v>
      </c>
      <c r="AQ381" s="1225">
        <v>553.20000000000005</v>
      </c>
      <c r="AR381" s="1225">
        <v>671.30</v>
      </c>
      <c r="AS381" s="1225">
        <v>627.90</v>
      </c>
      <c r="AT381" s="1042">
        <f>AU381</f>
        <v>790</v>
      </c>
      <c r="AU381" s="1364">
        <v>790</v>
      </c>
      <c r="AV381" s="1225">
        <v>951.10</v>
      </c>
      <c r="AW381" s="1225">
        <v>799.30</v>
      </c>
      <c r="AX381" s="1225">
        <v>723</v>
      </c>
      <c r="AY381" s="1047">
        <f>AZ381</f>
        <v>666.80</v>
      </c>
      <c r="AZ381" s="1364">
        <v>666.80</v>
      </c>
      <c r="BA381" s="1225">
        <v>630</v>
      </c>
      <c r="BB381" s="1225">
        <v>562.70000000000005</v>
      </c>
      <c r="BC381" s="1225">
        <v>515.79999999999995</v>
      </c>
      <c r="BD381" s="1047">
        <f>BE381</f>
        <v>417.20</v>
      </c>
      <c r="BE381" s="1364">
        <v>417.20</v>
      </c>
      <c r="BF381" s="1225">
        <v>383.10</v>
      </c>
      <c r="BG381" s="1225">
        <v>975.70</v>
      </c>
      <c r="BH381" s="1226">
        <v>1423.90</v>
      </c>
      <c r="BI381" s="1044"/>
      <c r="BJ381" s="1350"/>
      <c r="BK381" s="1044"/>
      <c r="BL381" s="1044"/>
      <c r="BM381" s="1044"/>
      <c r="BN381" s="1044"/>
      <c r="BO381" s="1350"/>
      <c r="BP381" s="1351"/>
      <c r="BQ381" s="1351"/>
      <c r="BR381" s="1350"/>
      <c r="BS381" s="648"/>
    </row>
    <row r="382" spans="1:71" s="665" customFormat="1" ht="15" hidden="1" outlineLevel="2">
      <c r="A382" s="71" t="s">
        <v>444</v>
      </c>
      <c r="B382" s="308"/>
      <c r="C382" s="1364">
        <v>0</v>
      </c>
      <c r="D382" s="1364">
        <v>0</v>
      </c>
      <c r="E382" s="1364">
        <v>0</v>
      </c>
      <c r="F382" s="1364">
        <v>0</v>
      </c>
      <c r="G382" s="1364">
        <v>0</v>
      </c>
      <c r="H382" s="1047"/>
      <c r="I382" s="1225">
        <v>0</v>
      </c>
      <c r="J382" s="1225">
        <v>0</v>
      </c>
      <c r="K382" s="1042">
        <f t="shared" si="739"/>
        <v>0</v>
      </c>
      <c r="L382" s="1364">
        <v>0</v>
      </c>
      <c r="M382" s="1047"/>
      <c r="N382" s="1225">
        <v>114.30</v>
      </c>
      <c r="O382" s="1225">
        <v>111.90000000000001</v>
      </c>
      <c r="P382" s="1042">
        <f t="shared" si="740"/>
        <v>89.30</v>
      </c>
      <c r="Q382" s="1364">
        <v>89.30</v>
      </c>
      <c r="R382" s="1225">
        <v>46.60</v>
      </c>
      <c r="S382" s="1225">
        <v>46.90</v>
      </c>
      <c r="T382" s="1225">
        <v>44.10</v>
      </c>
      <c r="U382" s="1042">
        <f t="shared" si="741"/>
        <v>40.60</v>
      </c>
      <c r="V382" s="1364">
        <v>40.60</v>
      </c>
      <c r="W382" s="1225">
        <v>38.50</v>
      </c>
      <c r="X382" s="1225">
        <v>37</v>
      </c>
      <c r="Y382" s="1225">
        <v>35.299999999999997</v>
      </c>
      <c r="Z382" s="1047"/>
      <c r="AA382" s="1351"/>
      <c r="AB382" s="1047"/>
      <c r="AC382" s="1047"/>
      <c r="AD382" s="1047"/>
      <c r="AE382" s="1047"/>
      <c r="AF382" s="1351"/>
      <c r="AG382" s="1047"/>
      <c r="AH382" s="1047"/>
      <c r="AI382" s="1047"/>
      <c r="AJ382" s="1047"/>
      <c r="AK382" s="1351"/>
      <c r="AL382" s="1047"/>
      <c r="AM382" s="1047"/>
      <c r="AN382" s="1047"/>
      <c r="AO382" s="1047"/>
      <c r="AP382" s="1351"/>
      <c r="AQ382" s="1047"/>
      <c r="AR382" s="1047"/>
      <c r="AS382" s="1047"/>
      <c r="AT382" s="1047"/>
      <c r="AU382" s="1351"/>
      <c r="AV382" s="1047"/>
      <c r="AW382" s="1047"/>
      <c r="AX382" s="1047"/>
      <c r="AY382" s="1047"/>
      <c r="AZ382" s="1351"/>
      <c r="BA382" s="1047"/>
      <c r="BB382" s="1047"/>
      <c r="BC382" s="1047"/>
      <c r="BD382" s="1047"/>
      <c r="BE382" s="1351"/>
      <c r="BF382" s="1047"/>
      <c r="BG382" s="1047"/>
      <c r="BH382" s="1048"/>
      <c r="BI382" s="1044"/>
      <c r="BJ382" s="1350"/>
      <c r="BK382" s="1044"/>
      <c r="BL382" s="1044"/>
      <c r="BM382" s="1044"/>
      <c r="BN382" s="1044"/>
      <c r="BO382" s="1350"/>
      <c r="BP382" s="1351"/>
      <c r="BQ382" s="1351"/>
      <c r="BR382" s="1350"/>
      <c r="BS382" s="648"/>
    </row>
    <row r="383" spans="1:71" s="665" customFormat="1" ht="15" hidden="1" outlineLevel="2">
      <c r="A383" s="71" t="s">
        <v>418</v>
      </c>
      <c r="B383" s="308"/>
      <c r="C383" s="1364">
        <v>1590.10</v>
      </c>
      <c r="D383" s="1364">
        <v>1832.10</v>
      </c>
      <c r="E383" s="1364">
        <v>1876.60</v>
      </c>
      <c r="F383" s="1364">
        <v>2048.6999999999998</v>
      </c>
      <c r="G383" s="1364">
        <v>2160.50</v>
      </c>
      <c r="H383" s="1225">
        <v>2061.60</v>
      </c>
      <c r="I383" s="1225">
        <v>2019.30</v>
      </c>
      <c r="J383" s="1225">
        <v>2172.50</v>
      </c>
      <c r="K383" s="1042">
        <f t="shared" si="739"/>
        <v>2315.60</v>
      </c>
      <c r="L383" s="1364">
        <v>2315.60</v>
      </c>
      <c r="M383" s="1225">
        <v>2487.10</v>
      </c>
      <c r="N383" s="1225">
        <v>2560.10</v>
      </c>
      <c r="O383" s="1225">
        <v>2663.60</v>
      </c>
      <c r="P383" s="1042">
        <f t="shared" si="740"/>
        <v>2653.20</v>
      </c>
      <c r="Q383" s="1364">
        <v>2653.20</v>
      </c>
      <c r="R383" s="1225">
        <v>2426.1999999999998</v>
      </c>
      <c r="S383" s="1225">
        <v>2210.40</v>
      </c>
      <c r="T383" s="1225">
        <v>2278.40</v>
      </c>
      <c r="U383" s="1042">
        <f t="shared" si="741"/>
        <v>2253.40</v>
      </c>
      <c r="V383" s="1364">
        <v>2253.40</v>
      </c>
      <c r="W383" s="1225">
        <v>2213.50</v>
      </c>
      <c r="X383" s="1225">
        <v>2375</v>
      </c>
      <c r="Y383" s="1225">
        <v>2767.90</v>
      </c>
      <c r="Z383" s="1042">
        <f>AA383</f>
        <v>2758.60</v>
      </c>
      <c r="AA383" s="1364">
        <v>2758.60</v>
      </c>
      <c r="AB383" s="1225">
        <v>2269.50</v>
      </c>
      <c r="AC383" s="1225">
        <v>2696.90</v>
      </c>
      <c r="AD383" s="1225">
        <v>2959.30</v>
      </c>
      <c r="AE383" s="1042">
        <f>AF383</f>
        <v>3301.60</v>
      </c>
      <c r="AF383" s="1364">
        <v>3301.60</v>
      </c>
      <c r="AG383" s="1225">
        <v>3853.60</v>
      </c>
      <c r="AH383" s="1225">
        <v>4441.8999999999996</v>
      </c>
      <c r="AI383" s="1225">
        <v>4639</v>
      </c>
      <c r="AJ383" s="1042">
        <f>AK383</f>
        <v>5076.20</v>
      </c>
      <c r="AK383" s="1364">
        <v>5076.20</v>
      </c>
      <c r="AL383" s="1225">
        <v>5664.30</v>
      </c>
      <c r="AM383" s="1225">
        <v>5761.80</v>
      </c>
      <c r="AN383" s="1225">
        <v>6053.60</v>
      </c>
      <c r="AO383" s="1042">
        <f>AP383</f>
        <v>6175.10</v>
      </c>
      <c r="AP383" s="1364">
        <v>6175.10</v>
      </c>
      <c r="AQ383" s="1225">
        <v>5892</v>
      </c>
      <c r="AR383" s="1225">
        <v>5708.10</v>
      </c>
      <c r="AS383" s="1225">
        <v>5789</v>
      </c>
      <c r="AT383" s="1042">
        <f>AU383</f>
        <v>6535.60</v>
      </c>
      <c r="AU383" s="1364">
        <v>6535.60</v>
      </c>
      <c r="AV383" s="1225">
        <v>6918.50</v>
      </c>
      <c r="AW383" s="1225">
        <v>6094.60</v>
      </c>
      <c r="AX383" s="1225">
        <v>5087.8999999999996</v>
      </c>
      <c r="AY383" s="1047">
        <f>AZ383</f>
        <v>4663.50</v>
      </c>
      <c r="AZ383" s="1364">
        <v>4663.50</v>
      </c>
      <c r="BA383" s="1225">
        <v>4503</v>
      </c>
      <c r="BB383" s="1225">
        <v>4265.50</v>
      </c>
      <c r="BC383" s="1225">
        <v>3977.70</v>
      </c>
      <c r="BD383" s="1047">
        <f>BE383</f>
        <v>3939.70</v>
      </c>
      <c r="BE383" s="1364">
        <v>3939.70</v>
      </c>
      <c r="BF383" s="1225">
        <v>3851.80</v>
      </c>
      <c r="BG383" s="1225">
        <v>3970</v>
      </c>
      <c r="BH383" s="1226">
        <v>4291.6000000000004</v>
      </c>
      <c r="BI383" s="1044"/>
      <c r="BJ383" s="1350"/>
      <c r="BK383" s="1044"/>
      <c r="BL383" s="1044"/>
      <c r="BM383" s="1044"/>
      <c r="BN383" s="1044"/>
      <c r="BO383" s="1350"/>
      <c r="BP383" s="1351"/>
      <c r="BQ383" s="1351"/>
      <c r="BR383" s="1350"/>
      <c r="BS383" s="648"/>
    </row>
    <row r="384" spans="1:71" s="665" customFormat="1" ht="15" hidden="1" outlineLevel="2">
      <c r="A384" s="71" t="s">
        <v>419</v>
      </c>
      <c r="B384" s="308"/>
      <c r="C384" s="1364">
        <f>726.2+1.1</f>
        <v>727.30</v>
      </c>
      <c r="D384" s="1364">
        <v>1074</v>
      </c>
      <c r="E384" s="1364">
        <v>1220.5999999999999</v>
      </c>
      <c r="F384" s="1364">
        <v>948.60</v>
      </c>
      <c r="G384" s="1364">
        <v>1077.70</v>
      </c>
      <c r="H384" s="1225">
        <v>942.50</v>
      </c>
      <c r="I384" s="1225">
        <v>973</v>
      </c>
      <c r="J384" s="1225">
        <v>1550.60</v>
      </c>
      <c r="K384" s="1042">
        <f t="shared" si="739"/>
        <v>1638.70</v>
      </c>
      <c r="L384" s="1364">
        <v>1638.70</v>
      </c>
      <c r="M384" s="1225">
        <v>1901.50</v>
      </c>
      <c r="N384" s="1225">
        <v>2041.50</v>
      </c>
      <c r="O384" s="1225">
        <v>1862.40</v>
      </c>
      <c r="P384" s="1042">
        <f t="shared" si="740"/>
        <v>1767.90</v>
      </c>
      <c r="Q384" s="1364">
        <v>1767.90</v>
      </c>
      <c r="R384" s="1225">
        <v>1703.70</v>
      </c>
      <c r="S384" s="1225">
        <v>1571.60</v>
      </c>
      <c r="T384" s="1225">
        <v>2045.40</v>
      </c>
      <c r="U384" s="1042">
        <f t="shared" si="741"/>
        <v>2351.10</v>
      </c>
      <c r="V384" s="1364">
        <v>2351.10</v>
      </c>
      <c r="W384" s="1225">
        <v>2564.90</v>
      </c>
      <c r="X384" s="1225">
        <v>2847.40</v>
      </c>
      <c r="Y384" s="1225">
        <v>2490.1999999999998</v>
      </c>
      <c r="Z384" s="1042">
        <f>AA384</f>
        <v>2454.6999999999998</v>
      </c>
      <c r="AA384" s="1364">
        <v>2454.6999999999998</v>
      </c>
      <c r="AB384" s="1225">
        <v>2462.10</v>
      </c>
      <c r="AC384" s="1225">
        <v>3177.60</v>
      </c>
      <c r="AD384" s="1225">
        <v>3192.90</v>
      </c>
      <c r="AE384" s="1042">
        <f>AF384</f>
        <v>3577.30</v>
      </c>
      <c r="AF384" s="1364">
        <v>3577.30</v>
      </c>
      <c r="AG384" s="1225">
        <v>3839.80</v>
      </c>
      <c r="AH384" s="1225">
        <v>4497.20</v>
      </c>
      <c r="AI384" s="1225">
        <v>4621.8999999999996</v>
      </c>
      <c r="AJ384" s="1042">
        <f>AK384</f>
        <v>5179.50</v>
      </c>
      <c r="AK384" s="1364">
        <v>5179.50</v>
      </c>
      <c r="AL384" s="1225">
        <v>4639.1000000000004</v>
      </c>
      <c r="AM384" s="1225">
        <v>4354.8999999999996</v>
      </c>
      <c r="AN384" s="1225">
        <v>4200.30</v>
      </c>
      <c r="AO384" s="1042">
        <f>AP384</f>
        <v>3784.60</v>
      </c>
      <c r="AP384" s="1364">
        <v>3784.60</v>
      </c>
      <c r="AQ384" s="1225">
        <v>3323.40</v>
      </c>
      <c r="AR384" s="1225">
        <v>3899</v>
      </c>
      <c r="AS384" s="1225">
        <v>4262.20</v>
      </c>
      <c r="AT384" s="1042">
        <f>AU384</f>
        <v>4982.30</v>
      </c>
      <c r="AU384" s="1364">
        <v>4982.30</v>
      </c>
      <c r="AV384" s="1225">
        <v>5255.90</v>
      </c>
      <c r="AW384" s="1225">
        <v>5036</v>
      </c>
      <c r="AX384" s="1225">
        <v>4605.8999999999996</v>
      </c>
      <c r="AY384" s="1047">
        <f>AZ384</f>
        <v>4564.6000000000004</v>
      </c>
      <c r="AZ384" s="1364">
        <v>4564.6000000000004</v>
      </c>
      <c r="BA384" s="1225">
        <v>4865.80</v>
      </c>
      <c r="BB384" s="1225">
        <v>5017.6000000000004</v>
      </c>
      <c r="BC384" s="1225">
        <v>5313.60</v>
      </c>
      <c r="BD384" s="1047">
        <f>BE384</f>
        <v>5575.40</v>
      </c>
      <c r="BE384" s="1364">
        <v>5575.40</v>
      </c>
      <c r="BF384" s="1225">
        <v>6061.20</v>
      </c>
      <c r="BG384" s="1225">
        <v>6284.70</v>
      </c>
      <c r="BH384" s="1226">
        <v>6613.90</v>
      </c>
      <c r="BI384" s="1044"/>
      <c r="BJ384" s="1350"/>
      <c r="BK384" s="1044"/>
      <c r="BL384" s="1044"/>
      <c r="BM384" s="1044"/>
      <c r="BN384" s="1044"/>
      <c r="BO384" s="1350"/>
      <c r="BP384" s="1351"/>
      <c r="BQ384" s="1351"/>
      <c r="BR384" s="1350"/>
      <c r="BS384" s="648"/>
    </row>
    <row r="385" spans="1:71" s="665" customFormat="1" ht="15" hidden="1" outlineLevel="2">
      <c r="A385" s="73" t="s">
        <v>420</v>
      </c>
      <c r="B385" s="260"/>
      <c r="C385" s="1365">
        <v>606.70000000000005</v>
      </c>
      <c r="D385" s="1365">
        <v>502.50</v>
      </c>
      <c r="E385" s="1365">
        <v>373.90</v>
      </c>
      <c r="F385" s="1365">
        <v>374.70</v>
      </c>
      <c r="G385" s="1365">
        <v>313.89999999999998</v>
      </c>
      <c r="H385" s="1228">
        <v>290.30</v>
      </c>
      <c r="I385" s="1228">
        <v>287.50</v>
      </c>
      <c r="J385" s="1228">
        <v>284.80</v>
      </c>
      <c r="K385" s="1027">
        <f t="shared" si="739"/>
        <v>279.20</v>
      </c>
      <c r="L385" s="1365">
        <v>279.20</v>
      </c>
      <c r="M385" s="1228">
        <v>277</v>
      </c>
      <c r="N385" s="1228">
        <v>271.70</v>
      </c>
      <c r="O385" s="1228">
        <v>249.80</v>
      </c>
      <c r="P385" s="1027">
        <f t="shared" si="740"/>
        <v>234.30</v>
      </c>
      <c r="Q385" s="1365">
        <v>234.30</v>
      </c>
      <c r="R385" s="1228">
        <v>230.30</v>
      </c>
      <c r="S385" s="1228">
        <v>236.10</v>
      </c>
      <c r="T385" s="1228">
        <v>225.50</v>
      </c>
      <c r="U385" s="1027">
        <f t="shared" si="741"/>
        <v>191.90</v>
      </c>
      <c r="V385" s="1365">
        <v>191.90</v>
      </c>
      <c r="W385" s="1228">
        <v>202.70</v>
      </c>
      <c r="X385" s="1228">
        <v>206.70</v>
      </c>
      <c r="Y385" s="1228">
        <v>237.30</v>
      </c>
      <c r="Z385" s="1027">
        <f>AA385</f>
        <v>211</v>
      </c>
      <c r="AA385" s="1365">
        <v>211</v>
      </c>
      <c r="AB385" s="1228">
        <v>217.40</v>
      </c>
      <c r="AC385" s="1228">
        <v>229.10</v>
      </c>
      <c r="AD385" s="1228">
        <v>232.60</v>
      </c>
      <c r="AE385" s="1027">
        <f>AF385</f>
        <v>238.30</v>
      </c>
      <c r="AF385" s="1365">
        <v>238.30</v>
      </c>
      <c r="AG385" s="1228">
        <v>251.20</v>
      </c>
      <c r="AH385" s="1228">
        <v>229.10</v>
      </c>
      <c r="AI385" s="1228">
        <v>226.80</v>
      </c>
      <c r="AJ385" s="1027">
        <f>AK385</f>
        <v>195</v>
      </c>
      <c r="AK385" s="1365">
        <v>195</v>
      </c>
      <c r="AL385" s="1228">
        <v>124.80</v>
      </c>
      <c r="AM385" s="1228">
        <v>152.09999999999999</v>
      </c>
      <c r="AN385" s="1228">
        <v>183</v>
      </c>
      <c r="AO385" s="1027">
        <f>AP385</f>
        <v>194.70</v>
      </c>
      <c r="AP385" s="1365">
        <v>194.70</v>
      </c>
      <c r="AQ385" s="1228">
        <v>189.50</v>
      </c>
      <c r="AR385" s="1228">
        <v>183.50</v>
      </c>
      <c r="AS385" s="1228">
        <v>184.60</v>
      </c>
      <c r="AT385" s="1027">
        <f>AU385</f>
        <v>181.70</v>
      </c>
      <c r="AU385" s="1365">
        <v>181.70</v>
      </c>
      <c r="AV385" s="1228">
        <v>220.50</v>
      </c>
      <c r="AW385" s="1228">
        <v>203.80</v>
      </c>
      <c r="AX385" s="1228">
        <v>181.60</v>
      </c>
      <c r="AY385" s="1029">
        <f>AZ385</f>
        <v>184.30</v>
      </c>
      <c r="AZ385" s="1365">
        <v>184.30</v>
      </c>
      <c r="BA385" s="1228">
        <v>181.60</v>
      </c>
      <c r="BB385" s="1228">
        <v>156.69999999999999</v>
      </c>
      <c r="BC385" s="1228">
        <v>167.10</v>
      </c>
      <c r="BD385" s="1029">
        <f>BE385</f>
        <v>173.70</v>
      </c>
      <c r="BE385" s="1365">
        <v>173.70</v>
      </c>
      <c r="BF385" s="1228">
        <v>173.90</v>
      </c>
      <c r="BG385" s="1228">
        <v>171.50</v>
      </c>
      <c r="BH385" s="1050"/>
      <c r="BI385" s="1029"/>
      <c r="BJ385" s="1324"/>
      <c r="BK385" s="1029"/>
      <c r="BL385" s="1029"/>
      <c r="BM385" s="1029"/>
      <c r="BN385" s="1029"/>
      <c r="BO385" s="1324"/>
      <c r="BP385" s="1324"/>
      <c r="BQ385" s="1324"/>
      <c r="BR385" s="1324"/>
      <c r="BS385" s="648"/>
    </row>
    <row r="386" spans="1:71" s="665" customFormat="1" ht="15" hidden="1" outlineLevel="1" collapsed="1">
      <c r="A386" s="31" t="s">
        <v>513</v>
      </c>
      <c r="B386" s="308"/>
      <c r="C386" s="1349">
        <f t="shared" si="742" ref="C386:O386">SUM(C377:C385)</f>
        <v>11563.40</v>
      </c>
      <c r="D386" s="1349">
        <f t="shared" si="742"/>
        <v>11850</v>
      </c>
      <c r="E386" s="1349">
        <f t="shared" si="742"/>
        <v>11759.300000000001</v>
      </c>
      <c r="F386" s="1349">
        <f t="shared" si="742"/>
        <v>11774.10</v>
      </c>
      <c r="G386" s="1349">
        <f t="shared" si="742"/>
        <v>13540.40</v>
      </c>
      <c r="H386" s="1042">
        <f t="shared" si="742"/>
        <v>12506.20</v>
      </c>
      <c r="I386" s="1042">
        <f t="shared" si="742"/>
        <v>12498.60</v>
      </c>
      <c r="J386" s="1042">
        <f t="shared" si="742"/>
        <v>13269.40</v>
      </c>
      <c r="K386" s="1042">
        <f t="shared" si="742"/>
        <v>13549.20</v>
      </c>
      <c r="L386" s="1349">
        <f t="shared" si="742"/>
        <v>13549.20</v>
      </c>
      <c r="M386" s="1042">
        <f t="shared" si="742"/>
        <v>14219.80</v>
      </c>
      <c r="N386" s="1042">
        <f t="shared" si="742"/>
        <v>15589.000000000002</v>
      </c>
      <c r="O386" s="1042">
        <f t="shared" si="742"/>
        <v>15622.099999999999</v>
      </c>
      <c r="P386" s="1042">
        <f t="shared" si="743" ref="P386:AP386">SUM(P377:P385)</f>
        <v>15332.20</v>
      </c>
      <c r="Q386" s="1349">
        <f t="shared" si="743"/>
        <v>15332.20</v>
      </c>
      <c r="R386" s="1042">
        <f t="shared" si="743"/>
        <v>13966.40</v>
      </c>
      <c r="S386" s="1042">
        <f t="shared" si="743"/>
        <v>13589.50</v>
      </c>
      <c r="T386" s="1042">
        <f t="shared" si="743"/>
        <v>13916.90</v>
      </c>
      <c r="U386" s="1042">
        <f t="shared" si="743"/>
        <v>16243.80</v>
      </c>
      <c r="V386" s="1349">
        <f t="shared" si="743"/>
        <v>16243.80</v>
      </c>
      <c r="W386" s="1042">
        <f t="shared" si="743"/>
        <v>17474.300000000003</v>
      </c>
      <c r="X386" s="1042">
        <f t="shared" si="743"/>
        <v>18388.100000000002</v>
      </c>
      <c r="Y386" s="1042">
        <f t="shared" si="743"/>
        <v>18659.999999999996</v>
      </c>
      <c r="Z386" s="1042">
        <f t="shared" si="743"/>
        <v>20201.700000000001</v>
      </c>
      <c r="AA386" s="1349">
        <f t="shared" si="743"/>
        <v>20201.700000000001</v>
      </c>
      <c r="AB386" s="1042">
        <f t="shared" si="743"/>
        <v>22420.100000000002</v>
      </c>
      <c r="AC386" s="1042">
        <f t="shared" si="743"/>
        <v>23789.199999999997</v>
      </c>
      <c r="AD386" s="1042">
        <f t="shared" si="743"/>
        <v>25642.699999999997</v>
      </c>
      <c r="AE386" s="1042">
        <f t="shared" si="743"/>
        <v>28111.50</v>
      </c>
      <c r="AF386" s="1349">
        <f t="shared" si="743"/>
        <v>28111.50</v>
      </c>
      <c r="AG386" s="1042">
        <f t="shared" si="743"/>
        <v>27821.899999999998</v>
      </c>
      <c r="AH386" s="1042">
        <f t="shared" si="743"/>
        <v>31188.200000000001</v>
      </c>
      <c r="AI386" s="1042">
        <f t="shared" si="743"/>
        <v>32812.700000000004</v>
      </c>
      <c r="AJ386" s="1042">
        <f t="shared" si="743"/>
        <v>33110.300000000003</v>
      </c>
      <c r="AK386" s="1349">
        <f t="shared" si="743"/>
        <v>33110.300000000003</v>
      </c>
      <c r="AL386" s="1042">
        <f t="shared" si="743"/>
        <v>34276.600000000006</v>
      </c>
      <c r="AM386" s="1042">
        <f t="shared" si="743"/>
        <v>34726.399999999994</v>
      </c>
      <c r="AN386" s="1042">
        <f t="shared" si="743"/>
        <v>36313.50</v>
      </c>
      <c r="AO386" s="1042">
        <f t="shared" si="743"/>
        <v>36810.899999999994</v>
      </c>
      <c r="AP386" s="1349">
        <f t="shared" si="743"/>
        <v>36810.899999999994</v>
      </c>
      <c r="AQ386" s="1042">
        <f t="shared" si="744" ref="AQ386:AV386">SUM(AQ377:AQ385)</f>
        <v>39091.800000000003</v>
      </c>
      <c r="AR386" s="1042">
        <f t="shared" si="744"/>
        <v>43031</v>
      </c>
      <c r="AS386" s="1042">
        <f t="shared" si="744"/>
        <v>45045.699999999997</v>
      </c>
      <c r="AT386" s="1042">
        <f t="shared" si="744"/>
        <v>43873.099999999999</v>
      </c>
      <c r="AU386" s="1349">
        <f t="shared" si="744"/>
        <v>43873.099999999999</v>
      </c>
      <c r="AV386" s="1042">
        <f t="shared" si="744"/>
        <v>46316.400000000001</v>
      </c>
      <c r="AW386" s="1042">
        <f>AW892</f>
        <v>43172.50</v>
      </c>
      <c r="AX386" s="1042">
        <f>SUM(AX377:AX385)</f>
        <v>44173.099999999999</v>
      </c>
      <c r="AY386" s="1042">
        <f t="shared" si="745" ref="AY386:BC386">SUM(AY377:AY385)</f>
        <v>46651.900000000001</v>
      </c>
      <c r="AZ386" s="1349">
        <f t="shared" si="745"/>
        <v>46651.900000000001</v>
      </c>
      <c r="BA386" s="1042">
        <f t="shared" si="745"/>
        <v>50289.199999999997</v>
      </c>
      <c r="BB386" s="1042">
        <f t="shared" si="745"/>
        <v>54078.099999999991</v>
      </c>
      <c r="BC386" s="1042">
        <f t="shared" si="745"/>
        <v>56591.900000000009</v>
      </c>
      <c r="BD386" s="1042">
        <f t="shared" si="746" ref="BD386:BE386">SUM(BD377:BD385)</f>
        <v>60378.200000000004</v>
      </c>
      <c r="BE386" s="1349">
        <f t="shared" si="746"/>
        <v>60378.200000000004</v>
      </c>
      <c r="BF386" s="1042">
        <f>SUM(BF377:BF385)</f>
        <v>63629.699999999997</v>
      </c>
      <c r="BG386" s="1042">
        <f t="shared" si="747" ref="BG386:BH386">SUM(BG377:BG385)</f>
        <v>67488.300000000003</v>
      </c>
      <c r="BH386" s="1043">
        <f t="shared" si="747"/>
        <v>74411.20</v>
      </c>
      <c r="BI386" s="1044">
        <f>BD386*(1+BI387)</f>
        <v>66416.020000000004</v>
      </c>
      <c r="BJ386" s="1350">
        <f>BI386</f>
        <v>66416.020000000004</v>
      </c>
      <c r="BK386" s="1044">
        <f>BF386*(1+BK387)</f>
        <v>66811.184999999998</v>
      </c>
      <c r="BL386" s="1044">
        <f>BG386*(1+BL387)</f>
        <v>70862.715000000011</v>
      </c>
      <c r="BM386" s="1044">
        <f>BH386*(1+BM387)</f>
        <v>78131.759999999995</v>
      </c>
      <c r="BN386" s="1044">
        <f>BI386*(1+BN387)</f>
        <v>69736.821000000011</v>
      </c>
      <c r="BO386" s="1350">
        <f>BN386</f>
        <v>69736.821000000011</v>
      </c>
      <c r="BP386" s="1351">
        <f>BO386*(1+BP387)</f>
        <v>73223.662050000014</v>
      </c>
      <c r="BQ386" s="1351">
        <f>BP386*(1+BQ387)</f>
        <v>76884.845152500013</v>
      </c>
      <c r="BR386" s="1350">
        <f>BQ386*(1+BR387)</f>
        <v>80729.087410125023</v>
      </c>
      <c r="BS386" s="648"/>
    </row>
    <row r="387" spans="1:71" s="676" customFormat="1" ht="15" hidden="1" outlineLevel="1">
      <c r="A387" s="397" t="s">
        <v>510</v>
      </c>
      <c r="B387" s="396"/>
      <c r="C387" s="1339"/>
      <c r="D387" s="1339">
        <f>D386/C386-1</f>
        <v>0.024785097808603052</v>
      </c>
      <c r="E387" s="1339">
        <f>E386/D386-1</f>
        <v>-0.0076540084388184715</v>
      </c>
      <c r="F387" s="1339">
        <f>F386/E386-1</f>
        <v>0.0012585783167364806</v>
      </c>
      <c r="G387" s="1339">
        <f>G386/F386-1</f>
        <v>0.15001571245360568</v>
      </c>
      <c r="H387" s="381"/>
      <c r="I387" s="381"/>
      <c r="J387" s="381"/>
      <c r="K387" s="381"/>
      <c r="L387" s="1339">
        <f t="shared" si="748" ref="L387:AT387">L386/G386-1</f>
        <v>0.00064990694514199809</v>
      </c>
      <c r="M387" s="381">
        <f t="shared" si="748"/>
        <v>0.13702003806112195</v>
      </c>
      <c r="N387" s="381">
        <f t="shared" si="748"/>
        <v>0.24725969308562568</v>
      </c>
      <c r="O387" s="381">
        <f t="shared" si="748"/>
        <v>0.17730266628483582</v>
      </c>
      <c r="P387" s="381">
        <f t="shared" si="748"/>
        <v>0.13159448528326378</v>
      </c>
      <c r="Q387" s="1339">
        <f t="shared" si="748"/>
        <v>0.13159448528326378</v>
      </c>
      <c r="R387" s="381">
        <f t="shared" si="748"/>
        <v>-0.017820222506645611</v>
      </c>
      <c r="S387" s="381">
        <f t="shared" si="748"/>
        <v>-0.1282635191481174</v>
      </c>
      <c r="T387" s="381">
        <f t="shared" si="748"/>
        <v>-0.10915305880771464</v>
      </c>
      <c r="U387" s="381">
        <f t="shared" si="748"/>
        <v>0.059456568528978293</v>
      </c>
      <c r="V387" s="1339">
        <f t="shared" si="748"/>
        <v>0.059456568528978293</v>
      </c>
      <c r="W387" s="381">
        <f t="shared" si="748"/>
        <v>0.25116708672241961</v>
      </c>
      <c r="X387" s="381">
        <f t="shared" si="748"/>
        <v>0.35311085764744865</v>
      </c>
      <c r="Y387" s="381">
        <f t="shared" si="748"/>
        <v>0.34081584260862674</v>
      </c>
      <c r="Z387" s="381">
        <f t="shared" si="748"/>
        <v>0.24365604107413308</v>
      </c>
      <c r="AA387" s="1339">
        <f t="shared" si="748"/>
        <v>0.24365604107413308</v>
      </c>
      <c r="AB387" s="381">
        <f t="shared" si="748"/>
        <v>0.28303279673577753</v>
      </c>
      <c r="AC387" s="381">
        <f t="shared" si="748"/>
        <v>0.29372800887530492</v>
      </c>
      <c r="AD387" s="381">
        <f t="shared" si="748"/>
        <v>0.37420685959271172</v>
      </c>
      <c r="AE387" s="381">
        <f t="shared" si="748"/>
        <v>0.39154130592969905</v>
      </c>
      <c r="AF387" s="1339">
        <f t="shared" si="748"/>
        <v>0.39154130592969905</v>
      </c>
      <c r="AG387" s="381">
        <f t="shared" si="748"/>
        <v>0.24093558904732792</v>
      </c>
      <c r="AH387" s="381">
        <f t="shared" si="748"/>
        <v>0.31102348965076598</v>
      </c>
      <c r="AI387" s="381">
        <f t="shared" si="748"/>
        <v>0.27961174135328992</v>
      </c>
      <c r="AJ387" s="381">
        <f t="shared" si="748"/>
        <v>0.17782046493427961</v>
      </c>
      <c r="AK387" s="1339">
        <f t="shared" si="748"/>
        <v>0.17782046493427961</v>
      </c>
      <c r="AL387" s="381">
        <f t="shared" si="748"/>
        <v>0.23200069010383939</v>
      </c>
      <c r="AM387" s="381">
        <f t="shared" si="748"/>
        <v>0.11344675229734302</v>
      </c>
      <c r="AN387" s="381">
        <f t="shared" si="748"/>
        <v>0.10669039731567342</v>
      </c>
      <c r="AO387" s="381">
        <f t="shared" si="748"/>
        <v>0.11176582513598454</v>
      </c>
      <c r="AP387" s="1339">
        <f t="shared" si="748"/>
        <v>0.11176582513598454</v>
      </c>
      <c r="AQ387" s="381">
        <f t="shared" si="748"/>
        <v>0.14048067778017637</v>
      </c>
      <c r="AR387" s="381">
        <f t="shared" si="748"/>
        <v>0.23914370622926673</v>
      </c>
      <c r="AS387" s="381">
        <f t="shared" si="748"/>
        <v>0.24046704393682772</v>
      </c>
      <c r="AT387" s="381">
        <f t="shared" si="748"/>
        <v>0.19185078332776451</v>
      </c>
      <c r="AU387" s="1339">
        <f t="shared" si="749" ref="AU387:AZ387">AU386/AP386-1</f>
        <v>0.19185078332776451</v>
      </c>
      <c r="AV387" s="381">
        <f t="shared" si="749"/>
        <v>0.18481113686246209</v>
      </c>
      <c r="AW387" s="381">
        <f t="shared" si="749"/>
        <v>0.003288327020055215</v>
      </c>
      <c r="AX387" s="381">
        <f t="shared" si="749"/>
        <v>-0.019371438339286562</v>
      </c>
      <c r="AY387" s="381">
        <f t="shared" si="749"/>
        <v>0.063337215742676145</v>
      </c>
      <c r="AZ387" s="1339">
        <f t="shared" si="749"/>
        <v>0.063337215742676145</v>
      </c>
      <c r="BA387" s="381">
        <f t="shared" si="750" ref="BA387:BF387">BA386/AV386-1</f>
        <v>0.085775232962838066</v>
      </c>
      <c r="BB387" s="381">
        <f t="shared" si="750"/>
        <v>0.2526052463952746</v>
      </c>
      <c r="BC387" s="381">
        <f t="shared" si="750"/>
        <v>0.28113942648353896</v>
      </c>
      <c r="BD387" s="381">
        <f t="shared" si="750"/>
        <v>0.2942281021780464</v>
      </c>
      <c r="BE387" s="1339">
        <f t="shared" si="750"/>
        <v>0.2942281021780464</v>
      </c>
      <c r="BF387" s="381">
        <f t="shared" si="750"/>
        <v>0.26527564566547102</v>
      </c>
      <c r="BG387" s="381">
        <f>BG386/BB386-1</f>
        <v>0.2479783868146257</v>
      </c>
      <c r="BH387" s="813">
        <f>BH386/BC386-1</f>
        <v>0.3148736833363075</v>
      </c>
      <c r="BI387" s="1221">
        <v>0.10000000000000001</v>
      </c>
      <c r="BJ387" s="1340">
        <f>BJ386/BE386-1</f>
        <v>0.10000000000000009</v>
      </c>
      <c r="BK387" s="1221">
        <v>0.05</v>
      </c>
      <c r="BL387" s="1221">
        <v>0.05</v>
      </c>
      <c r="BM387" s="1221">
        <v>0.05</v>
      </c>
      <c r="BN387" s="1221">
        <v>0.05</v>
      </c>
      <c r="BO387" s="1340">
        <f>BO386/BJ386-1</f>
        <v>0.050000000000000044</v>
      </c>
      <c r="BP387" s="1343">
        <v>0.05</v>
      </c>
      <c r="BQ387" s="1343">
        <v>0.05</v>
      </c>
      <c r="BR387" s="1344">
        <v>0.05</v>
      </c>
      <c r="BS387" s="648"/>
    </row>
    <row r="388" spans="1:71" s="665" customFormat="1" ht="15" hidden="1" outlineLevel="2">
      <c r="A388" s="71" t="s">
        <v>404</v>
      </c>
      <c r="B388" s="308"/>
      <c r="C388" s="1351"/>
      <c r="D388" s="1349">
        <f t="shared" si="751" ref="D388:K397">AVERAGE(C377,D377)</f>
        <v>4030.05</v>
      </c>
      <c r="E388" s="1349">
        <f t="shared" si="751"/>
        <v>3102.80</v>
      </c>
      <c r="F388" s="1349">
        <f t="shared" si="751"/>
        <v>2929.75</v>
      </c>
      <c r="G388" s="1349">
        <f t="shared" si="751"/>
        <v>3279.35</v>
      </c>
      <c r="H388" s="1042">
        <f t="shared" si="751"/>
        <v>3446.10</v>
      </c>
      <c r="I388" s="1042">
        <f t="shared" si="751"/>
        <v>3259.70</v>
      </c>
      <c r="J388" s="1042">
        <f t="shared" si="751"/>
        <v>3176.15</v>
      </c>
      <c r="K388" s="1042">
        <f t="shared" si="751"/>
        <v>2865</v>
      </c>
      <c r="L388" s="1349">
        <f t="shared" si="752" ref="L388:L396">SUM(H388*H$3,I388*I$3,J388*J$3,K388*K$3)/SUM(H$3,I$3,J$3,K$3)</f>
        <v>3185.1164383561645</v>
      </c>
      <c r="M388" s="1042">
        <f t="shared" si="753" ref="M388:P397">AVERAGE(L377,M377)</f>
        <v>2687.6499999999996</v>
      </c>
      <c r="N388" s="1042">
        <f t="shared" si="753"/>
        <v>2385.6999999999998</v>
      </c>
      <c r="O388" s="1042">
        <f t="shared" si="753"/>
        <v>2050.75</v>
      </c>
      <c r="P388" s="1042">
        <f t="shared" si="753"/>
        <v>2233.75</v>
      </c>
      <c r="Q388" s="1349">
        <f t="shared" si="754" ref="Q388:Q396">SUM(M388*M$3,N388*N$3,O388*O$3,P388*P$3)/SUM(M$3,N$3,O$3,P$3)</f>
        <v>2337.4279452054793</v>
      </c>
      <c r="R388" s="1042">
        <f t="shared" si="755" ref="R388:U397">AVERAGE(Q377,R377)</f>
        <v>1908.60</v>
      </c>
      <c r="S388" s="1042">
        <f t="shared" si="755"/>
        <v>1342</v>
      </c>
      <c r="T388" s="1042">
        <f t="shared" si="755"/>
        <v>1015.30</v>
      </c>
      <c r="U388" s="1042">
        <f t="shared" si="755"/>
        <v>1802.35</v>
      </c>
      <c r="V388" s="1349">
        <f t="shared" si="756" ref="V388:V396">SUM(R388*R$3,S388*S$3,T388*T$3,U388*U$3)/SUM(R$3,S$3,T$3,U$3)</f>
        <v>1516.4710382513658</v>
      </c>
      <c r="W388" s="1042">
        <f t="shared" si="757" ref="W388:Z397">AVERAGE(V377,W377)</f>
        <v>3097.95</v>
      </c>
      <c r="X388" s="1042">
        <f t="shared" si="757"/>
        <v>3740.40</v>
      </c>
      <c r="Y388" s="1042">
        <f t="shared" si="757"/>
        <v>4375</v>
      </c>
      <c r="Z388" s="1042">
        <f t="shared" si="757"/>
        <v>5620.4499999999998</v>
      </c>
      <c r="AA388" s="1349">
        <f t="shared" si="758" ref="AA388:AA396">SUM(W388*W$3,X388*X$3,Y388*Y$3,Z388*Z$3)/SUM(W$3,X$3,Y$3,Z$3)</f>
        <v>4215.8172602739724</v>
      </c>
      <c r="AB388" s="1042">
        <f t="shared" si="759" ref="AB388:AE389">AVERAGE(AA377,AB377)</f>
        <v>7802</v>
      </c>
      <c r="AC388" s="1042">
        <f t="shared" si="759"/>
        <v>8411.75</v>
      </c>
      <c r="AD388" s="1042">
        <f t="shared" si="759"/>
        <v>8808.9500000000007</v>
      </c>
      <c r="AE388" s="1042">
        <f t="shared" si="759"/>
        <v>9834.50</v>
      </c>
      <c r="AF388" s="1349">
        <f>SUM(AB388*AB$3,AC388*AC$3,AD388*AD$3,AE388*AE$3)/SUM(AB$3,AC$3,AD$3,AE$3)</f>
        <v>8720.1278082191784</v>
      </c>
      <c r="AG388" s="1042">
        <f t="shared" si="760" ref="AG388:AJ389">AVERAGE(AF377,AG377)</f>
        <v>9843.50</v>
      </c>
      <c r="AH388" s="1042">
        <f t="shared" si="760"/>
        <v>11074.950000000001</v>
      </c>
      <c r="AI388" s="1042">
        <f t="shared" si="760"/>
        <v>13029.049999999999</v>
      </c>
      <c r="AJ388" s="1042">
        <f t="shared" si="760"/>
        <v>13464.900000000001</v>
      </c>
      <c r="AK388" s="1349">
        <f>SUM(AG388*AG$3,AH388*AH$3,AI388*AI$3,AJ388*AJ$3)/SUM(AG$3,AH$3,AI$3,AJ$3)</f>
        <v>11866.243424657534</v>
      </c>
      <c r="AL388" s="1042">
        <f t="shared" si="761" ref="AL388:AO389">AVERAGE(AK377,AL377)</f>
        <v>12373.40</v>
      </c>
      <c r="AM388" s="1042">
        <f t="shared" si="761"/>
        <v>10386.75</v>
      </c>
      <c r="AN388" s="1042">
        <f t="shared" si="761"/>
        <v>9740.7999999999993</v>
      </c>
      <c r="AO388" s="1042">
        <f t="shared" si="761"/>
        <v>11471.90</v>
      </c>
      <c r="AP388" s="1349">
        <f>SUM(AL388*AL$3,AM388*AM$3,AN388*AN$3,AO388*AO$3)/SUM(AL$3,AM$3,AN$3,AO$3)</f>
        <v>10991.09849726776</v>
      </c>
      <c r="AQ388" s="1042">
        <f t="shared" si="762" ref="AQ388:AT389">AVERAGE(AP377,AQ377)</f>
        <v>14406.700000000001</v>
      </c>
      <c r="AR388" s="1042">
        <f t="shared" si="762"/>
        <v>17755.549999999999</v>
      </c>
      <c r="AS388" s="1042">
        <f t="shared" si="762"/>
        <v>20289.900000000001</v>
      </c>
      <c r="AT388" s="1042">
        <f t="shared" si="762"/>
        <v>19815.150000000001</v>
      </c>
      <c r="AU388" s="1349">
        <f>SUM(AQ388*AQ$3,AR388*AR$3,AS388*AS$3,AT388*AT$3)/AU$3</f>
        <v>18087.733287671232</v>
      </c>
      <c r="AV388" s="1042">
        <f t="shared" si="763" ref="AV388:AX389">AVERAGE(AU377,AV377)</f>
        <v>19008.50</v>
      </c>
      <c r="AW388" s="1042">
        <f t="shared" si="763"/>
        <v>19124</v>
      </c>
      <c r="AX388" s="1042">
        <f t="shared" si="763"/>
        <v>20562.349999999999</v>
      </c>
      <c r="AY388" s="1047">
        <f t="shared" si="764" ref="AY388:AY389">AVERAGE(AX377,AY377)</f>
        <v>23786.450000000001</v>
      </c>
      <c r="AZ388" s="1351">
        <f>SUM(AV388*AV$3,AW388*AW$3,AX388*AX$3,AY388*AY$3)/AZ$3</f>
        <v>20633.256438356162</v>
      </c>
      <c r="BA388" s="1047">
        <f t="shared" si="765" ref="BA388:BB389">AVERAGE(AZ377,BA377)</f>
        <v>26258.75</v>
      </c>
      <c r="BB388" s="1047">
        <f t="shared" si="765"/>
        <v>29475.299999999999</v>
      </c>
      <c r="BC388" s="1042">
        <f>AVERAGE(BB377,BC377)</f>
        <v>32947.150000000001</v>
      </c>
      <c r="BD388" s="1047">
        <f>AVERAGE(BC377,BD377)</f>
        <v>35581.600000000006</v>
      </c>
      <c r="BE388" s="1351">
        <f>SUM(BA388*BA$3,BB388*BB$3,BC388*BC$3,BD388*BD$3)/BE$3</f>
        <v>31096.396712328769</v>
      </c>
      <c r="BF388" s="1047">
        <f t="shared" si="766" ref="BF388:BG389">AVERAGE(BE377,BF377)</f>
        <v>37716.050000000003</v>
      </c>
      <c r="BG388" s="1047">
        <f t="shared" si="766"/>
        <v>39728.349999999999</v>
      </c>
      <c r="BH388" s="1048">
        <f>AVERAGE(BG377,BH377)</f>
        <v>42661.25</v>
      </c>
      <c r="BI388" s="1044"/>
      <c r="BJ388" s="1350"/>
      <c r="BK388" s="1044"/>
      <c r="BL388" s="1044"/>
      <c r="BM388" s="1044"/>
      <c r="BN388" s="1044"/>
      <c r="BO388" s="1350"/>
      <c r="BP388" s="1351"/>
      <c r="BQ388" s="1351"/>
      <c r="BR388" s="1350"/>
      <c r="BS388" s="648"/>
    </row>
    <row r="389" spans="1:71" s="665" customFormat="1" ht="15" hidden="1" outlineLevel="2">
      <c r="A389" s="71" t="s">
        <v>405</v>
      </c>
      <c r="B389" s="308"/>
      <c r="C389" s="1351"/>
      <c r="D389" s="1349">
        <f t="shared" si="751"/>
        <v>2006.55</v>
      </c>
      <c r="E389" s="1349">
        <f t="shared" si="751"/>
        <v>1995.60</v>
      </c>
      <c r="F389" s="1349">
        <f t="shared" si="751"/>
        <v>1983.25</v>
      </c>
      <c r="G389" s="1349">
        <f t="shared" si="751"/>
        <v>2110.1999999999998</v>
      </c>
      <c r="H389" s="1042">
        <f t="shared" si="751"/>
        <v>2205.4499999999998</v>
      </c>
      <c r="I389" s="1042">
        <f t="shared" si="751"/>
        <v>2243.0500000000002</v>
      </c>
      <c r="J389" s="1042">
        <f t="shared" si="751"/>
        <v>2252</v>
      </c>
      <c r="K389" s="1042">
        <f t="shared" si="751"/>
        <v>2156</v>
      </c>
      <c r="L389" s="1349">
        <f t="shared" si="752"/>
        <v>2214.0932876712332</v>
      </c>
      <c r="M389" s="1042">
        <f t="shared" si="753"/>
        <v>2206.50</v>
      </c>
      <c r="N389" s="1042">
        <f t="shared" si="753"/>
        <v>2733.05</v>
      </c>
      <c r="O389" s="1042">
        <f t="shared" si="753"/>
        <v>3130.1000000000004</v>
      </c>
      <c r="P389" s="1042">
        <f t="shared" si="753"/>
        <v>2894.65</v>
      </c>
      <c r="Q389" s="1349">
        <f t="shared" si="754"/>
        <v>2744.026164383562</v>
      </c>
      <c r="R389" s="1042">
        <f t="shared" si="755"/>
        <v>2614.8000000000002</v>
      </c>
      <c r="S389" s="1042">
        <f t="shared" si="755"/>
        <v>2562.8999999999996</v>
      </c>
      <c r="T389" s="1042">
        <f t="shared" si="755"/>
        <v>2591.8000000000002</v>
      </c>
      <c r="U389" s="1042">
        <f t="shared" si="755"/>
        <v>2534.3000000000002</v>
      </c>
      <c r="V389" s="1349">
        <f t="shared" si="756"/>
        <v>2575.879508196721</v>
      </c>
      <c r="W389" s="1042">
        <f t="shared" si="757"/>
        <v>2495.50</v>
      </c>
      <c r="X389" s="1042">
        <f t="shared" si="757"/>
        <v>2494.25</v>
      </c>
      <c r="Y389" s="1042">
        <f t="shared" si="757"/>
        <v>2432.1499999999996</v>
      </c>
      <c r="Z389" s="1042">
        <f t="shared" si="757"/>
        <v>2330.6499999999996</v>
      </c>
      <c r="AA389" s="1349">
        <f t="shared" si="758"/>
        <v>2437.669452054794</v>
      </c>
      <c r="AB389" s="1042">
        <f t="shared" si="759"/>
        <v>2008.60</v>
      </c>
      <c r="AC389" s="1042">
        <f t="shared" si="759"/>
        <v>1693.6999999999998</v>
      </c>
      <c r="AD389" s="1042">
        <f t="shared" si="759"/>
        <v>1628.05</v>
      </c>
      <c r="AE389" s="1042">
        <f t="shared" si="759"/>
        <v>1618.9499999999998</v>
      </c>
      <c r="AF389" s="1349">
        <f>SUM(AB389*AB$3,AC389*AC$3,AD389*AD$3,AE389*AE$3)/SUM(AB$3,AC$3,AD$3,AE$3)</f>
        <v>1735.9580821917807</v>
      </c>
      <c r="AG389" s="1042">
        <f t="shared" si="760"/>
        <v>1582.4499999999998</v>
      </c>
      <c r="AH389" s="1042">
        <f t="shared" si="760"/>
        <v>1552.75</v>
      </c>
      <c r="AI389" s="1042">
        <f t="shared" si="760"/>
        <v>1636.70</v>
      </c>
      <c r="AJ389" s="1042">
        <f t="shared" si="760"/>
        <v>1698.50</v>
      </c>
      <c r="AK389" s="1349">
        <f>SUM(AG389*AG$3,AH389*AH$3,AI389*AI$3,AJ389*AJ$3)/SUM(AG$3,AH$3,AI$3,AJ$3)</f>
        <v>1617.9702739726029</v>
      </c>
      <c r="AL389" s="1042">
        <f t="shared" si="761"/>
        <v>2008.75</v>
      </c>
      <c r="AM389" s="1042">
        <f t="shared" si="761"/>
        <v>2939.25</v>
      </c>
      <c r="AN389" s="1042">
        <f t="shared" si="761"/>
        <v>4052.05</v>
      </c>
      <c r="AO389" s="1042">
        <f t="shared" si="761"/>
        <v>3875.80</v>
      </c>
      <c r="AP389" s="1349">
        <f>SUM(AL389*AL$3,AM389*AM$3,AN389*AN$3,AO389*AO$3)/SUM(AL$3,AM$3,AN$3,AO$3)</f>
        <v>3223.0333333333338</v>
      </c>
      <c r="AQ389" s="1042">
        <f t="shared" si="762"/>
        <v>2922.95</v>
      </c>
      <c r="AR389" s="1042">
        <f t="shared" si="762"/>
        <v>2532.3000000000002</v>
      </c>
      <c r="AS389" s="1042">
        <f t="shared" si="762"/>
        <v>2303.1999999999998</v>
      </c>
      <c r="AT389" s="1042">
        <f t="shared" si="762"/>
        <v>2175.6000000000004</v>
      </c>
      <c r="AU389" s="1349">
        <f>SUM(AQ389*AQ$3,AR389*AR$3,AS389*AS$3,AT389*AT$3)/AU$3</f>
        <v>2480.9709589041099</v>
      </c>
      <c r="AV389" s="1042">
        <f t="shared" si="763"/>
        <v>2164.75</v>
      </c>
      <c r="AW389" s="1042">
        <f t="shared" si="763"/>
        <v>2139.8000000000002</v>
      </c>
      <c r="AX389" s="1042">
        <f t="shared" si="763"/>
        <v>2030.45</v>
      </c>
      <c r="AY389" s="1047">
        <f t="shared" si="764"/>
        <v>1951.30</v>
      </c>
      <c r="AZ389" s="1351">
        <f>SUM(AV389*AV$3,AW389*AW$3,AX389*AX$3,AY389*AY$3)/AZ$3</f>
        <v>2070.8775342465756</v>
      </c>
      <c r="BA389" s="1047">
        <f t="shared" si="765"/>
        <v>2019.35</v>
      </c>
      <c r="BB389" s="1047">
        <f t="shared" si="765"/>
        <v>2108.1499999999996</v>
      </c>
      <c r="BC389" s="1042">
        <f>AVERAGE(BB378,BC378)</f>
        <v>2104.50</v>
      </c>
      <c r="BD389" s="1047">
        <f>AVERAGE(BC378,BD378)</f>
        <v>2128.5500000000002</v>
      </c>
      <c r="BE389" s="1351">
        <f>SUM(BA389*BA$3,BB389*BB$3,BC389*BC$3,BD389*BD$3)/BE$3</f>
        <v>2090.4760273972602</v>
      </c>
      <c r="BF389" s="1047">
        <f t="shared" si="766"/>
        <v>2131.3000000000002</v>
      </c>
      <c r="BG389" s="1047">
        <f t="shared" si="766"/>
        <v>2130.90</v>
      </c>
      <c r="BH389" s="1048">
        <f>AVERAGE(BG378,BH378)</f>
        <v>2401.6999999999998</v>
      </c>
      <c r="BI389" s="1044"/>
      <c r="BJ389" s="1350"/>
      <c r="BK389" s="1044"/>
      <c r="BL389" s="1044"/>
      <c r="BM389" s="1044"/>
      <c r="BN389" s="1044"/>
      <c r="BO389" s="1350"/>
      <c r="BP389" s="1351"/>
      <c r="BQ389" s="1351"/>
      <c r="BR389" s="1350"/>
      <c r="BS389" s="648"/>
    </row>
    <row r="390" spans="1:71" s="665" customFormat="1" ht="15" hidden="1" outlineLevel="2">
      <c r="A390" s="71" t="s">
        <v>446</v>
      </c>
      <c r="B390" s="308"/>
      <c r="C390" s="1351"/>
      <c r="D390" s="1349">
        <f t="shared" si="751"/>
        <v>0</v>
      </c>
      <c r="E390" s="1349">
        <f t="shared" si="751"/>
        <v>0</v>
      </c>
      <c r="F390" s="1349">
        <f t="shared" si="751"/>
        <v>0</v>
      </c>
      <c r="G390" s="1349">
        <f t="shared" si="751"/>
        <v>7.80</v>
      </c>
      <c r="H390" s="1042">
        <f t="shared" si="751"/>
        <v>16.75</v>
      </c>
      <c r="I390" s="1042">
        <f t="shared" si="751"/>
        <v>8.9499999999999993</v>
      </c>
      <c r="J390" s="1042">
        <f t="shared" si="751"/>
        <v>10.10</v>
      </c>
      <c r="K390" s="1042">
        <f t="shared" si="751"/>
        <v>17.20</v>
      </c>
      <c r="L390" s="1349">
        <f t="shared" si="752"/>
        <v>13.242602739726026</v>
      </c>
      <c r="M390" s="1042">
        <f t="shared" si="753"/>
        <v>17.10</v>
      </c>
      <c r="N390" s="1042">
        <f t="shared" si="753"/>
        <v>19.30</v>
      </c>
      <c r="O390" s="1042">
        <f t="shared" si="753"/>
        <v>18.950000000000003</v>
      </c>
      <c r="P390" s="1042">
        <f t="shared" si="753"/>
        <v>18.950000000000003</v>
      </c>
      <c r="Q390" s="1349">
        <f t="shared" si="754"/>
        <v>18.581095890410964</v>
      </c>
      <c r="R390" s="1042">
        <f t="shared" si="755"/>
        <v>20.25</v>
      </c>
      <c r="S390" s="1042">
        <f t="shared" si="755"/>
        <v>23.45</v>
      </c>
      <c r="T390" s="1042">
        <f t="shared" si="755"/>
        <v>25.20</v>
      </c>
      <c r="U390" s="1042">
        <f t="shared" si="755"/>
        <v>24.95</v>
      </c>
      <c r="V390" s="1349">
        <f t="shared" si="756"/>
        <v>23.471311475409838</v>
      </c>
      <c r="W390" s="1042">
        <f t="shared" si="757"/>
        <v>23.70</v>
      </c>
      <c r="X390" s="1042">
        <f t="shared" si="757"/>
        <v>22.70</v>
      </c>
      <c r="Y390" s="1042">
        <f t="shared" si="757"/>
        <v>23.35</v>
      </c>
      <c r="Z390" s="1042">
        <f t="shared" si="757"/>
        <v>24.20</v>
      </c>
      <c r="AA390" s="1349">
        <f t="shared" si="758"/>
        <v>23.488493150684931</v>
      </c>
      <c r="AB390" s="1047"/>
      <c r="AC390" s="1047"/>
      <c r="AD390" s="1047"/>
      <c r="AE390" s="1047"/>
      <c r="AF390" s="1351"/>
      <c r="AG390" s="1047"/>
      <c r="AH390" s="1047"/>
      <c r="AI390" s="1047"/>
      <c r="AJ390" s="1047"/>
      <c r="AK390" s="1351"/>
      <c r="AL390" s="1047"/>
      <c r="AM390" s="1047"/>
      <c r="AN390" s="1047"/>
      <c r="AO390" s="1047"/>
      <c r="AP390" s="1351"/>
      <c r="AQ390" s="1047"/>
      <c r="AR390" s="1047"/>
      <c r="AS390" s="1047"/>
      <c r="AT390" s="1047"/>
      <c r="AU390" s="1351"/>
      <c r="AV390" s="1047"/>
      <c r="AW390" s="1047"/>
      <c r="AX390" s="1047"/>
      <c r="AY390" s="1047"/>
      <c r="AZ390" s="1351"/>
      <c r="BA390" s="1047"/>
      <c r="BB390" s="1047"/>
      <c r="BC390" s="1047"/>
      <c r="BD390" s="1047"/>
      <c r="BE390" s="1351"/>
      <c r="BF390" s="1047"/>
      <c r="BG390" s="1047"/>
      <c r="BH390" s="1048"/>
      <c r="BI390" s="1044"/>
      <c r="BJ390" s="1350"/>
      <c r="BK390" s="1044"/>
      <c r="BL390" s="1044"/>
      <c r="BM390" s="1044"/>
      <c r="BN390" s="1044"/>
      <c r="BO390" s="1350"/>
      <c r="BP390" s="1351"/>
      <c r="BQ390" s="1351"/>
      <c r="BR390" s="1350"/>
      <c r="BS390" s="648"/>
    </row>
    <row r="391" spans="1:71" s="665" customFormat="1" ht="15" hidden="1" outlineLevel="2">
      <c r="A391" s="71" t="s">
        <v>406</v>
      </c>
      <c r="B391" s="308"/>
      <c r="C391" s="1351"/>
      <c r="D391" s="1349">
        <f t="shared" si="751"/>
        <v>1963.75</v>
      </c>
      <c r="E391" s="1349">
        <f t="shared" si="751"/>
        <v>2771.1499999999996</v>
      </c>
      <c r="F391" s="1349">
        <f t="shared" si="751"/>
        <v>3004.60</v>
      </c>
      <c r="G391" s="1349">
        <f t="shared" si="751"/>
        <v>3019.80</v>
      </c>
      <c r="H391" s="1042">
        <f t="shared" si="751"/>
        <v>2714.10</v>
      </c>
      <c r="I391" s="1042">
        <f t="shared" si="751"/>
        <v>2382.1999999999998</v>
      </c>
      <c r="J391" s="1042">
        <f t="shared" si="751"/>
        <v>2390.9499999999998</v>
      </c>
      <c r="K391" s="1042">
        <f t="shared" si="751"/>
        <v>2677.8999999999996</v>
      </c>
      <c r="L391" s="1349">
        <f t="shared" si="752"/>
        <v>2540.7764383561639</v>
      </c>
      <c r="M391" s="1042">
        <f t="shared" si="753"/>
        <v>2870.35</v>
      </c>
      <c r="N391" s="1042">
        <f t="shared" si="753"/>
        <v>3169.40</v>
      </c>
      <c r="O391" s="1042">
        <f t="shared" si="753"/>
        <v>3617.15</v>
      </c>
      <c r="P391" s="1042">
        <f t="shared" si="753"/>
        <v>3745.55</v>
      </c>
      <c r="Q391" s="1349">
        <f t="shared" si="754"/>
        <v>3353.7405479452054</v>
      </c>
      <c r="R391" s="1042">
        <f t="shared" si="755"/>
        <v>3765.80</v>
      </c>
      <c r="S391" s="1042">
        <f t="shared" si="755"/>
        <v>3875.50</v>
      </c>
      <c r="T391" s="1042">
        <f t="shared" si="755"/>
        <v>4157.1499999999996</v>
      </c>
      <c r="U391" s="1042">
        <f t="shared" si="755"/>
        <v>4477.1000000000004</v>
      </c>
      <c r="V391" s="1349">
        <f t="shared" si="756"/>
        <v>4070.2439890710384</v>
      </c>
      <c r="W391" s="1042">
        <f t="shared" si="757"/>
        <v>4879.45</v>
      </c>
      <c r="X391" s="1042">
        <f t="shared" si="757"/>
        <v>5110.8999999999996</v>
      </c>
      <c r="Y391" s="1042">
        <f t="shared" si="757"/>
        <v>5119.7000000000007</v>
      </c>
      <c r="Z391" s="1042">
        <f t="shared" si="757"/>
        <v>5111.6499999999996</v>
      </c>
      <c r="AA391" s="1349">
        <f t="shared" si="758"/>
        <v>5056.2372602739724</v>
      </c>
      <c r="AB391" s="1042">
        <f t="shared" si="767" ref="AB391:AE392">AVERAGE(AA380,AB380)</f>
        <v>5519.40</v>
      </c>
      <c r="AC391" s="1042">
        <f t="shared" si="767"/>
        <v>6685.7000000000007</v>
      </c>
      <c r="AD391" s="1042">
        <f t="shared" si="767"/>
        <v>7238.5500000000002</v>
      </c>
      <c r="AE391" s="1042">
        <f t="shared" si="767"/>
        <v>7920.5499999999993</v>
      </c>
      <c r="AF391" s="1349">
        <f>SUM(AB391*AB$3,AC391*AC$3,AD391*AD$3,AE391*AE$3)/SUM(AB$3,AC$3,AD$3,AE$3)</f>
        <v>6848.7175342465753</v>
      </c>
      <c r="AG391" s="1042">
        <f t="shared" si="768" ref="AG391:AJ392">AVERAGE(AF380,AG380)</f>
        <v>8336.1499999999996</v>
      </c>
      <c r="AH391" s="1042">
        <f t="shared" si="768"/>
        <v>7681.8500000000004</v>
      </c>
      <c r="AI391" s="1042">
        <f t="shared" si="768"/>
        <v>7333.40</v>
      </c>
      <c r="AJ391" s="1042">
        <f t="shared" si="768"/>
        <v>7174.40</v>
      </c>
      <c r="AK391" s="1349">
        <f>SUM(AG391*AG$3,AH391*AH$3,AI391*AI$3,AJ391*AJ$3)/SUM(AG$3,AH$3,AI$3,AJ$3)</f>
        <v>7627.4505479452046</v>
      </c>
      <c r="AL391" s="1042">
        <f t="shared" si="769" ref="AL391:AO392">AVERAGE(AK380,AL380)</f>
        <v>8279.7999999999993</v>
      </c>
      <c r="AM391" s="1042">
        <f t="shared" si="769"/>
        <v>10277.200000000001</v>
      </c>
      <c r="AN391" s="1042">
        <f t="shared" si="769"/>
        <v>10837.25</v>
      </c>
      <c r="AO391" s="1042">
        <f t="shared" si="769"/>
        <v>10398.60</v>
      </c>
      <c r="AP391" s="1349">
        <f>SUM(AL391*AL$3,AM391*AM$3,AN391*AN$3,AO391*AO$3)/SUM(AL$3,AM$3,AN$3,AO$3)</f>
        <v>9951.8721311475419</v>
      </c>
      <c r="AQ391" s="1042">
        <f t="shared" si="770" ref="AQ391:AT392">AVERAGE(AP380,AQ380)</f>
        <v>10310.700000000001</v>
      </c>
      <c r="AR391" s="1042">
        <f t="shared" si="770"/>
        <v>10563.549999999999</v>
      </c>
      <c r="AS391" s="1042">
        <f t="shared" si="770"/>
        <v>10782.450000000001</v>
      </c>
      <c r="AT391" s="1042">
        <f t="shared" si="770"/>
        <v>10783.049999999999</v>
      </c>
      <c r="AU391" s="1349">
        <f>SUM(AQ391*AQ$3,AR391*AR$3,AS391*AS$3,AT391*AT$3)/AU$3</f>
        <v>10611.704246575344</v>
      </c>
      <c r="AV391" s="1042">
        <f t="shared" si="771" ref="AV391:AX392">AVERAGE(AU380,AV380)</f>
        <v>10986.049999999999</v>
      </c>
      <c r="AW391" s="1042">
        <f t="shared" si="771"/>
        <v>10723.90</v>
      </c>
      <c r="AX391" s="1042">
        <f t="shared" si="771"/>
        <v>9698.0999999999985</v>
      </c>
      <c r="AY391" s="1047">
        <f t="shared" si="772" ref="AY391:AY392">AVERAGE(AX380,AY380)</f>
        <v>9320.5499999999993</v>
      </c>
      <c r="AZ391" s="1351">
        <f>SUM(AV391*AV$3,AW391*AW$3,AX391*AX$3,AY391*AY$3)/AZ$3</f>
        <v>10176.260821917807</v>
      </c>
      <c r="BA391" s="1047">
        <f t="shared" si="773" ref="BA391:BB392">AVERAGE(AZ380,BA380)</f>
        <v>10047</v>
      </c>
      <c r="BB391" s="1047">
        <f t="shared" si="773"/>
        <v>10492.950000000001</v>
      </c>
      <c r="BC391" s="1042">
        <f>AVERAGE(BB380,BC380)</f>
        <v>10279.400000000001</v>
      </c>
      <c r="BD391" s="1047">
        <f>AVERAGE(BC380,BD380)</f>
        <v>10718.950000000001</v>
      </c>
      <c r="BE391" s="1351">
        <f>SUM(BA391*BA$3,BB391*BB$3,BC391*BC$3,BD391*BD$3)/BE$3</f>
        <v>10386.127808219178</v>
      </c>
      <c r="BF391" s="1047">
        <f t="shared" si="774" ref="BF391:BG392">AVERAGE(BE380,BF380)</f>
        <v>11852.50</v>
      </c>
      <c r="BG391" s="1047">
        <f t="shared" si="774"/>
        <v>12747.950000000001</v>
      </c>
      <c r="BH391" s="1048">
        <f>AVERAGE(BG380,BH380)</f>
        <v>14005.049999999999</v>
      </c>
      <c r="BI391" s="1044"/>
      <c r="BJ391" s="1350"/>
      <c r="BK391" s="1044"/>
      <c r="BL391" s="1044"/>
      <c r="BM391" s="1044"/>
      <c r="BN391" s="1044"/>
      <c r="BO391" s="1350"/>
      <c r="BP391" s="1351"/>
      <c r="BQ391" s="1351"/>
      <c r="BR391" s="1350"/>
      <c r="BS391" s="648"/>
    </row>
    <row r="392" spans="1:71" s="665" customFormat="1" ht="15" hidden="1" outlineLevel="2">
      <c r="A392" s="71" t="s">
        <v>407</v>
      </c>
      <c r="B392" s="308"/>
      <c r="C392" s="1351"/>
      <c r="D392" s="1349">
        <f t="shared" si="751"/>
        <v>540</v>
      </c>
      <c r="E392" s="1349">
        <f t="shared" si="751"/>
        <v>495.25</v>
      </c>
      <c r="F392" s="1349">
        <f t="shared" si="751"/>
        <v>427.54999999999995</v>
      </c>
      <c r="G392" s="1349">
        <f t="shared" si="751"/>
        <v>778.05</v>
      </c>
      <c r="H392" s="1042">
        <f t="shared" si="751"/>
        <v>1217.6500000000001</v>
      </c>
      <c r="I392" s="1042">
        <f t="shared" si="751"/>
        <v>1321.40</v>
      </c>
      <c r="J392" s="1042">
        <f t="shared" si="751"/>
        <v>1410.95</v>
      </c>
      <c r="K392" s="1042">
        <f t="shared" si="751"/>
        <v>1572.50</v>
      </c>
      <c r="L392" s="1349">
        <f t="shared" si="752"/>
        <v>1381.6802739726029</v>
      </c>
      <c r="M392" s="1042">
        <f t="shared" si="753"/>
        <v>1653.35</v>
      </c>
      <c r="N392" s="1042">
        <f t="shared" si="753"/>
        <v>1770.35</v>
      </c>
      <c r="O392" s="1042">
        <f t="shared" si="753"/>
        <v>1850.95</v>
      </c>
      <c r="P392" s="1042">
        <f t="shared" si="753"/>
        <v>1768.0500000000002</v>
      </c>
      <c r="Q392" s="1349">
        <f t="shared" si="754"/>
        <v>1761.2365753424656</v>
      </c>
      <c r="R392" s="1042">
        <f t="shared" si="755"/>
        <v>1764.10</v>
      </c>
      <c r="S392" s="1042">
        <f t="shared" si="755"/>
        <v>1738.20</v>
      </c>
      <c r="T392" s="1042">
        <f t="shared" si="755"/>
        <v>1634.5500000000002</v>
      </c>
      <c r="U392" s="1042">
        <f t="shared" si="755"/>
        <v>1526.45</v>
      </c>
      <c r="V392" s="1349">
        <f t="shared" si="756"/>
        <v>1665.3587431693991</v>
      </c>
      <c r="W392" s="1042">
        <f t="shared" si="757"/>
        <v>1434.15</v>
      </c>
      <c r="X392" s="1042">
        <f t="shared" si="757"/>
        <v>1320.10</v>
      </c>
      <c r="Y392" s="1042">
        <f t="shared" si="757"/>
        <v>1075.4499999999998</v>
      </c>
      <c r="Z392" s="1042">
        <f t="shared" si="757"/>
        <v>878.50</v>
      </c>
      <c r="AA392" s="1349">
        <f t="shared" si="758"/>
        <v>1175.2493150684932</v>
      </c>
      <c r="AB392" s="1042">
        <f t="shared" si="767"/>
        <v>794.25</v>
      </c>
      <c r="AC392" s="1042">
        <f t="shared" si="767"/>
        <v>787.20</v>
      </c>
      <c r="AD392" s="1042">
        <f t="shared" si="767"/>
        <v>796.20</v>
      </c>
      <c r="AE392" s="1042">
        <f t="shared" si="767"/>
        <v>752.09999999999991</v>
      </c>
      <c r="AF392" s="1349">
        <f>SUM(AB392*AB$3,AC392*AC$3,AD392*AD$3,AE392*AE$3)/SUM(AB$3,AC$3,AD$3,AE$3)</f>
        <v>782.35972602739741</v>
      </c>
      <c r="AG392" s="1042">
        <f t="shared" si="768"/>
        <v>673.70</v>
      </c>
      <c r="AH392" s="1042">
        <f t="shared" si="768"/>
        <v>639.10</v>
      </c>
      <c r="AI392" s="1042">
        <f t="shared" si="768"/>
        <v>673.35</v>
      </c>
      <c r="AJ392" s="1042">
        <f t="shared" si="768"/>
        <v>654.50</v>
      </c>
      <c r="AK392" s="1349">
        <f>SUM(AG392*AG$3,AH392*AH$3,AI392*AI$3,AJ392*AJ$3)/SUM(AG$3,AH$3,AI$3,AJ$3)</f>
        <v>660.14602739726035</v>
      </c>
      <c r="AL392" s="1042">
        <f t="shared" si="769"/>
        <v>592.04999999999995</v>
      </c>
      <c r="AM392" s="1042">
        <f t="shared" si="769"/>
        <v>549.79999999999995</v>
      </c>
      <c r="AN392" s="1042">
        <f t="shared" si="769"/>
        <v>537</v>
      </c>
      <c r="AO392" s="1042">
        <f t="shared" si="769"/>
        <v>520.25</v>
      </c>
      <c r="AP392" s="1349">
        <f>SUM(AL392*AL$3,AM392*AM$3,AN392*AN$3,AO392*AO$3)/SUM(AL$3,AM$3,AN$3,AO$3)</f>
        <v>549.65942622950809</v>
      </c>
      <c r="AQ392" s="1042">
        <f t="shared" si="770"/>
        <v>531.35</v>
      </c>
      <c r="AR392" s="1042">
        <f t="shared" si="770"/>
        <v>612.25</v>
      </c>
      <c r="AS392" s="1042">
        <f t="shared" si="770"/>
        <v>649.59999999999991</v>
      </c>
      <c r="AT392" s="1042">
        <f t="shared" si="770"/>
        <v>708.95</v>
      </c>
      <c r="AU392" s="1349">
        <f>SUM(AQ392*AQ$3,AR392*AR$3,AS392*AS$3,AT392*AT$3)/AU$3</f>
        <v>626.08999999999992</v>
      </c>
      <c r="AV392" s="1042">
        <f t="shared" si="771"/>
        <v>870.55</v>
      </c>
      <c r="AW392" s="1042">
        <f t="shared" si="771"/>
        <v>875.20</v>
      </c>
      <c r="AX392" s="1042">
        <f t="shared" si="771"/>
        <v>761.15</v>
      </c>
      <c r="AY392" s="1047">
        <f t="shared" si="772"/>
        <v>694.90</v>
      </c>
      <c r="AZ392" s="1351">
        <f>SUM(AV392*AV$3,AW392*AW$3,AX392*AX$3,AY392*AY$3)/AZ$3</f>
        <v>799.86109589041098</v>
      </c>
      <c r="BA392" s="1047">
        <f t="shared" si="773"/>
        <v>648.40</v>
      </c>
      <c r="BB392" s="1047">
        <f t="shared" si="773"/>
        <v>596.35</v>
      </c>
      <c r="BC392" s="1042">
        <f>AVERAGE(BB381,BC381)</f>
        <v>539.25</v>
      </c>
      <c r="BD392" s="1047">
        <f>AVERAGE(BC381,BD381)</f>
        <v>466.50</v>
      </c>
      <c r="BE392" s="1351">
        <f>SUM(BA392*BA$3,BB392*BB$3,BC392*BC$3,BD392*BD$3)/BE$3</f>
        <v>562.062602739726</v>
      </c>
      <c r="BF392" s="1047">
        <f t="shared" si="774"/>
        <v>400.15</v>
      </c>
      <c r="BG392" s="1047">
        <f t="shared" si="774"/>
        <v>679.40000000000009</v>
      </c>
      <c r="BH392" s="1048">
        <f>AVERAGE(BG381,BH381)</f>
        <v>1199.8000000000002</v>
      </c>
      <c r="BI392" s="1044"/>
      <c r="BJ392" s="1350"/>
      <c r="BK392" s="1044"/>
      <c r="BL392" s="1044"/>
      <c r="BM392" s="1044"/>
      <c r="BN392" s="1044"/>
      <c r="BO392" s="1350"/>
      <c r="BP392" s="1351"/>
      <c r="BQ392" s="1351"/>
      <c r="BR392" s="1350"/>
      <c r="BS392" s="648"/>
    </row>
    <row r="393" spans="1:71" s="665" customFormat="1" ht="15" hidden="1" outlineLevel="2">
      <c r="A393" s="71" t="s">
        <v>445</v>
      </c>
      <c r="B393" s="308"/>
      <c r="C393" s="1351"/>
      <c r="D393" s="1349">
        <f t="shared" si="751"/>
        <v>0</v>
      </c>
      <c r="E393" s="1349">
        <f t="shared" si="751"/>
        <v>0</v>
      </c>
      <c r="F393" s="1349">
        <f t="shared" si="751"/>
        <v>0</v>
      </c>
      <c r="G393" s="1349">
        <f t="shared" si="751"/>
        <v>0</v>
      </c>
      <c r="H393" s="1042">
        <f t="shared" si="751"/>
        <v>0</v>
      </c>
      <c r="I393" s="1042">
        <f t="shared" si="751"/>
        <v>0</v>
      </c>
      <c r="J393" s="1042">
        <f t="shared" si="751"/>
        <v>0</v>
      </c>
      <c r="K393" s="1042">
        <f t="shared" si="751"/>
        <v>0</v>
      </c>
      <c r="L393" s="1349">
        <f t="shared" si="752"/>
        <v>0</v>
      </c>
      <c r="M393" s="1042">
        <f t="shared" si="753"/>
        <v>0</v>
      </c>
      <c r="N393" s="1042">
        <f t="shared" si="753"/>
        <v>114.30</v>
      </c>
      <c r="O393" s="1042">
        <f t="shared" si="753"/>
        <v>113.09999999999999</v>
      </c>
      <c r="P393" s="1042">
        <f t="shared" si="753"/>
        <v>100.59999999999999</v>
      </c>
      <c r="Q393" s="1349">
        <f t="shared" si="754"/>
        <v>82.360821917808209</v>
      </c>
      <c r="R393" s="1042">
        <f t="shared" si="755"/>
        <v>67.95</v>
      </c>
      <c r="S393" s="1042">
        <f t="shared" si="755"/>
        <v>46.75</v>
      </c>
      <c r="T393" s="1042">
        <f t="shared" si="755"/>
        <v>45.50</v>
      </c>
      <c r="U393" s="1042">
        <f t="shared" si="755"/>
        <v>42.35</v>
      </c>
      <c r="V393" s="1349">
        <f t="shared" si="756"/>
        <v>50.600819672131152</v>
      </c>
      <c r="W393" s="1042">
        <f t="shared" si="757"/>
        <v>39.549999999999997</v>
      </c>
      <c r="X393" s="1042">
        <f t="shared" si="757"/>
        <v>37.75</v>
      </c>
      <c r="Y393" s="1042">
        <f t="shared" si="757"/>
        <v>36.15</v>
      </c>
      <c r="Z393" s="1042">
        <f t="shared" si="757"/>
        <v>35.299999999999997</v>
      </c>
      <c r="AA393" s="1349">
        <f t="shared" si="758"/>
        <v>37.173013698630136</v>
      </c>
      <c r="AB393" s="1047"/>
      <c r="AC393" s="1047"/>
      <c r="AD393" s="1047"/>
      <c r="AE393" s="1047"/>
      <c r="AF393" s="1351"/>
      <c r="AG393" s="1047"/>
      <c r="AH393" s="1047"/>
      <c r="AI393" s="1047"/>
      <c r="AJ393" s="1047"/>
      <c r="AK393" s="1351"/>
      <c r="AL393" s="1047"/>
      <c r="AM393" s="1047"/>
      <c r="AN393" s="1047"/>
      <c r="AO393" s="1047"/>
      <c r="AP393" s="1351"/>
      <c r="AQ393" s="1047"/>
      <c r="AR393" s="1047"/>
      <c r="AS393" s="1047"/>
      <c r="AT393" s="1047"/>
      <c r="AU393" s="1351"/>
      <c r="AV393" s="1047"/>
      <c r="AW393" s="1047"/>
      <c r="AX393" s="1047"/>
      <c r="AY393" s="1047"/>
      <c r="AZ393" s="1351"/>
      <c r="BA393" s="1047"/>
      <c r="BB393" s="1047"/>
      <c r="BC393" s="1047"/>
      <c r="BD393" s="1047"/>
      <c r="BE393" s="1351"/>
      <c r="BF393" s="1047"/>
      <c r="BG393" s="1047"/>
      <c r="BH393" s="1048"/>
      <c r="BI393" s="1044"/>
      <c r="BJ393" s="1350"/>
      <c r="BK393" s="1044"/>
      <c r="BL393" s="1044"/>
      <c r="BM393" s="1044"/>
      <c r="BN393" s="1044"/>
      <c r="BO393" s="1350"/>
      <c r="BP393" s="1351"/>
      <c r="BQ393" s="1351"/>
      <c r="BR393" s="1350"/>
      <c r="BS393" s="648"/>
    </row>
    <row r="394" spans="1:71" s="665" customFormat="1" ht="15" hidden="1" outlineLevel="2">
      <c r="A394" s="71" t="s">
        <v>408</v>
      </c>
      <c r="B394" s="308"/>
      <c r="C394" s="1351"/>
      <c r="D394" s="1349">
        <f t="shared" si="751"/>
        <v>1711.10</v>
      </c>
      <c r="E394" s="1349">
        <f t="shared" si="751"/>
        <v>1854.35</v>
      </c>
      <c r="F394" s="1349">
        <f t="shared" si="751"/>
        <v>1962.65</v>
      </c>
      <c r="G394" s="1349">
        <f t="shared" si="751"/>
        <v>2104.60</v>
      </c>
      <c r="H394" s="1042">
        <f t="shared" si="751"/>
        <v>2111.0500000000002</v>
      </c>
      <c r="I394" s="1042">
        <f t="shared" si="751"/>
        <v>2040.4499999999998</v>
      </c>
      <c r="J394" s="1042">
        <f t="shared" si="751"/>
        <v>2095.90</v>
      </c>
      <c r="K394" s="1042">
        <f t="shared" si="751"/>
        <v>2244.0500000000002</v>
      </c>
      <c r="L394" s="1349">
        <f t="shared" si="752"/>
        <v>2123.1530136986303</v>
      </c>
      <c r="M394" s="1042">
        <f t="shared" si="753"/>
        <v>2401.35</v>
      </c>
      <c r="N394" s="1042">
        <f t="shared" si="753"/>
        <v>2523.60</v>
      </c>
      <c r="O394" s="1042">
        <f t="shared" si="753"/>
        <v>2611.85</v>
      </c>
      <c r="P394" s="1042">
        <f t="shared" si="753"/>
        <v>2658.3999999999996</v>
      </c>
      <c r="Q394" s="1349">
        <f t="shared" si="754"/>
        <v>2549.6769863013697</v>
      </c>
      <c r="R394" s="1042">
        <f t="shared" si="755"/>
        <v>2539.6999999999998</v>
      </c>
      <c r="S394" s="1042">
        <f t="shared" si="755"/>
        <v>2318.3000000000002</v>
      </c>
      <c r="T394" s="1042">
        <f t="shared" si="755"/>
        <v>2244.40</v>
      </c>
      <c r="U394" s="1042">
        <f t="shared" si="755"/>
        <v>2265.90</v>
      </c>
      <c r="V394" s="1349">
        <f t="shared" si="756"/>
        <v>2341.6000000000004</v>
      </c>
      <c r="W394" s="1042">
        <f t="shared" si="757"/>
        <v>2233.4499999999998</v>
      </c>
      <c r="X394" s="1042">
        <f t="shared" si="757"/>
        <v>2294.25</v>
      </c>
      <c r="Y394" s="1042">
        <f t="shared" si="757"/>
        <v>2571.4499999999998</v>
      </c>
      <c r="Z394" s="1042">
        <f t="shared" si="757"/>
        <v>2763.25</v>
      </c>
      <c r="AA394" s="1349">
        <f t="shared" si="758"/>
        <v>2467.341506849315</v>
      </c>
      <c r="AB394" s="1042">
        <f t="shared" si="775" ref="AB394:AE397">AVERAGE(AA383,AB383)</f>
        <v>2514.0500000000002</v>
      </c>
      <c r="AC394" s="1042">
        <f t="shared" si="775"/>
        <v>2483.1999999999998</v>
      </c>
      <c r="AD394" s="1042">
        <f t="shared" si="775"/>
        <v>2828.1000000000004</v>
      </c>
      <c r="AE394" s="1042">
        <f t="shared" si="775"/>
        <v>3130.45</v>
      </c>
      <c r="AF394" s="1349">
        <f>SUM(AB394*AB$3,AC394*AC$3,AD394*AD$3,AE394*AE$3)/SUM(AB$3,AC$3,AD$3,AE$3)</f>
        <v>2740.8830136986303</v>
      </c>
      <c r="AG394" s="1042">
        <f t="shared" si="776" ref="AG394:AJ397">AVERAGE(AF383,AG383)</f>
        <v>3577.60</v>
      </c>
      <c r="AH394" s="1042">
        <f t="shared" si="776"/>
        <v>4147.75</v>
      </c>
      <c r="AI394" s="1042">
        <f t="shared" si="776"/>
        <v>4540.45</v>
      </c>
      <c r="AJ394" s="1042">
        <f t="shared" si="776"/>
        <v>4857.6000000000004</v>
      </c>
      <c r="AK394" s="1349">
        <f>SUM(AG394*AG$3,AH394*AH$3,AI394*AI$3,AJ394*AJ$3)/SUM(AG$3,AH$3,AI$3,AJ$3)</f>
        <v>4285.0680821917804</v>
      </c>
      <c r="AL394" s="1042">
        <f t="shared" si="777" ref="AL394:AO397">AVERAGE(AK383,AL383)</f>
        <v>5370.25</v>
      </c>
      <c r="AM394" s="1042">
        <f t="shared" si="777"/>
        <v>5713.0500000000002</v>
      </c>
      <c r="AN394" s="1042">
        <f t="shared" si="777"/>
        <v>5907.7000000000007</v>
      </c>
      <c r="AO394" s="1042">
        <f t="shared" si="777"/>
        <v>6114.3500000000004</v>
      </c>
      <c r="AP394" s="1349">
        <f>SUM(AL394*AL$3,AM394*AM$3,AN394*AN$3,AO394*AO$3)/SUM(AL$3,AM$3,AN$3,AO$3)</f>
        <v>5777.6199453551926</v>
      </c>
      <c r="AQ394" s="1042">
        <f t="shared" si="778" ref="AQ394:AT397">AVERAGE(AP383,AQ383)</f>
        <v>6033.5500000000002</v>
      </c>
      <c r="AR394" s="1042">
        <f t="shared" si="778"/>
        <v>5800.0500000000002</v>
      </c>
      <c r="AS394" s="1042">
        <f t="shared" si="778"/>
        <v>5748.5500000000002</v>
      </c>
      <c r="AT394" s="1042">
        <f t="shared" si="778"/>
        <v>6162.30</v>
      </c>
      <c r="AU394" s="1349">
        <f>SUM(AQ394*AQ$3,AR394*AR$3,AS394*AS$3,AT394*AT$3)/AU$3</f>
        <v>5935.9513698630135</v>
      </c>
      <c r="AV394" s="1042">
        <f t="shared" si="779" ref="AV394:AW397">AVERAGE(AU383,AV383)</f>
        <v>6727.0500000000002</v>
      </c>
      <c r="AW394" s="1042">
        <f t="shared" si="779"/>
        <v>6506.5500000000002</v>
      </c>
      <c r="AX394" s="1042">
        <f t="shared" si="780" ref="AX394:AY397">AVERAGE(AW383,AX383)</f>
        <v>5591.25</v>
      </c>
      <c r="AY394" s="1047">
        <f t="shared" si="781" ref="AY394:AY396">AVERAGE(AX383,AY383)</f>
        <v>4875.70</v>
      </c>
      <c r="AZ394" s="1351">
        <f>SUM(AV394*AV$3,AW394*AW$3,AX394*AX$3,AY394*AY$3)/AZ$3</f>
        <v>5919.1505479452062</v>
      </c>
      <c r="BA394" s="1047">
        <f t="shared" si="782" ref="BA394:BB396">AVERAGE(AZ383,BA383)</f>
        <v>4583.25</v>
      </c>
      <c r="BB394" s="1047">
        <f t="shared" si="782"/>
        <v>4384.25</v>
      </c>
      <c r="BC394" s="1042">
        <f t="shared" si="783" ref="BC394:BD397">AVERAGE(BB383,BC383)</f>
        <v>4121.6000000000004</v>
      </c>
      <c r="BD394" s="1047">
        <f t="shared" si="783"/>
        <v>3958.70</v>
      </c>
      <c r="BE394" s="1351">
        <f>SUM(BA394*BA$3,BB394*BB$3,BC394*BC$3,BD394*BD$3)/BE$3</f>
        <v>4259.8543835616438</v>
      </c>
      <c r="BF394" s="1047">
        <f t="shared" si="784" ref="BF394:BH396">AVERAGE(BE383,BF383)</f>
        <v>3895.75</v>
      </c>
      <c r="BG394" s="1047">
        <f t="shared" si="784"/>
        <v>3910.90</v>
      </c>
      <c r="BH394" s="1048">
        <f t="shared" si="784"/>
        <v>4130.80</v>
      </c>
      <c r="BI394" s="1044"/>
      <c r="BJ394" s="1350"/>
      <c r="BK394" s="1044"/>
      <c r="BL394" s="1044"/>
      <c r="BM394" s="1044"/>
      <c r="BN394" s="1044"/>
      <c r="BO394" s="1350"/>
      <c r="BP394" s="1351"/>
      <c r="BQ394" s="1351"/>
      <c r="BR394" s="1350"/>
      <c r="BS394" s="648"/>
    </row>
    <row r="395" spans="1:71" s="665" customFormat="1" ht="15" hidden="1" outlineLevel="2">
      <c r="A395" s="71" t="s">
        <v>409</v>
      </c>
      <c r="B395" s="308"/>
      <c r="C395" s="1351"/>
      <c r="D395" s="1349">
        <f t="shared" si="751"/>
        <v>900.65000000000009</v>
      </c>
      <c r="E395" s="1349">
        <f t="shared" si="751"/>
        <v>1147.30</v>
      </c>
      <c r="F395" s="1349">
        <f t="shared" si="751"/>
        <v>1084.5999999999999</v>
      </c>
      <c r="G395" s="1349">
        <f t="shared" si="751"/>
        <v>1013.1500000000001</v>
      </c>
      <c r="H395" s="1042">
        <f t="shared" si="751"/>
        <v>1010.10</v>
      </c>
      <c r="I395" s="1042">
        <f t="shared" si="751"/>
        <v>957.75</v>
      </c>
      <c r="J395" s="1042">
        <f t="shared" si="751"/>
        <v>1261.80</v>
      </c>
      <c r="K395" s="1042">
        <f t="shared" si="751"/>
        <v>1594.65</v>
      </c>
      <c r="L395" s="1349">
        <f t="shared" si="752"/>
        <v>1207.8291780821919</v>
      </c>
      <c r="M395" s="1042">
        <f t="shared" si="753"/>
        <v>1770.10</v>
      </c>
      <c r="N395" s="1042">
        <f t="shared" si="753"/>
        <v>1971.50</v>
      </c>
      <c r="O395" s="1042">
        <f t="shared" si="753"/>
        <v>1951.95</v>
      </c>
      <c r="P395" s="1042">
        <f t="shared" si="753"/>
        <v>1815.15</v>
      </c>
      <c r="Q395" s="1349">
        <f t="shared" si="754"/>
        <v>1877.503287671233</v>
      </c>
      <c r="R395" s="1042">
        <f t="shared" si="755"/>
        <v>1735.8000000000002</v>
      </c>
      <c r="S395" s="1042">
        <f t="shared" si="755"/>
        <v>1637.65</v>
      </c>
      <c r="T395" s="1042">
        <f t="shared" si="755"/>
        <v>1808.50</v>
      </c>
      <c r="U395" s="1042">
        <f t="shared" si="755"/>
        <v>2198.25</v>
      </c>
      <c r="V395" s="1349">
        <f t="shared" si="756"/>
        <v>1845.9151639344261</v>
      </c>
      <c r="W395" s="1042">
        <f t="shared" si="757"/>
        <v>2458</v>
      </c>
      <c r="X395" s="1042">
        <f t="shared" si="757"/>
        <v>2706.15</v>
      </c>
      <c r="Y395" s="1042">
        <f t="shared" si="757"/>
        <v>2668.80</v>
      </c>
      <c r="Z395" s="1042">
        <f t="shared" si="757"/>
        <v>2472.4499999999998</v>
      </c>
      <c r="AA395" s="1349">
        <f t="shared" si="758"/>
        <v>2576.6428767123289</v>
      </c>
      <c r="AB395" s="1042">
        <f t="shared" si="775"/>
        <v>2458.3999999999996</v>
      </c>
      <c r="AC395" s="1042">
        <f t="shared" si="775"/>
        <v>2819.85</v>
      </c>
      <c r="AD395" s="1042">
        <f t="shared" si="775"/>
        <v>3185.25</v>
      </c>
      <c r="AE395" s="1042">
        <f t="shared" si="775"/>
        <v>3385.1000000000004</v>
      </c>
      <c r="AF395" s="1349">
        <f>SUM(AB395*AB$3,AC395*AC$3,AD395*AD$3,AE395*AE$3)/SUM(AB$3,AC$3,AD$3,AE$3)</f>
        <v>2965.3001369863014</v>
      </c>
      <c r="AG395" s="1042">
        <f t="shared" si="776"/>
        <v>3708.55</v>
      </c>
      <c r="AH395" s="1042">
        <f t="shared" si="776"/>
        <v>4168.50</v>
      </c>
      <c r="AI395" s="1042">
        <f t="shared" si="776"/>
        <v>4559.5499999999993</v>
      </c>
      <c r="AJ395" s="1042">
        <f t="shared" si="776"/>
        <v>4900.70</v>
      </c>
      <c r="AK395" s="1349">
        <f>SUM(AG395*AG$3,AH395*AH$3,AI395*AI$3,AJ395*AJ$3)/SUM(AG$3,AH$3,AI$3,AJ$3)</f>
        <v>4338.2082191780819</v>
      </c>
      <c r="AL395" s="1042">
        <f t="shared" si="777"/>
        <v>4909.30</v>
      </c>
      <c r="AM395" s="1042">
        <f t="shared" si="777"/>
        <v>4497</v>
      </c>
      <c r="AN395" s="1042">
        <f t="shared" si="777"/>
        <v>4277.6000000000004</v>
      </c>
      <c r="AO395" s="1042">
        <f t="shared" si="777"/>
        <v>3992.45</v>
      </c>
      <c r="AP395" s="1349">
        <f>SUM(AL395*AL$3,AM395*AM$3,AN395*AN$3,AO395*AO$3)/SUM(AL$3,AM$3,AN$3,AO$3)</f>
        <v>4417.5352459016394</v>
      </c>
      <c r="AQ395" s="1042">
        <f t="shared" si="778"/>
        <v>3554</v>
      </c>
      <c r="AR395" s="1042">
        <f t="shared" si="778"/>
        <v>3611.20</v>
      </c>
      <c r="AS395" s="1042">
        <f t="shared" si="778"/>
        <v>4080.60</v>
      </c>
      <c r="AT395" s="1042">
        <f t="shared" si="778"/>
        <v>4622.25</v>
      </c>
      <c r="AU395" s="1349">
        <f>SUM(AQ395*AQ$3,AR395*AR$3,AS395*AS$3,AT395*AT$3)/AU$3</f>
        <v>3970.250410958904</v>
      </c>
      <c r="AV395" s="1042">
        <f t="shared" si="779"/>
        <v>5119.1000000000004</v>
      </c>
      <c r="AW395" s="1042">
        <f t="shared" si="779"/>
        <v>5145.95</v>
      </c>
      <c r="AX395" s="1042">
        <f t="shared" si="780"/>
        <v>4820.95</v>
      </c>
      <c r="AY395" s="1047">
        <f t="shared" si="781"/>
        <v>4585.25</v>
      </c>
      <c r="AZ395" s="1351">
        <f>SUM(AV395*AV$3,AW395*AW$3,AX395*AX$3,AY395*AY$3)/AZ$3</f>
        <v>4916.0845205479454</v>
      </c>
      <c r="BA395" s="1047">
        <f t="shared" si="782"/>
        <v>4715.2000000000007</v>
      </c>
      <c r="BB395" s="1047">
        <f t="shared" si="782"/>
        <v>4941.7000000000007</v>
      </c>
      <c r="BC395" s="1042">
        <f t="shared" si="783"/>
        <v>5165.6000000000004</v>
      </c>
      <c r="BD395" s="1047">
        <f t="shared" si="783"/>
        <v>5444.50</v>
      </c>
      <c r="BE395" s="1351">
        <f>SUM(BA395*BA$3,BB395*BB$3,BC395*BC$3,BD395*BD$3)/BE$3</f>
        <v>5069.0189041095891</v>
      </c>
      <c r="BF395" s="1047">
        <f t="shared" si="784"/>
        <v>5818.2999999999993</v>
      </c>
      <c r="BG395" s="1047">
        <f t="shared" si="784"/>
        <v>6172.9499999999998</v>
      </c>
      <c r="BH395" s="1048">
        <f t="shared" si="784"/>
        <v>6449.2999999999993</v>
      </c>
      <c r="BI395" s="1044"/>
      <c r="BJ395" s="1350"/>
      <c r="BK395" s="1044"/>
      <c r="BL395" s="1044"/>
      <c r="BM395" s="1044"/>
      <c r="BN395" s="1044"/>
      <c r="BO395" s="1350"/>
      <c r="BP395" s="1351"/>
      <c r="BQ395" s="1351"/>
      <c r="BR395" s="1350"/>
      <c r="BS395" s="648"/>
    </row>
    <row r="396" spans="1:71" s="665" customFormat="1" ht="15" hidden="1" outlineLevel="2">
      <c r="A396" s="73" t="s">
        <v>410</v>
      </c>
      <c r="B396" s="260"/>
      <c r="C396" s="1324"/>
      <c r="D396" s="1323">
        <f t="shared" si="751"/>
        <v>554.60</v>
      </c>
      <c r="E396" s="1323">
        <f t="shared" si="751"/>
        <v>438.20</v>
      </c>
      <c r="F396" s="1323">
        <f t="shared" si="751"/>
        <v>374.29999999999995</v>
      </c>
      <c r="G396" s="1323">
        <f t="shared" si="751"/>
        <v>344.29999999999995</v>
      </c>
      <c r="H396" s="1027">
        <f t="shared" si="751"/>
        <v>302.10000000000002</v>
      </c>
      <c r="I396" s="1027">
        <f t="shared" si="751"/>
        <v>288.89999999999998</v>
      </c>
      <c r="J396" s="1027">
        <f t="shared" si="751"/>
        <v>286.14999999999998</v>
      </c>
      <c r="K396" s="1027">
        <f t="shared" si="751"/>
        <v>282</v>
      </c>
      <c r="L396" s="1323">
        <f t="shared" si="752"/>
        <v>289.72246575342467</v>
      </c>
      <c r="M396" s="1027">
        <f t="shared" si="753"/>
        <v>278.10000000000002</v>
      </c>
      <c r="N396" s="1027">
        <f t="shared" si="753"/>
        <v>274.35000000000002</v>
      </c>
      <c r="O396" s="1027">
        <f t="shared" si="753"/>
        <v>260.75</v>
      </c>
      <c r="P396" s="1027">
        <f t="shared" si="753"/>
        <v>242.05</v>
      </c>
      <c r="Q396" s="1323">
        <f t="shared" si="754"/>
        <v>263.70534246575346</v>
      </c>
      <c r="R396" s="1027">
        <f t="shared" si="755"/>
        <v>232.30</v>
      </c>
      <c r="S396" s="1027">
        <f t="shared" si="755"/>
        <v>233.20</v>
      </c>
      <c r="T396" s="1027">
        <f t="shared" si="755"/>
        <v>230.80</v>
      </c>
      <c r="U396" s="1027">
        <f t="shared" si="755"/>
        <v>208.70</v>
      </c>
      <c r="V396" s="1323">
        <f t="shared" si="756"/>
        <v>226.21448087431693</v>
      </c>
      <c r="W396" s="1027">
        <f t="shared" si="757"/>
        <v>197.30</v>
      </c>
      <c r="X396" s="1027">
        <f t="shared" si="757"/>
        <v>204.70</v>
      </c>
      <c r="Y396" s="1027">
        <f t="shared" si="757"/>
        <v>222</v>
      </c>
      <c r="Z396" s="1027">
        <f t="shared" si="757"/>
        <v>224.15</v>
      </c>
      <c r="AA396" s="1323">
        <f t="shared" si="758"/>
        <v>212.13835616438357</v>
      </c>
      <c r="AB396" s="1027">
        <f t="shared" si="775"/>
        <v>214.20</v>
      </c>
      <c r="AC396" s="1027">
        <f t="shared" si="775"/>
        <v>223.25</v>
      </c>
      <c r="AD396" s="1027">
        <f t="shared" si="775"/>
        <v>230.85</v>
      </c>
      <c r="AE396" s="1027">
        <f t="shared" si="775"/>
        <v>235.45</v>
      </c>
      <c r="AF396" s="1323">
        <f>SUM(AB396*AB$3,AC396*AC$3,AD396*AD$3,AE396*AE$3)/SUM(AB$3,AC$3,AD$3,AE$3)</f>
        <v>226.00917808219177</v>
      </c>
      <c r="AG396" s="1027">
        <f t="shared" si="776"/>
        <v>244.75</v>
      </c>
      <c r="AH396" s="1027">
        <f t="shared" si="776"/>
        <v>240.14999999999998</v>
      </c>
      <c r="AI396" s="1027">
        <f t="shared" si="776"/>
        <v>227.95</v>
      </c>
      <c r="AJ396" s="1027">
        <f t="shared" si="776"/>
        <v>210.90</v>
      </c>
      <c r="AK396" s="1323">
        <f>SUM(AG396*AG$3,AH396*AH$3,AI396*AI$3,AJ396*AJ$3)/SUM(AG$3,AH$3,AI$3,AJ$3)</f>
        <v>230.83657534246572</v>
      </c>
      <c r="AL396" s="1027">
        <f t="shared" si="777"/>
        <v>159.90000000000001</v>
      </c>
      <c r="AM396" s="1027">
        <f t="shared" si="777"/>
        <v>138.44999999999999</v>
      </c>
      <c r="AN396" s="1027">
        <f t="shared" si="777"/>
        <v>167.55</v>
      </c>
      <c r="AO396" s="1027">
        <f t="shared" si="777"/>
        <v>188.85</v>
      </c>
      <c r="AP396" s="1323">
        <f>SUM(AL396*AL$3,AM396*AM$3,AN396*AN$3,AO396*AO$3)/SUM(AL$3,AM$3,AN$3,AO$3)</f>
        <v>163.76680327868851</v>
      </c>
      <c r="AQ396" s="1027">
        <f t="shared" si="778"/>
        <v>192.10</v>
      </c>
      <c r="AR396" s="1027">
        <f t="shared" si="778"/>
        <v>186.50</v>
      </c>
      <c r="AS396" s="1027">
        <f t="shared" si="778"/>
        <v>184.05</v>
      </c>
      <c r="AT396" s="1027">
        <f t="shared" si="778"/>
        <v>183.14999999999998</v>
      </c>
      <c r="AU396" s="1323">
        <f>SUM(AQ396*AQ$3,AR396*AR$3,AS396*AS$3,AT396*AT$3)/AU$3</f>
        <v>186.41890410958908</v>
      </c>
      <c r="AV396" s="1027">
        <f t="shared" si="779"/>
        <v>201.10</v>
      </c>
      <c r="AW396" s="1027">
        <f t="shared" si="779"/>
        <v>212.15</v>
      </c>
      <c r="AX396" s="1027">
        <f t="shared" si="780"/>
        <v>192.70</v>
      </c>
      <c r="AY396" s="1029">
        <f t="shared" si="781"/>
        <v>182.95</v>
      </c>
      <c r="AZ396" s="1324">
        <f>SUM(AV396*AV$3,AW396*AW$3,AX396*AX$3,AY396*AY$3)/AZ$3</f>
        <v>197.16287671232877</v>
      </c>
      <c r="BA396" s="1029">
        <f t="shared" si="782"/>
        <v>182.95</v>
      </c>
      <c r="BB396" s="1029">
        <f t="shared" si="782"/>
        <v>169.14999999999998</v>
      </c>
      <c r="BC396" s="1027">
        <f t="shared" si="783"/>
        <v>161.89999999999998</v>
      </c>
      <c r="BD396" s="1029">
        <f t="shared" si="783"/>
        <v>170.39999999999998</v>
      </c>
      <c r="BE396" s="1324">
        <f>SUM(BA396*BA$3,BB396*BB$3,BC396*BC$3,BD396*BD$3)/BE$3</f>
        <v>171.04041095890409</v>
      </c>
      <c r="BF396" s="1029">
        <f t="shared" si="784"/>
        <v>173.80</v>
      </c>
      <c r="BG396" s="1029">
        <f t="shared" si="784"/>
        <v>172.70</v>
      </c>
      <c r="BH396" s="1050">
        <f t="shared" si="784"/>
        <v>171.50</v>
      </c>
      <c r="BI396" s="1029"/>
      <c r="BJ396" s="1324"/>
      <c r="BK396" s="1029"/>
      <c r="BL396" s="1029"/>
      <c r="BM396" s="1029"/>
      <c r="BN396" s="1029"/>
      <c r="BO396" s="1324"/>
      <c r="BP396" s="1324"/>
      <c r="BQ396" s="1324"/>
      <c r="BR396" s="1324"/>
      <c r="BS396" s="648"/>
    </row>
    <row r="397" spans="1:71" s="665" customFormat="1" ht="15" hidden="1" outlineLevel="1" collapsed="1">
      <c r="A397" s="31" t="s">
        <v>514</v>
      </c>
      <c r="B397" s="308"/>
      <c r="C397" s="1351"/>
      <c r="D397" s="1349">
        <f t="shared" si="751"/>
        <v>11706.700000000001</v>
      </c>
      <c r="E397" s="1349">
        <f t="shared" si="751"/>
        <v>11804.650000000001</v>
      </c>
      <c r="F397" s="1349">
        <f t="shared" si="751"/>
        <v>11766.700000000001</v>
      </c>
      <c r="G397" s="1349">
        <f t="shared" si="751"/>
        <v>12657.25</v>
      </c>
      <c r="H397" s="1042">
        <f t="shared" si="751"/>
        <v>13023.299999999999</v>
      </c>
      <c r="I397" s="1042">
        <f t="shared" si="751"/>
        <v>12502.40</v>
      </c>
      <c r="J397" s="1042">
        <f t="shared" si="751"/>
        <v>12884</v>
      </c>
      <c r="K397" s="1042">
        <f t="shared" si="751"/>
        <v>13409.299999999999</v>
      </c>
      <c r="L397" s="1349">
        <f>SUM(H397*H$3,I397*I$3,J397*J$3,K397*K$3)/L$3</f>
        <v>12955.613698630137</v>
      </c>
      <c r="M397" s="1042">
        <f t="shared" si="753"/>
        <v>13884.50</v>
      </c>
      <c r="N397" s="1042">
        <f t="shared" si="753"/>
        <v>14904.40</v>
      </c>
      <c r="O397" s="1042">
        <f t="shared" si="753"/>
        <v>15605.549999999999</v>
      </c>
      <c r="P397" s="1042">
        <f t="shared" si="753"/>
        <v>15477.149999999998</v>
      </c>
      <c r="Q397" s="1349">
        <f>SUM(M397*M$3,N397*N$3,O397*O$3,P397*P$3)/Q$3</f>
        <v>14974.010410958903</v>
      </c>
      <c r="R397" s="1042">
        <f t="shared" si="755"/>
        <v>14649.299999999999</v>
      </c>
      <c r="S397" s="1042">
        <f t="shared" si="755"/>
        <v>13777.950000000001</v>
      </c>
      <c r="T397" s="1042">
        <f t="shared" si="755"/>
        <v>13753.20</v>
      </c>
      <c r="U397" s="1042">
        <f t="shared" si="755"/>
        <v>15080.349999999999</v>
      </c>
      <c r="V397" s="1349">
        <f>SUM(R397*R$3,S397*S$3,T397*T$3,U397*U$3)/V$3</f>
        <v>14315.755054644811</v>
      </c>
      <c r="W397" s="1042">
        <f t="shared" si="757"/>
        <v>16859.050000000003</v>
      </c>
      <c r="X397" s="1042">
        <f t="shared" si="757"/>
        <v>17931.200000000004</v>
      </c>
      <c r="Y397" s="1042">
        <f t="shared" si="757"/>
        <v>18524.049999999999</v>
      </c>
      <c r="Z397" s="1042">
        <f t="shared" si="757"/>
        <v>19430.849999999999</v>
      </c>
      <c r="AA397" s="1349">
        <f>SUM(W397*W$3,X397*X$3,Y397*Y$3,Z397*Z$3)/AA$3</f>
        <v>18194.258904109593</v>
      </c>
      <c r="AB397" s="1042">
        <f t="shared" si="775"/>
        <v>21310.900000000001</v>
      </c>
      <c r="AC397" s="1042">
        <f t="shared" si="775"/>
        <v>23104.650000000001</v>
      </c>
      <c r="AD397" s="1042">
        <f t="shared" si="775"/>
        <v>24715.949999999997</v>
      </c>
      <c r="AE397" s="1042">
        <f t="shared" si="775"/>
        <v>26877.099999999999</v>
      </c>
      <c r="AF397" s="1349">
        <f>SUM(AB397*AB$3,AC397*AC$3,AD397*AD$3,AE397*AE$3)/AF$3</f>
        <v>24019.355479452053</v>
      </c>
      <c r="AG397" s="1042">
        <f t="shared" si="776"/>
        <v>27966.699999999997</v>
      </c>
      <c r="AH397" s="1042">
        <f t="shared" si="776"/>
        <v>29505.049999999999</v>
      </c>
      <c r="AI397" s="1042">
        <f t="shared" si="776"/>
        <v>32000.450000000004</v>
      </c>
      <c r="AJ397" s="1042">
        <f t="shared" si="776"/>
        <v>32961.50</v>
      </c>
      <c r="AK397" s="1349">
        <f>SUM(AG397*AG$3,AH397*AH$3,AI397*AI$3,AJ397*AJ$3)/AK$3</f>
        <v>30625.923150684928</v>
      </c>
      <c r="AL397" s="1042">
        <f t="shared" si="777"/>
        <v>33693.450000000004</v>
      </c>
      <c r="AM397" s="1042">
        <f t="shared" si="777"/>
        <v>34501.50</v>
      </c>
      <c r="AN397" s="1042">
        <f t="shared" si="777"/>
        <v>35519.949999999997</v>
      </c>
      <c r="AO397" s="1042">
        <f t="shared" si="777"/>
        <v>36562.199999999997</v>
      </c>
      <c r="AP397" s="1349">
        <f>SUM(AL397*AL$3,AM397*AM$3,AN397*AN$3,AO397*AO$3)/AP$3</f>
        <v>35074.585382513658</v>
      </c>
      <c r="AQ397" s="1042">
        <f t="shared" si="778"/>
        <v>37951.349999999999</v>
      </c>
      <c r="AR397" s="1042">
        <f t="shared" si="778"/>
        <v>41061.400000000001</v>
      </c>
      <c r="AS397" s="1042">
        <f t="shared" si="778"/>
        <v>44038.349999999999</v>
      </c>
      <c r="AT397" s="1042">
        <f t="shared" si="778"/>
        <v>44459.399999999994</v>
      </c>
      <c r="AU397" s="1349">
        <f>SUM(AQ397*AQ$3,AR397*AR$3,AS397*AS$3,AT397*AT$3)/AU$3</f>
        <v>41901.375068493144</v>
      </c>
      <c r="AV397" s="1042">
        <f t="shared" si="779"/>
        <v>45094.75</v>
      </c>
      <c r="AW397" s="1042">
        <f t="shared" si="779"/>
        <v>44744.449999999997</v>
      </c>
      <c r="AX397" s="1042">
        <f t="shared" si="780"/>
        <v>43672.80</v>
      </c>
      <c r="AY397" s="1042">
        <f t="shared" si="780"/>
        <v>45412.50</v>
      </c>
      <c r="AZ397" s="1349">
        <f>SUM(AV397*AV$3,AW397*AW$3,AX397*AX$3,AY397*AY$3)/AZ$3</f>
        <v>44729.09602739726</v>
      </c>
      <c r="BA397" s="1042">
        <f>AVERAGE(AZ386,BA386)</f>
        <v>48470.550000000003</v>
      </c>
      <c r="BB397" s="1042">
        <f>AVERAGE(BA386,BB386)</f>
        <v>52183.649999999994</v>
      </c>
      <c r="BC397" s="1042">
        <f t="shared" si="783"/>
        <v>55335</v>
      </c>
      <c r="BD397" s="1042">
        <f t="shared" si="783"/>
        <v>58485.050000000003</v>
      </c>
      <c r="BE397" s="1349">
        <f>SUM(BA397*BA$3,BB397*BB$3,BC397*BC$3,BD397*BD$3)/BE$3</f>
        <v>53650.702054794521</v>
      </c>
      <c r="BF397" s="1042">
        <f>AVERAGE(BE386,BF386)</f>
        <v>62003.949999999997</v>
      </c>
      <c r="BG397" s="1042">
        <f>AVERAGE(BF386,BG386)</f>
        <v>65559</v>
      </c>
      <c r="BH397" s="1043">
        <f>AVERAGE(BG386,BH386)</f>
        <v>70949.75</v>
      </c>
      <c r="BI397" s="1044">
        <f>AVERAGE(BH386,BI386)</f>
        <v>70413.610000000001</v>
      </c>
      <c r="BJ397" s="1350">
        <f>SUM(BF397*BF$3,BG397*BG$3,BH397*BH$3,BI397*BI$3)/BJ$3</f>
        <v>67250.430519125686</v>
      </c>
      <c r="BK397" s="1044">
        <f>AVERAGE(BJ386,BK386)</f>
        <v>66613.602500000008</v>
      </c>
      <c r="BL397" s="1044">
        <f>AVERAGE(BK386,BL386)</f>
        <v>68836.950000000012</v>
      </c>
      <c r="BM397" s="1044">
        <f>AVERAGE(BL386,BM386)</f>
        <v>74497.237500000003</v>
      </c>
      <c r="BN397" s="1044">
        <f>AVERAGE(BM386,BN386)</f>
        <v>73934.290500000003</v>
      </c>
      <c r="BO397" s="1350">
        <f>SUM(BK397*BK$3,BL397*BL$3,BM397*BM$3,BN397*BN$3)/BO$3</f>
        <v>71000.239043835623</v>
      </c>
      <c r="BP397" s="1351">
        <f>AVERAGE(BO386,BP386)</f>
        <v>71480.241525000019</v>
      </c>
      <c r="BQ397" s="1351">
        <f>AVERAGE(BP386,BQ386)</f>
        <v>75054.253601250006</v>
      </c>
      <c r="BR397" s="1350">
        <f>AVERAGE(BQ386,BR386)</f>
        <v>78806.966281312518</v>
      </c>
      <c r="BS397" s="648"/>
    </row>
    <row r="398" spans="1:71" s="676" customFormat="1" ht="15" hidden="1" outlineLevel="1">
      <c r="A398" s="397" t="s">
        <v>511</v>
      </c>
      <c r="B398" s="396"/>
      <c r="C398" s="1339"/>
      <c r="D398" s="1339"/>
      <c r="E398" s="1352">
        <f>E397/D397-1</f>
        <v>0.0083670035108101004</v>
      </c>
      <c r="F398" s="1352">
        <f>F397/E397-1</f>
        <v>-0.0032148348320365505</v>
      </c>
      <c r="G398" s="1352">
        <f>G397/F397-1</f>
        <v>0.075683921575292912</v>
      </c>
      <c r="H398" s="381"/>
      <c r="I398" s="381"/>
      <c r="J398" s="381"/>
      <c r="K398" s="381"/>
      <c r="L398" s="1352">
        <f t="shared" si="785" ref="L398:AU398">L397/G397-1</f>
        <v>0.023572553171513411</v>
      </c>
      <c r="M398" s="197">
        <f t="shared" si="785"/>
        <v>0.066127632781245893</v>
      </c>
      <c r="N398" s="197">
        <f t="shared" si="785"/>
        <v>0.19212311236242652</v>
      </c>
      <c r="O398" s="197">
        <f t="shared" si="785"/>
        <v>0.21123486494877364</v>
      </c>
      <c r="P398" s="197">
        <f t="shared" si="785"/>
        <v>0.15421013774022496</v>
      </c>
      <c r="Q398" s="1352">
        <f t="shared" si="785"/>
        <v>0.15579321514828592</v>
      </c>
      <c r="R398" s="197">
        <f t="shared" si="785"/>
        <v>0.055083006229968534</v>
      </c>
      <c r="S398" s="197">
        <f t="shared" si="785"/>
        <v>-0.075578352701215823</v>
      </c>
      <c r="T398" s="197">
        <f t="shared" si="785"/>
        <v>-0.11869815546392137</v>
      </c>
      <c r="U398" s="197">
        <f t="shared" si="785"/>
        <v>-0.025637795072090075</v>
      </c>
      <c r="V398" s="1352">
        <f t="shared" si="785"/>
        <v>-0.043959856995447244</v>
      </c>
      <c r="W398" s="197">
        <f t="shared" si="785"/>
        <v>0.15084338500815764</v>
      </c>
      <c r="X398" s="197">
        <f t="shared" si="785"/>
        <v>0.30144179649367309</v>
      </c>
      <c r="Y398" s="197">
        <f t="shared" si="785"/>
        <v>0.34689017828578073</v>
      </c>
      <c r="Z398" s="197">
        <f t="shared" si="785"/>
        <v>0.28848799928383628</v>
      </c>
      <c r="AA398" s="1352">
        <f t="shared" si="785"/>
        <v>0.270925552627864</v>
      </c>
      <c r="AB398" s="197">
        <f t="shared" si="785"/>
        <v>0.264062921694876</v>
      </c>
      <c r="AC398" s="197">
        <f t="shared" si="785"/>
        <v>0.28851666369233486</v>
      </c>
      <c r="AD398" s="197">
        <f t="shared" si="785"/>
        <v>0.33426275571486785</v>
      </c>
      <c r="AE398" s="197">
        <f t="shared" si="785"/>
        <v>0.38321792407434563</v>
      </c>
      <c r="AF398" s="1352">
        <f t="shared" si="785"/>
        <v>0.32016124460154449</v>
      </c>
      <c r="AG398" s="197">
        <f t="shared" si="785"/>
        <v>0.31231904799891108</v>
      </c>
      <c r="AH398" s="197">
        <f t="shared" si="785"/>
        <v>0.27701782974422895</v>
      </c>
      <c r="AI398" s="197">
        <f t="shared" si="785"/>
        <v>0.29472870757547276</v>
      </c>
      <c r="AJ398" s="197">
        <f t="shared" si="785"/>
        <v>0.22637858995204097</v>
      </c>
      <c r="AK398" s="1352">
        <f t="shared" si="785"/>
        <v>0.27505182963317343</v>
      </c>
      <c r="AL398" s="197">
        <f t="shared" si="785"/>
        <v>0.20477031612596441</v>
      </c>
      <c r="AM398" s="197">
        <f t="shared" si="785"/>
        <v>0.16934219735265654</v>
      </c>
      <c r="AN398" s="197">
        <f t="shared" si="785"/>
        <v>0.10998282836647588</v>
      </c>
      <c r="AO398" s="197">
        <f t="shared" si="785"/>
        <v>0.1092395673740576</v>
      </c>
      <c r="AP398" s="1352">
        <f t="shared" si="785"/>
        <v>0.14525806160815224</v>
      </c>
      <c r="AQ398" s="197">
        <f t="shared" si="785"/>
        <v>0.12637174287584063</v>
      </c>
      <c r="AR398" s="197">
        <f t="shared" si="785"/>
        <v>0.19013376230018997</v>
      </c>
      <c r="AS398" s="197">
        <f t="shared" si="785"/>
        <v>0.23982015740450091</v>
      </c>
      <c r="AT398" s="197">
        <f t="shared" si="785"/>
        <v>0.21599356712670459</v>
      </c>
      <c r="AU398" s="1352">
        <f t="shared" si="785"/>
        <v>0.19463636167123344</v>
      </c>
      <c r="AV398" s="197">
        <f t="shared" si="786" ref="AV398:AZ398">AV397/AQ397-1</f>
        <v>0.18822518830028456</v>
      </c>
      <c r="AW398" s="197">
        <f t="shared" si="786"/>
        <v>0.089696162332506768</v>
      </c>
      <c r="AX398" s="197">
        <f t="shared" si="786"/>
        <v>-0.008300719713613125</v>
      </c>
      <c r="AY398" s="197">
        <f t="shared" si="786"/>
        <v>0.021437536269045543</v>
      </c>
      <c r="AZ398" s="1352">
        <f t="shared" si="786"/>
        <v>0.067485159002105499</v>
      </c>
      <c r="BA398" s="197">
        <f t="shared" si="787" ref="BA398:BO398">BA397/AV397-1</f>
        <v>0.074860155561345954</v>
      </c>
      <c r="BB398" s="197">
        <f t="shared" si="787"/>
        <v>0.16625972606658479</v>
      </c>
      <c r="BC398" s="197">
        <f t="shared" si="787"/>
        <v>0.26703577512776833</v>
      </c>
      <c r="BD398" s="197">
        <f t="shared" si="787"/>
        <v>0.28786237269474269</v>
      </c>
      <c r="BE398" s="1352">
        <f t="shared" si="787"/>
        <v>0.19945867052472166</v>
      </c>
      <c r="BF398" s="197">
        <f>BF397/BA397-1</f>
        <v>0.27920871539522429</v>
      </c>
      <c r="BG398" s="197">
        <f>BG397/BB397-1</f>
        <v>0.25631304057880211</v>
      </c>
      <c r="BH398" s="815">
        <f>BH397/BC397-1</f>
        <v>0.28218577753682128</v>
      </c>
      <c r="BI398" s="909">
        <f t="shared" si="787"/>
        <v>0.2039591314361533</v>
      </c>
      <c r="BJ398" s="1340">
        <f t="shared" si="787"/>
        <v>0.25348649586060401</v>
      </c>
      <c r="BK398" s="909">
        <f t="shared" si="787"/>
        <v>0.074344497407020205</v>
      </c>
      <c r="BL398" s="909">
        <f t="shared" si="787"/>
        <v>0.050000000000000266</v>
      </c>
      <c r="BM398" s="909">
        <f t="shared" si="787"/>
        <v>0.050000000000000044</v>
      </c>
      <c r="BN398" s="909">
        <f t="shared" si="787"/>
        <v>0.050000000000000044</v>
      </c>
      <c r="BO398" s="1340">
        <f t="shared" si="787"/>
        <v>0.055758877612590352</v>
      </c>
      <c r="BP398" s="1339">
        <f>BP386/BO386-1</f>
        <v>0.050000000000000044</v>
      </c>
      <c r="BQ398" s="1339">
        <f>BQ386/BP386-1</f>
        <v>0.050000000000000044</v>
      </c>
      <c r="BR398" s="1340">
        <f>BR386/BQ386-1</f>
        <v>0.050000000000000044</v>
      </c>
      <c r="BS398" s="648"/>
    </row>
    <row r="399" spans="1:71" s="669" customFormat="1" ht="7.5" customHeight="1" hidden="1" outlineLevel="1">
      <c r="A399" s="107"/>
      <c r="B399" s="108"/>
      <c r="C399" s="1325"/>
      <c r="D399" s="1325"/>
      <c r="E399" s="1325"/>
      <c r="F399" s="1325"/>
      <c r="G399" s="1325"/>
      <c r="H399" s="726"/>
      <c r="I399" s="726"/>
      <c r="J399" s="726"/>
      <c r="K399" s="726"/>
      <c r="L399" s="1325"/>
      <c r="M399" s="726"/>
      <c r="N399" s="726"/>
      <c r="O399" s="726"/>
      <c r="P399" s="726"/>
      <c r="Q399" s="1325"/>
      <c r="R399" s="726"/>
      <c r="S399" s="726"/>
      <c r="T399" s="726"/>
      <c r="U399" s="726"/>
      <c r="V399" s="1325"/>
      <c r="W399" s="726"/>
      <c r="X399" s="726"/>
      <c r="Y399" s="726"/>
      <c r="Z399" s="726"/>
      <c r="AA399" s="1325"/>
      <c r="AB399" s="726"/>
      <c r="AC399" s="726"/>
      <c r="AD399" s="726"/>
      <c r="AE399" s="726"/>
      <c r="AF399" s="1325"/>
      <c r="AG399" s="726"/>
      <c r="AH399" s="726"/>
      <c r="AI399" s="726"/>
      <c r="AJ399" s="726"/>
      <c r="AK399" s="1325"/>
      <c r="AL399" s="726"/>
      <c r="AM399" s="726"/>
      <c r="AN399" s="726"/>
      <c r="AO399" s="726"/>
      <c r="AP399" s="1325"/>
      <c r="AQ399" s="726"/>
      <c r="AR399" s="726"/>
      <c r="AS399" s="726"/>
      <c r="AT399" s="726"/>
      <c r="AU399" s="1325"/>
      <c r="AV399" s="726"/>
      <c r="AW399" s="726"/>
      <c r="AX399" s="726"/>
      <c r="AY399" s="726"/>
      <c r="AZ399" s="1325"/>
      <c r="BA399" s="726"/>
      <c r="BB399" s="726"/>
      <c r="BC399" s="726"/>
      <c r="BD399" s="726"/>
      <c r="BE399" s="1325"/>
      <c r="BF399" s="726"/>
      <c r="BG399" s="726"/>
      <c r="BH399" s="808"/>
      <c r="BI399" s="98"/>
      <c r="BJ399" s="1326"/>
      <c r="BK399" s="98"/>
      <c r="BL399" s="98"/>
      <c r="BM399" s="98"/>
      <c r="BN399" s="98"/>
      <c r="BO399" s="1326"/>
      <c r="BP399" s="1325"/>
      <c r="BQ399" s="1325"/>
      <c r="BR399" s="1326"/>
      <c r="BS399" s="648"/>
    </row>
    <row r="400" spans="1:71" s="665" customFormat="1" ht="15" hidden="1" outlineLevel="1">
      <c r="A400" s="524" t="s">
        <v>515</v>
      </c>
      <c r="B400" s="490"/>
      <c r="C400" s="1364">
        <v>1078</v>
      </c>
      <c r="D400" s="1364">
        <v>1090.80</v>
      </c>
      <c r="E400" s="1364">
        <v>1551.80</v>
      </c>
      <c r="F400" s="1364">
        <v>1990</v>
      </c>
      <c r="G400" s="1364">
        <v>1272.5999999999999</v>
      </c>
      <c r="H400" s="1225">
        <v>1872.90</v>
      </c>
      <c r="I400" s="1225">
        <v>3118.70</v>
      </c>
      <c r="J400" s="1225">
        <v>2671.10</v>
      </c>
      <c r="K400" s="1047">
        <f>L400</f>
        <v>2149</v>
      </c>
      <c r="L400" s="1364">
        <v>2149</v>
      </c>
      <c r="M400" s="1225">
        <v>2267</v>
      </c>
      <c r="N400" s="1225">
        <v>1669.30</v>
      </c>
      <c r="O400" s="1225">
        <v>2132</v>
      </c>
      <c r="P400" s="1047">
        <f>Q400</f>
        <v>2172</v>
      </c>
      <c r="Q400" s="1364">
        <v>2172</v>
      </c>
      <c r="R400" s="1225">
        <v>3826.90</v>
      </c>
      <c r="S400" s="1225">
        <v>5166.3999999999996</v>
      </c>
      <c r="T400" s="1225">
        <v>5876.20</v>
      </c>
      <c r="U400" s="1047">
        <f>V400</f>
        <v>3572.90</v>
      </c>
      <c r="V400" s="1364">
        <v>3572.90</v>
      </c>
      <c r="W400" s="1225">
        <v>3040.80</v>
      </c>
      <c r="X400" s="1225">
        <v>3729.70</v>
      </c>
      <c r="Y400" s="1225">
        <v>4311.50</v>
      </c>
      <c r="Z400" s="1047">
        <f>AA400</f>
        <v>803.80</v>
      </c>
      <c r="AA400" s="1364">
        <v>803.80</v>
      </c>
      <c r="AB400" s="1225">
        <v>3052.40</v>
      </c>
      <c r="AC400" s="1225">
        <v>3231.20</v>
      </c>
      <c r="AD400" s="1225">
        <v>2809.70</v>
      </c>
      <c r="AE400" s="1047">
        <f>AF400</f>
        <v>1795.90</v>
      </c>
      <c r="AF400" s="1364">
        <v>1795.90</v>
      </c>
      <c r="AG400" s="1225">
        <v>2584.6999999999998</v>
      </c>
      <c r="AH400" s="1225">
        <v>1360.90</v>
      </c>
      <c r="AI400" s="1225">
        <v>1467.40</v>
      </c>
      <c r="AJ400" s="1047">
        <f>AK400</f>
        <v>1798.80</v>
      </c>
      <c r="AK400" s="1364">
        <v>1798.80</v>
      </c>
      <c r="AL400" s="1225">
        <v>2524.1999999999998</v>
      </c>
      <c r="AM400" s="1225">
        <v>4700.50</v>
      </c>
      <c r="AN400" s="1225">
        <v>4667.80</v>
      </c>
      <c r="AO400" s="1047">
        <f>AP400</f>
        <v>5218.50</v>
      </c>
      <c r="AP400" s="1364">
        <v>5218.50</v>
      </c>
      <c r="AQ400" s="1225">
        <v>2243.10</v>
      </c>
      <c r="AR400" s="1225">
        <v>1710.60</v>
      </c>
      <c r="AS400" s="1225">
        <v>1088.70</v>
      </c>
      <c r="AT400" s="1047">
        <f>AU400</f>
        <v>942.60</v>
      </c>
      <c r="AU400" s="1364">
        <v>942.60</v>
      </c>
      <c r="AV400" s="1225">
        <v>529.90</v>
      </c>
      <c r="AW400" s="1225">
        <v>4611.80</v>
      </c>
      <c r="AX400" s="1225">
        <v>4237.6000000000004</v>
      </c>
      <c r="AY400" s="1047">
        <f>AZ400</f>
        <v>2861.70</v>
      </c>
      <c r="AZ400" s="1364">
        <v>2861.70</v>
      </c>
      <c r="BA400" s="1225">
        <v>2524.10</v>
      </c>
      <c r="BB400" s="1225">
        <v>1494.30</v>
      </c>
      <c r="BC400" s="1225">
        <v>1795.20</v>
      </c>
      <c r="BD400" s="1047">
        <f>BE400</f>
        <v>1789.90</v>
      </c>
      <c r="BE400" s="1364">
        <v>1789.90</v>
      </c>
      <c r="BF400" s="1225">
        <v>1326.70</v>
      </c>
      <c r="BG400" s="1225">
        <v>733.40</v>
      </c>
      <c r="BH400" s="1048">
        <f>BH895</f>
        <v>756.50</v>
      </c>
      <c r="BI400" s="1047">
        <f>BD400*(1+BI401)</f>
        <v>1879.3950000000002</v>
      </c>
      <c r="BJ400" s="1351">
        <f>BI400</f>
        <v>1879.3950000000002</v>
      </c>
      <c r="BK400" s="1047">
        <f>BF400*(1+BK401)</f>
        <v>1393.035</v>
      </c>
      <c r="BL400" s="1047">
        <f>BG400*(1+BL401)</f>
        <v>770.07</v>
      </c>
      <c r="BM400" s="1047">
        <f>BH400*(1+BM401)</f>
        <v>794.325</v>
      </c>
      <c r="BN400" s="1047">
        <f>BI400*(1+BN401)</f>
        <v>1973.3647500000004</v>
      </c>
      <c r="BO400" s="1351">
        <f>BN400</f>
        <v>1973.3647500000004</v>
      </c>
      <c r="BP400" s="1351">
        <f>BO400*(1+BP401)</f>
        <v>2072.0329875000007</v>
      </c>
      <c r="BQ400" s="1351">
        <f>BP400*(1+BQ401)</f>
        <v>2175.634636875001</v>
      </c>
      <c r="BR400" s="1351">
        <f>BQ400*(1+BR401)</f>
        <v>2284.4163687187511</v>
      </c>
      <c r="BS400" s="648"/>
    </row>
    <row r="401" spans="1:71" s="676" customFormat="1" ht="15" hidden="1" outlineLevel="1">
      <c r="A401" s="397" t="s">
        <v>512</v>
      </c>
      <c r="B401" s="396"/>
      <c r="C401" s="1339"/>
      <c r="D401" s="1339">
        <f>D400/C400-1</f>
        <v>0.011873840445268957</v>
      </c>
      <c r="E401" s="1339">
        <f>E400/D400-1</f>
        <v>0.42262559589292259</v>
      </c>
      <c r="F401" s="1339">
        <f>F400/E400-1</f>
        <v>0.28238175022554457</v>
      </c>
      <c r="G401" s="1339">
        <f>G400/F400-1</f>
        <v>-0.36050251256281407</v>
      </c>
      <c r="H401" s="381"/>
      <c r="I401" s="381"/>
      <c r="J401" s="381"/>
      <c r="K401" s="381"/>
      <c r="L401" s="1339">
        <f t="shared" si="788" ref="L401:AU401">L400/G400-1</f>
        <v>0.68866886688668871</v>
      </c>
      <c r="M401" s="381">
        <f t="shared" si="788"/>
        <v>0.2104223396871161</v>
      </c>
      <c r="N401" s="381">
        <f t="shared" si="788"/>
        <v>-0.46474492577035298</v>
      </c>
      <c r="O401" s="381">
        <f t="shared" si="788"/>
        <v>-0.20182696267455358</v>
      </c>
      <c r="P401" s="381">
        <f t="shared" si="788"/>
        <v>0.010702652396463508</v>
      </c>
      <c r="Q401" s="1339">
        <f t="shared" si="788"/>
        <v>0.010702652396463508</v>
      </c>
      <c r="R401" s="381">
        <f t="shared" si="788"/>
        <v>0.6880899867666519</v>
      </c>
      <c r="S401" s="381">
        <f t="shared" si="788"/>
        <v>2.0949499790331276</v>
      </c>
      <c r="T401" s="381">
        <f t="shared" si="788"/>
        <v>1.7561913696060039</v>
      </c>
      <c r="U401" s="381">
        <f t="shared" si="788"/>
        <v>0.64498158379373849</v>
      </c>
      <c r="V401" s="1339">
        <f t="shared" si="788"/>
        <v>0.64498158379373849</v>
      </c>
      <c r="W401" s="381">
        <f t="shared" si="788"/>
        <v>-0.20541430400585325</v>
      </c>
      <c r="X401" s="381">
        <f t="shared" si="788"/>
        <v>-0.27808532053267265</v>
      </c>
      <c r="Y401" s="381">
        <f t="shared" si="788"/>
        <v>-0.2662775262925019</v>
      </c>
      <c r="Z401" s="381">
        <f t="shared" si="788"/>
        <v>-0.77502868818046966</v>
      </c>
      <c r="AA401" s="1339">
        <f t="shared" si="788"/>
        <v>-0.77502868818046966</v>
      </c>
      <c r="AB401" s="381">
        <f t="shared" si="788"/>
        <v>0.0038147855827412869</v>
      </c>
      <c r="AC401" s="381">
        <f t="shared" si="788"/>
        <v>-0.13365686248223718</v>
      </c>
      <c r="AD401" s="381">
        <f t="shared" si="788"/>
        <v>-0.34832424910124093</v>
      </c>
      <c r="AE401" s="381">
        <f t="shared" si="788"/>
        <v>1.2342622542921129</v>
      </c>
      <c r="AF401" s="1339">
        <f t="shared" si="788"/>
        <v>1.2342622542921129</v>
      </c>
      <c r="AG401" s="381">
        <f t="shared" si="788"/>
        <v>-0.1532236928318701</v>
      </c>
      <c r="AH401" s="381">
        <f t="shared" si="788"/>
        <v>-0.57882520425847983</v>
      </c>
      <c r="AI401" s="381">
        <f t="shared" si="788"/>
        <v>-0.47773783677972725</v>
      </c>
      <c r="AJ401" s="381">
        <f t="shared" si="788"/>
        <v>0.0016147892421625176</v>
      </c>
      <c r="AK401" s="1339">
        <f t="shared" si="788"/>
        <v>0.0016147892421625176</v>
      </c>
      <c r="AL401" s="381">
        <f t="shared" si="788"/>
        <v>-0.023406971795566167</v>
      </c>
      <c r="AM401" s="381">
        <f t="shared" si="788"/>
        <v>2.4539642883385993</v>
      </c>
      <c r="AN401" s="381">
        <f t="shared" si="788"/>
        <v>2.1810004088864656</v>
      </c>
      <c r="AO401" s="381">
        <f t="shared" si="788"/>
        <v>1.9011007338225485</v>
      </c>
      <c r="AP401" s="1339">
        <f t="shared" si="788"/>
        <v>1.9011007338225485</v>
      </c>
      <c r="AQ401" s="381">
        <f t="shared" si="788"/>
        <v>-0.11136201568813875</v>
      </c>
      <c r="AR401" s="381">
        <f t="shared" si="788"/>
        <v>-0.63608126795021813</v>
      </c>
      <c r="AS401" s="381">
        <f t="shared" si="788"/>
        <v>-0.76676378593770078</v>
      </c>
      <c r="AT401" s="381">
        <f t="shared" si="788"/>
        <v>-0.81937338315607933</v>
      </c>
      <c r="AU401" s="1339">
        <f t="shared" si="788"/>
        <v>-0.81937338315607933</v>
      </c>
      <c r="AV401" s="381">
        <f t="shared" si="789" ref="AV401:BA401">AV400/AQ400-1</f>
        <v>-0.76376443315055054</v>
      </c>
      <c r="AW401" s="381">
        <f t="shared" si="789"/>
        <v>1.6960130948205312</v>
      </c>
      <c r="AX401" s="381">
        <f t="shared" si="789"/>
        <v>2.8923486727289429</v>
      </c>
      <c r="AY401" s="381">
        <f t="shared" si="789"/>
        <v>2.0359643539147037</v>
      </c>
      <c r="AZ401" s="1339">
        <f t="shared" si="789"/>
        <v>2.0359643539147037</v>
      </c>
      <c r="BA401" s="381">
        <f t="shared" si="789"/>
        <v>3.763351575769013</v>
      </c>
      <c r="BB401" s="381">
        <f t="shared" si="790" ref="BB401:BG401">BB400/AW400-1</f>
        <v>-0.67598334706622143</v>
      </c>
      <c r="BC401" s="381">
        <f t="shared" si="790"/>
        <v>-0.57636397961110064</v>
      </c>
      <c r="BD401" s="381">
        <f t="shared" si="790"/>
        <v>-0.37453262047034974</v>
      </c>
      <c r="BE401" s="1339">
        <f t="shared" si="790"/>
        <v>-0.37453262047034974</v>
      </c>
      <c r="BF401" s="381">
        <f t="shared" si="790"/>
        <v>-0.47438691018580881</v>
      </c>
      <c r="BG401" s="381">
        <f t="shared" si="790"/>
        <v>-0.50920163287157871</v>
      </c>
      <c r="BH401" s="813">
        <f>BH400/BC400-1</f>
        <v>-0.57859848484848486</v>
      </c>
      <c r="BI401" s="1221">
        <v>0.05</v>
      </c>
      <c r="BJ401" s="1340">
        <f>BJ400/BE400-1</f>
        <v>0.050000000000000044</v>
      </c>
      <c r="BK401" s="1221">
        <v>0.05</v>
      </c>
      <c r="BL401" s="1221">
        <v>0.05</v>
      </c>
      <c r="BM401" s="1221">
        <v>0.05</v>
      </c>
      <c r="BN401" s="1221">
        <v>0.05</v>
      </c>
      <c r="BO401" s="1340">
        <f>BO400/BJ400-1</f>
        <v>0.050000000000000044</v>
      </c>
      <c r="BP401" s="1343">
        <v>0.05</v>
      </c>
      <c r="BQ401" s="1343">
        <v>0.05</v>
      </c>
      <c r="BR401" s="1344">
        <v>0.05</v>
      </c>
      <c r="BS401" s="648"/>
    </row>
    <row r="402" spans="1:71" s="665" customFormat="1" ht="15" hidden="1" outlineLevel="1">
      <c r="A402" s="489" t="s">
        <v>516</v>
      </c>
      <c r="B402" s="490"/>
      <c r="C402" s="1351"/>
      <c r="D402" s="1349">
        <f t="shared" si="791" ref="D402:K402">AVERAGE(C400,D400)</f>
        <v>1084.4000000000001</v>
      </c>
      <c r="E402" s="1349">
        <f t="shared" si="791"/>
        <v>1321.30</v>
      </c>
      <c r="F402" s="1349">
        <f t="shared" si="791"/>
        <v>1770.90</v>
      </c>
      <c r="G402" s="1349">
        <f t="shared" si="791"/>
        <v>1631.30</v>
      </c>
      <c r="H402" s="1042">
        <f t="shared" si="791"/>
        <v>1572.75</v>
      </c>
      <c r="I402" s="1042">
        <f t="shared" si="791"/>
        <v>2495.8000000000002</v>
      </c>
      <c r="J402" s="1042">
        <f t="shared" si="791"/>
        <v>2894.8999999999996</v>
      </c>
      <c r="K402" s="1042">
        <f t="shared" si="791"/>
        <v>2410.0500000000002</v>
      </c>
      <c r="L402" s="1349">
        <f>SUM(H402*H$3,I402*I$3,J402*J$3,K402*K$3)/L$3</f>
        <v>2347.1800000000003</v>
      </c>
      <c r="M402" s="1042">
        <f>AVERAGE(L400,M400)</f>
        <v>2208</v>
      </c>
      <c r="N402" s="1042">
        <f>AVERAGE(M400,N400)</f>
        <v>1968.15</v>
      </c>
      <c r="O402" s="1042">
        <f>AVERAGE(N400,O400)</f>
        <v>1900.65</v>
      </c>
      <c r="P402" s="1042">
        <f>AVERAGE(O400,P400)</f>
        <v>2152</v>
      </c>
      <c r="Q402" s="1349">
        <f>SUM(M402*M$3,N402*N$3,O402*O$3,P402*P$3)/Q$3</f>
        <v>2056.617671232877</v>
      </c>
      <c r="R402" s="1042">
        <f>AVERAGE(Q400,R400)</f>
        <v>2999.45</v>
      </c>
      <c r="S402" s="1042">
        <f>AVERAGE(R400,S400)</f>
        <v>4496.6499999999996</v>
      </c>
      <c r="T402" s="1042">
        <f>AVERAGE(S400,T400)</f>
        <v>5521.2999999999993</v>
      </c>
      <c r="U402" s="1042">
        <f>AVERAGE(T400,U400)</f>
        <v>4724.55</v>
      </c>
      <c r="V402" s="1349">
        <f>SUM(R402*R$3,S402*S$3,T402*T$3,U402*U$3)/V$3</f>
        <v>4439.2439890710384</v>
      </c>
      <c r="W402" s="1042">
        <f>AVERAGE(V400,W400)</f>
        <v>3306.8500000000004</v>
      </c>
      <c r="X402" s="1042">
        <f>AVERAGE(W400,X400)</f>
        <v>3385.25</v>
      </c>
      <c r="Y402" s="1042">
        <f>AVERAGE(X400,Y400)</f>
        <v>4020.60</v>
      </c>
      <c r="Z402" s="1042">
        <f>AVERAGE(Y400,Z400)</f>
        <v>2557.65</v>
      </c>
      <c r="AA402" s="1349">
        <f>SUM(W402*W$3,X402*X$3,Y402*Y$3,Z402*Z$3)/AA$3</f>
        <v>3317.4609589041097</v>
      </c>
      <c r="AB402" s="1042">
        <f>AVERAGE(AA400,AB400)</f>
        <v>1928.10</v>
      </c>
      <c r="AC402" s="1042">
        <f>AVERAGE(AB400,AC400)</f>
        <v>3141.80</v>
      </c>
      <c r="AD402" s="1042">
        <f>AVERAGE(AC400,AD400)</f>
        <v>3020.45</v>
      </c>
      <c r="AE402" s="1042">
        <f>AVERAGE(AD400,AE400)</f>
        <v>2302.8000000000002</v>
      </c>
      <c r="AF402" s="1349">
        <f>SUM(AB402*AB$3,AC402*AC$3,AD402*AD$3,AE402*AE$3)/AF$3</f>
        <v>2600.4706849315066</v>
      </c>
      <c r="AG402" s="1042">
        <f>AVERAGE(AF400,AG400)</f>
        <v>2190.3000000000002</v>
      </c>
      <c r="AH402" s="1042">
        <f>AVERAGE(AG400,AH400)</f>
        <v>1972.80</v>
      </c>
      <c r="AI402" s="1042">
        <f>AVERAGE(AH400,AI400)</f>
        <v>1414.15</v>
      </c>
      <c r="AJ402" s="1042">
        <f>AVERAGE(AI400,AJ400)</f>
        <v>1633.10</v>
      </c>
      <c r="AK402" s="1349">
        <f>SUM(AG402*AG$3,AH402*AH$3,AI402*AI$3,AJ402*AJ$3)/AK$3</f>
        <v>1799.9967123287672</v>
      </c>
      <c r="AL402" s="1042">
        <f>AVERAGE(AK400,AL400)</f>
        <v>2161.50</v>
      </c>
      <c r="AM402" s="1042">
        <f>AVERAGE(AL400,AM400)</f>
        <v>3612.35</v>
      </c>
      <c r="AN402" s="1042">
        <f>AVERAGE(AM400,AN400)</f>
        <v>4684.1499999999996</v>
      </c>
      <c r="AO402" s="1042">
        <f>AVERAGE(AN400,AO400)</f>
        <v>4943.1499999999996</v>
      </c>
      <c r="AP402" s="1349">
        <f>SUM(AL402*AL$3,AM402*AM$3,AN402*AN$3,AO402*AO$3)/AP$3</f>
        <v>3855.551775956284</v>
      </c>
      <c r="AQ402" s="1042">
        <f>AVERAGE(AP400,AQ400)</f>
        <v>3730.80</v>
      </c>
      <c r="AR402" s="1042">
        <f>AVERAGE(AQ400,AR400)</f>
        <v>1976.85</v>
      </c>
      <c r="AS402" s="1042">
        <f>AVERAGE(AR400,AS400)</f>
        <v>1399.65</v>
      </c>
      <c r="AT402" s="1042">
        <f>AVERAGE(AS400,AT400)</f>
        <v>1015.6500000000001</v>
      </c>
      <c r="AU402" s="1349">
        <f>SUM(AQ402*AQ$3,AR402*AR$3,AS402*AS$3,AT402*AT$3)/AU$3</f>
        <v>2021.5697260273976</v>
      </c>
      <c r="AV402" s="1042">
        <f>AVERAGE(AU400,AV400)</f>
        <v>736.25</v>
      </c>
      <c r="AW402" s="1042">
        <f>AVERAGE(AV400,AW400)</f>
        <v>2570.85</v>
      </c>
      <c r="AX402" s="1042">
        <f>AVERAGE(AW400,AX400)</f>
        <v>4424.7000000000007</v>
      </c>
      <c r="AY402" s="1042">
        <f>AVERAGE(AX400,AY400)</f>
        <v>3549.65</v>
      </c>
      <c r="AZ402" s="1349">
        <f>SUM(AV402*AV$3,AW402*AW$3,AX402*AX$3,AY402*AY$3)/AZ$3</f>
        <v>2832.4658904109592</v>
      </c>
      <c r="BA402" s="1042">
        <f>AVERAGE(AZ400,BA400)</f>
        <v>2692.8999999999996</v>
      </c>
      <c r="BB402" s="1042">
        <f>AVERAGE(BA400,BB400)</f>
        <v>2009.1999999999998</v>
      </c>
      <c r="BC402" s="1042">
        <f>AVERAGE(BB400,BC400)</f>
        <v>1644.75</v>
      </c>
      <c r="BD402" s="1042">
        <f>AVERAGE(BC400,BD400)</f>
        <v>1792.5500000000002</v>
      </c>
      <c r="BE402" s="1349">
        <f>SUM(BA402*BA$3,BB402*BB$3,BC402*BC$3,BD402*BD$3)/BE$3</f>
        <v>2031.314520547945</v>
      </c>
      <c r="BF402" s="1042">
        <f>AVERAGE(BE400,BF400)</f>
        <v>1558.3000000000002</v>
      </c>
      <c r="BG402" s="1042">
        <f>AVERAGE(BF400,BG400)</f>
        <v>1030.05</v>
      </c>
      <c r="BH402" s="1043">
        <f>AVERAGE(BG400,BH400)</f>
        <v>744.95</v>
      </c>
      <c r="BI402" s="1047">
        <f>AVERAGE(BH400,BI400)</f>
        <v>1317.9475000000002</v>
      </c>
      <c r="BJ402" s="1351">
        <f>SUM(BF402*BF$3,BG402*BG$3,BH402*BH$3,BI402*BI$3)/BJ$3</f>
        <v>1162.0940437158472</v>
      </c>
      <c r="BK402" s="1047">
        <f>AVERAGE(BJ400,BK400)</f>
        <v>1636.215</v>
      </c>
      <c r="BL402" s="1047">
        <f>AVERAGE(BK400,BL400)</f>
        <v>1081.5525</v>
      </c>
      <c r="BM402" s="1047">
        <f>AVERAGE(BL400,BM400)</f>
        <v>782.1975</v>
      </c>
      <c r="BN402" s="1047">
        <f>AVERAGE(BM400,BN400)</f>
        <v>1383.8448750000002</v>
      </c>
      <c r="BO402" s="1351">
        <f>SUM(BK402*BK$3,BL402*BL$3,BM402*BM$3,BN402*BN$3)/BO$3</f>
        <v>1219.0589753424658</v>
      </c>
      <c r="BP402" s="1351">
        <f>AVERAGE(BO400,BP400)</f>
        <v>2022.6988687500007</v>
      </c>
      <c r="BQ402" s="1351">
        <f>AVERAGE(BP400,BQ400)</f>
        <v>2123.8338121875008</v>
      </c>
      <c r="BR402" s="1351">
        <f>AVERAGE(BQ400,BR400)</f>
        <v>2230.025502796876</v>
      </c>
      <c r="BS402" s="648"/>
    </row>
    <row r="403" spans="1:71" s="676" customFormat="1" ht="15" hidden="1" outlineLevel="1">
      <c r="A403" s="397" t="s">
        <v>571</v>
      </c>
      <c r="B403" s="396"/>
      <c r="C403" s="1339"/>
      <c r="D403" s="1339"/>
      <c r="E403" s="1352">
        <f>E402/D402-1</f>
        <v>0.21846182220582788</v>
      </c>
      <c r="F403" s="1352">
        <f>F402/E402-1</f>
        <v>0.34027094528116253</v>
      </c>
      <c r="G403" s="1352">
        <f>G402/F402-1</f>
        <v>-0.078829973459822789</v>
      </c>
      <c r="H403" s="381"/>
      <c r="I403" s="381"/>
      <c r="J403" s="381"/>
      <c r="K403" s="381"/>
      <c r="L403" s="1352">
        <f t="shared" si="792" ref="L403:AU403">L402/G402-1</f>
        <v>0.43884018880647369</v>
      </c>
      <c r="M403" s="197">
        <f t="shared" si="792"/>
        <v>0.40391034811635662</v>
      </c>
      <c r="N403" s="197">
        <f t="shared" si="792"/>
        <v>-0.21141517749819694</v>
      </c>
      <c r="O403" s="197">
        <f t="shared" si="792"/>
        <v>-0.34344882379356789</v>
      </c>
      <c r="P403" s="197">
        <f t="shared" si="792"/>
        <v>-0.10707246737619558</v>
      </c>
      <c r="Q403" s="1352">
        <f t="shared" si="792"/>
        <v>-0.12379209466982644</v>
      </c>
      <c r="R403" s="197">
        <f t="shared" si="792"/>
        <v>0.35844655797101432</v>
      </c>
      <c r="S403" s="197">
        <f t="shared" si="792"/>
        <v>1.2847089906765232</v>
      </c>
      <c r="T403" s="197">
        <f t="shared" si="792"/>
        <v>1.9049535685160333</v>
      </c>
      <c r="U403" s="197">
        <f t="shared" si="792"/>
        <v>1.1954228624535315</v>
      </c>
      <c r="V403" s="1352">
        <f t="shared" si="792"/>
        <v>1.1585168945912305</v>
      </c>
      <c r="W403" s="197">
        <f t="shared" si="792"/>
        <v>0.10248545566687239</v>
      </c>
      <c r="X403" s="197">
        <f t="shared" si="792"/>
        <v>-0.24716177598879163</v>
      </c>
      <c r="Y403" s="197">
        <f t="shared" si="792"/>
        <v>-0.27180193070472525</v>
      </c>
      <c r="Z403" s="197">
        <f t="shared" si="792"/>
        <v>-0.45864685525605609</v>
      </c>
      <c r="AA403" s="1352">
        <f t="shared" si="792"/>
        <v>-0.2526968630083507</v>
      </c>
      <c r="AB403" s="197">
        <f t="shared" si="792"/>
        <v>-0.41693756898559065</v>
      </c>
      <c r="AC403" s="197">
        <f t="shared" si="792"/>
        <v>-0.071914925042463551</v>
      </c>
      <c r="AD403" s="197">
        <f t="shared" si="792"/>
        <v>-0.24875640451673886</v>
      </c>
      <c r="AE403" s="197">
        <f t="shared" si="792"/>
        <v>-0.099642249721423881</v>
      </c>
      <c r="AF403" s="1352">
        <f t="shared" si="792"/>
        <v>-0.21612621304500712</v>
      </c>
      <c r="AG403" s="197">
        <f t="shared" si="792"/>
        <v>0.135988797261553</v>
      </c>
      <c r="AH403" s="197">
        <f t="shared" si="792"/>
        <v>-0.37207969953529829</v>
      </c>
      <c r="AI403" s="197">
        <f t="shared" si="792"/>
        <v>-0.531808174278667</v>
      </c>
      <c r="AJ403" s="197">
        <f t="shared" si="792"/>
        <v>-0.29081987146083044</v>
      </c>
      <c r="AK403" s="1352">
        <f t="shared" si="792"/>
        <v>-0.30781887957480392</v>
      </c>
      <c r="AL403" s="197">
        <f t="shared" si="792"/>
        <v>-0.013148883714559689</v>
      </c>
      <c r="AM403" s="197">
        <f t="shared" si="792"/>
        <v>0.83107765612327666</v>
      </c>
      <c r="AN403" s="197">
        <f t="shared" si="792"/>
        <v>2.3123431036311559</v>
      </c>
      <c r="AO403" s="197">
        <f t="shared" si="792"/>
        <v>2.0268507746004532</v>
      </c>
      <c r="AP403" s="1352">
        <f t="shared" si="792"/>
        <v>1.1419771211515815</v>
      </c>
      <c r="AQ403" s="197">
        <f t="shared" si="792"/>
        <v>0.72602359472588485</v>
      </c>
      <c r="AR403" s="197">
        <f t="shared" si="792"/>
        <v>-0.45275236341993441</v>
      </c>
      <c r="AS403" s="197">
        <f t="shared" si="792"/>
        <v>-0.7011944536361987</v>
      </c>
      <c r="AT403" s="197">
        <f t="shared" si="792"/>
        <v>-0.79453384987305664</v>
      </c>
      <c r="AU403" s="1352">
        <f t="shared" si="792"/>
        <v>-0.47567304409341205</v>
      </c>
      <c r="AV403" s="197">
        <f t="shared" si="793" ref="AV403:AZ403">AV402/AQ402-1</f>
        <v>-0.80265626675243917</v>
      </c>
      <c r="AW403" s="197">
        <f t="shared" si="793"/>
        <v>0.30047803323469147</v>
      </c>
      <c r="AX403" s="197">
        <f t="shared" si="793"/>
        <v>2.1612903225806455</v>
      </c>
      <c r="AY403" s="197">
        <f t="shared" si="793"/>
        <v>2.4949539703638064</v>
      </c>
      <c r="AZ403" s="1352">
        <f t="shared" si="793"/>
        <v>0.40112203598193963</v>
      </c>
      <c r="BA403" s="197">
        <f t="shared" si="794" ref="BA403:BO403">BA402/AV402-1</f>
        <v>2.6575891341256361</v>
      </c>
      <c r="BB403" s="197">
        <f t="shared" si="794"/>
        <v>-0.21846859987941736</v>
      </c>
      <c r="BC403" s="197">
        <f t="shared" si="794"/>
        <v>-0.62827988338192431</v>
      </c>
      <c r="BD403" s="197">
        <f t="shared" si="794"/>
        <v>-0.49500654994154347</v>
      </c>
      <c r="BE403" s="1352">
        <f t="shared" si="794"/>
        <v>-0.28284590207254923</v>
      </c>
      <c r="BF403" s="197">
        <f>BF402/BA402-1</f>
        <v>-0.42133016450666549</v>
      </c>
      <c r="BG403" s="197">
        <f>BG402/BB402-1</f>
        <v>-0.48733326697192914</v>
      </c>
      <c r="BH403" s="815">
        <f>BH402/BC402-1</f>
        <v>-0.54707402340781264</v>
      </c>
      <c r="BI403" s="909">
        <f t="shared" si="794"/>
        <v>-0.26476388385261218</v>
      </c>
      <c r="BJ403" s="1340">
        <f t="shared" si="794"/>
        <v>-0.427910334928156</v>
      </c>
      <c r="BK403" s="909">
        <f t="shared" si="794"/>
        <v>0.050000000000000044</v>
      </c>
      <c r="BL403" s="909">
        <f t="shared" si="794"/>
        <v>0.050000000000000044</v>
      </c>
      <c r="BM403" s="909">
        <f t="shared" si="794"/>
        <v>0.049999999999999822</v>
      </c>
      <c r="BN403" s="909">
        <f t="shared" si="794"/>
        <v>0.050000000000000044</v>
      </c>
      <c r="BO403" s="1340">
        <f t="shared" si="794"/>
        <v>0.049019209705671196</v>
      </c>
      <c r="BP403" s="1339">
        <f>BP402/BO402-1</f>
        <v>0.65922970886767085</v>
      </c>
      <c r="BQ403" s="1339">
        <f>BQ402/BP402-1</f>
        <v>0.050000000000000044</v>
      </c>
      <c r="BR403" s="1340">
        <f>BR402/BQ402-1</f>
        <v>0.050000000000000044</v>
      </c>
      <c r="BS403" s="648"/>
    </row>
    <row r="404" spans="1:71" s="669" customFormat="1" ht="7.5" customHeight="1" hidden="1" outlineLevel="1">
      <c r="A404" s="107"/>
      <c r="B404" s="108"/>
      <c r="C404" s="1325"/>
      <c r="D404" s="1325"/>
      <c r="E404" s="1325"/>
      <c r="F404" s="1325"/>
      <c r="G404" s="1325"/>
      <c r="H404" s="726"/>
      <c r="I404" s="726"/>
      <c r="J404" s="726"/>
      <c r="K404" s="726"/>
      <c r="L404" s="1325"/>
      <c r="M404" s="726"/>
      <c r="N404" s="726"/>
      <c r="O404" s="726"/>
      <c r="P404" s="726"/>
      <c r="Q404" s="1325"/>
      <c r="R404" s="726"/>
      <c r="S404" s="726"/>
      <c r="T404" s="726"/>
      <c r="U404" s="726"/>
      <c r="V404" s="1325"/>
      <c r="W404" s="726"/>
      <c r="X404" s="726"/>
      <c r="Y404" s="726"/>
      <c r="Z404" s="726"/>
      <c r="AA404" s="1325"/>
      <c r="AB404" s="726"/>
      <c r="AC404" s="726"/>
      <c r="AD404" s="726"/>
      <c r="AE404" s="726"/>
      <c r="AF404" s="1325"/>
      <c r="AG404" s="726"/>
      <c r="AH404" s="726"/>
      <c r="AI404" s="726"/>
      <c r="AJ404" s="726"/>
      <c r="AK404" s="1325"/>
      <c r="AL404" s="726"/>
      <c r="AM404" s="726"/>
      <c r="AN404" s="726"/>
      <c r="AO404" s="726"/>
      <c r="AP404" s="1325"/>
      <c r="AQ404" s="726"/>
      <c r="AR404" s="726"/>
      <c r="AS404" s="726"/>
      <c r="AT404" s="726"/>
      <c r="AU404" s="1325"/>
      <c r="AV404" s="726"/>
      <c r="AW404" s="726"/>
      <c r="AX404" s="726"/>
      <c r="AY404" s="726"/>
      <c r="AZ404" s="1325"/>
      <c r="BA404" s="726"/>
      <c r="BB404" s="726"/>
      <c r="BC404" s="726"/>
      <c r="BD404" s="726"/>
      <c r="BE404" s="1325"/>
      <c r="BF404" s="726"/>
      <c r="BG404" s="726"/>
      <c r="BH404" s="808"/>
      <c r="BI404" s="98"/>
      <c r="BJ404" s="1326"/>
      <c r="BK404" s="98"/>
      <c r="BL404" s="98"/>
      <c r="BM404" s="98"/>
      <c r="BN404" s="98"/>
      <c r="BO404" s="1326"/>
      <c r="BP404" s="1325"/>
      <c r="BQ404" s="1325"/>
      <c r="BR404" s="1326"/>
      <c r="BS404" s="648"/>
    </row>
    <row r="405" spans="1:71" s="665" customFormat="1" ht="15" hidden="1" outlineLevel="1">
      <c r="A405" s="371" t="s">
        <v>517</v>
      </c>
      <c r="B405" s="308"/>
      <c r="C405" s="1349">
        <f t="shared" si="795" ref="C405:AH405">C386+C400</f>
        <v>12641.40</v>
      </c>
      <c r="D405" s="1349">
        <f t="shared" si="795"/>
        <v>12940.80</v>
      </c>
      <c r="E405" s="1349">
        <f t="shared" si="795"/>
        <v>13311.10</v>
      </c>
      <c r="F405" s="1349">
        <f t="shared" si="795"/>
        <v>13764.10</v>
      </c>
      <c r="G405" s="1349">
        <f t="shared" si="795"/>
        <v>14813</v>
      </c>
      <c r="H405" s="1042">
        <f t="shared" si="795"/>
        <v>14379.099999999999</v>
      </c>
      <c r="I405" s="1042">
        <f t="shared" si="795"/>
        <v>15617.299999999999</v>
      </c>
      <c r="J405" s="1042">
        <f t="shared" si="795"/>
        <v>15940.50</v>
      </c>
      <c r="K405" s="1042">
        <f t="shared" si="795"/>
        <v>15698.20</v>
      </c>
      <c r="L405" s="1349">
        <f t="shared" si="795"/>
        <v>15698.20</v>
      </c>
      <c r="M405" s="1042">
        <f t="shared" si="795"/>
        <v>16486.800000000003</v>
      </c>
      <c r="N405" s="1042">
        <f t="shared" si="795"/>
        <v>17258.300000000003</v>
      </c>
      <c r="O405" s="1042">
        <f t="shared" si="795"/>
        <v>17754.099999999999</v>
      </c>
      <c r="P405" s="1042">
        <f t="shared" si="795"/>
        <v>17504.199999999997</v>
      </c>
      <c r="Q405" s="1349">
        <f t="shared" si="795"/>
        <v>17504.199999999997</v>
      </c>
      <c r="R405" s="1042">
        <f t="shared" si="795"/>
        <v>17793.300000000003</v>
      </c>
      <c r="S405" s="1042">
        <f t="shared" si="795"/>
        <v>18755.900000000001</v>
      </c>
      <c r="T405" s="1042">
        <f t="shared" si="795"/>
        <v>19793.099999999999</v>
      </c>
      <c r="U405" s="1042">
        <f t="shared" si="795"/>
        <v>19816.700000000001</v>
      </c>
      <c r="V405" s="1349">
        <f t="shared" si="795"/>
        <v>19816.700000000001</v>
      </c>
      <c r="W405" s="1042">
        <f t="shared" si="795"/>
        <v>20515.100000000002</v>
      </c>
      <c r="X405" s="1042">
        <f t="shared" si="795"/>
        <v>22117.800000000003</v>
      </c>
      <c r="Y405" s="1042">
        <f t="shared" si="795"/>
        <v>22971.499999999996</v>
      </c>
      <c r="Z405" s="1042">
        <f t="shared" si="795"/>
        <v>21005.50</v>
      </c>
      <c r="AA405" s="1349">
        <f t="shared" si="795"/>
        <v>21005.50</v>
      </c>
      <c r="AB405" s="1042">
        <f t="shared" si="795"/>
        <v>25472.500000000004</v>
      </c>
      <c r="AC405" s="1042">
        <f t="shared" si="795"/>
        <v>27020.40</v>
      </c>
      <c r="AD405" s="1042">
        <f t="shared" si="795"/>
        <v>28452.40</v>
      </c>
      <c r="AE405" s="1042">
        <f t="shared" si="795"/>
        <v>29907.400000000001</v>
      </c>
      <c r="AF405" s="1349">
        <f t="shared" si="795"/>
        <v>29907.400000000001</v>
      </c>
      <c r="AG405" s="1042">
        <f t="shared" si="795"/>
        <v>30406.599999999999</v>
      </c>
      <c r="AH405" s="1042">
        <f t="shared" si="795"/>
        <v>32549.100000000002</v>
      </c>
      <c r="AI405" s="1042">
        <f t="shared" si="796" ref="AI405:AT405">AI386+AI400</f>
        <v>34280.100000000006</v>
      </c>
      <c r="AJ405" s="1042">
        <f t="shared" si="796"/>
        <v>34909.100000000006</v>
      </c>
      <c r="AK405" s="1349">
        <f t="shared" si="796"/>
        <v>34909.100000000006</v>
      </c>
      <c r="AL405" s="1042">
        <f t="shared" si="796"/>
        <v>36800.800000000003</v>
      </c>
      <c r="AM405" s="1042">
        <f t="shared" si="796"/>
        <v>39426.899999999994</v>
      </c>
      <c r="AN405" s="1042">
        <f t="shared" si="796"/>
        <v>40981.300000000003</v>
      </c>
      <c r="AO405" s="1042">
        <f t="shared" si="796"/>
        <v>42029.399999999994</v>
      </c>
      <c r="AP405" s="1349">
        <f t="shared" si="796"/>
        <v>42029.399999999994</v>
      </c>
      <c r="AQ405" s="1042">
        <f t="shared" si="796"/>
        <v>41334.900000000001</v>
      </c>
      <c r="AR405" s="1042">
        <f t="shared" si="796"/>
        <v>44741.60</v>
      </c>
      <c r="AS405" s="1042">
        <f t="shared" si="796"/>
        <v>46134.399999999994</v>
      </c>
      <c r="AT405" s="1042">
        <f t="shared" si="796"/>
        <v>44815.699999999997</v>
      </c>
      <c r="AU405" s="1349">
        <f t="shared" si="797" ref="AU405:AZ405">AU386+AU400</f>
        <v>44815.699999999997</v>
      </c>
      <c r="AV405" s="1042">
        <f t="shared" si="797"/>
        <v>46846.300000000003</v>
      </c>
      <c r="AW405" s="1042">
        <f t="shared" si="797"/>
        <v>47784.300000000003</v>
      </c>
      <c r="AX405" s="1042">
        <f t="shared" si="797"/>
        <v>48410.699999999997</v>
      </c>
      <c r="AY405" s="1042">
        <f t="shared" si="797"/>
        <v>49513.60</v>
      </c>
      <c r="AZ405" s="1349">
        <f t="shared" si="797"/>
        <v>49513.60</v>
      </c>
      <c r="BA405" s="1042">
        <f t="shared" si="798" ref="BA405:BR405">BA386+BA400</f>
        <v>52813.299999999996</v>
      </c>
      <c r="BB405" s="1042">
        <f t="shared" si="798"/>
        <v>55572.399999999994</v>
      </c>
      <c r="BC405" s="1042">
        <f t="shared" si="798"/>
        <v>58387.100000000006</v>
      </c>
      <c r="BD405" s="1042">
        <f t="shared" si="798"/>
        <v>62168.100000000006</v>
      </c>
      <c r="BE405" s="1349">
        <f t="shared" si="798"/>
        <v>62168.100000000006</v>
      </c>
      <c r="BF405" s="1042">
        <f>BF386+BF400</f>
        <v>64956.399999999994</v>
      </c>
      <c r="BG405" s="1042">
        <f>BG386+BG400</f>
        <v>68221.699999999997</v>
      </c>
      <c r="BH405" s="1043">
        <f>BH386+BH400</f>
        <v>75167.699999999997</v>
      </c>
      <c r="BI405" s="1044">
        <f t="shared" si="798"/>
        <v>68295.415000000008</v>
      </c>
      <c r="BJ405" s="1350">
        <f t="shared" si="798"/>
        <v>68295.415000000008</v>
      </c>
      <c r="BK405" s="1044">
        <f t="shared" si="798"/>
        <v>68204.220000000001</v>
      </c>
      <c r="BL405" s="1044">
        <f t="shared" si="798"/>
        <v>71632.785000000018</v>
      </c>
      <c r="BM405" s="1044">
        <f t="shared" si="798"/>
        <v>78926.084999999992</v>
      </c>
      <c r="BN405" s="1044">
        <f t="shared" si="798"/>
        <v>71710.185750000004</v>
      </c>
      <c r="BO405" s="1350">
        <f t="shared" si="798"/>
        <v>71710.185750000004</v>
      </c>
      <c r="BP405" s="1351">
        <f t="shared" si="798"/>
        <v>75295.695037500016</v>
      </c>
      <c r="BQ405" s="1351">
        <f t="shared" si="798"/>
        <v>79060.479789375007</v>
      </c>
      <c r="BR405" s="1350">
        <f t="shared" si="798"/>
        <v>83013.503778843777</v>
      </c>
      <c r="BS405" s="648"/>
    </row>
    <row r="406" spans="1:71" s="676" customFormat="1" ht="15" hidden="1" outlineLevel="1">
      <c r="A406" s="513" t="s">
        <v>518</v>
      </c>
      <c r="B406" s="396"/>
      <c r="C406" s="1339"/>
      <c r="D406" s="1339">
        <f>D405/C405-1</f>
        <v>0.02368408562342772</v>
      </c>
      <c r="E406" s="1339">
        <f>E405/D405-1</f>
        <v>0.028614923343224685</v>
      </c>
      <c r="F406" s="1339">
        <f>F405/E405-1</f>
        <v>0.034031747939689438</v>
      </c>
      <c r="G406" s="1339">
        <f>G405/F405-1</f>
        <v>0.076205491096402955</v>
      </c>
      <c r="H406" s="381"/>
      <c r="I406" s="381"/>
      <c r="J406" s="381"/>
      <c r="K406" s="381"/>
      <c r="L406" s="1339">
        <f t="shared" si="799" ref="L406:AU406">L405/G405-1</f>
        <v>0.059758320394248443</v>
      </c>
      <c r="M406" s="381">
        <f t="shared" si="799"/>
        <v>0.14658080130188988</v>
      </c>
      <c r="N406" s="381">
        <f t="shared" si="799"/>
        <v>0.10507578134504714</v>
      </c>
      <c r="O406" s="381">
        <f t="shared" si="799"/>
        <v>0.1137730936921677</v>
      </c>
      <c r="P406" s="381">
        <f t="shared" si="799"/>
        <v>0.11504503701061242</v>
      </c>
      <c r="Q406" s="1339">
        <f t="shared" si="799"/>
        <v>0.11504503701061242</v>
      </c>
      <c r="R406" s="381">
        <f t="shared" si="799"/>
        <v>0.079245214353300897</v>
      </c>
      <c r="S406" s="381">
        <f t="shared" si="799"/>
        <v>0.086775638388485454</v>
      </c>
      <c r="T406" s="381">
        <f t="shared" si="799"/>
        <v>0.11484671146383096</v>
      </c>
      <c r="U406" s="381">
        <f t="shared" si="799"/>
        <v>0.13211115046674538</v>
      </c>
      <c r="V406" s="1339">
        <f t="shared" si="799"/>
        <v>0.13211115046674538</v>
      </c>
      <c r="W406" s="381">
        <f t="shared" si="799"/>
        <v>0.15296769008559385</v>
      </c>
      <c r="X406" s="381">
        <f t="shared" si="799"/>
        <v>0.17924493092840121</v>
      </c>
      <c r="Y406" s="381">
        <f t="shared" si="799"/>
        <v>0.16058121264481051</v>
      </c>
      <c r="Z406" s="381">
        <f t="shared" si="799"/>
        <v>0.059989806577280813</v>
      </c>
      <c r="AA406" s="1339">
        <f t="shared" si="799"/>
        <v>0.059989806577280813</v>
      </c>
      <c r="AB406" s="381">
        <f t="shared" si="799"/>
        <v>0.24164639704412849</v>
      </c>
      <c r="AC406" s="381">
        <f t="shared" si="799"/>
        <v>0.2216585736375225</v>
      </c>
      <c r="AD406" s="381">
        <f t="shared" si="799"/>
        <v>0.23859565113292569</v>
      </c>
      <c r="AE406" s="381">
        <f t="shared" si="799"/>
        <v>0.42378900764085614</v>
      </c>
      <c r="AF406" s="1339">
        <f t="shared" si="799"/>
        <v>0.42378900764085614</v>
      </c>
      <c r="AG406" s="381">
        <f t="shared" si="799"/>
        <v>0.19370301305329263</v>
      </c>
      <c r="AH406" s="381">
        <f t="shared" si="799"/>
        <v>0.20461207087977984</v>
      </c>
      <c r="AI406" s="381">
        <f t="shared" si="799"/>
        <v>0.20482279175043261</v>
      </c>
      <c r="AJ406" s="381">
        <f t="shared" si="799"/>
        <v>0.16723954606552249</v>
      </c>
      <c r="AK406" s="1339">
        <f t="shared" si="799"/>
        <v>0.16723954606552249</v>
      </c>
      <c r="AL406" s="381">
        <f t="shared" si="799"/>
        <v>0.21028987127794641</v>
      </c>
      <c r="AM406" s="381">
        <f t="shared" si="799"/>
        <v>0.21130538171562319</v>
      </c>
      <c r="AN406" s="381">
        <f t="shared" si="799"/>
        <v>0.19548367711879466</v>
      </c>
      <c r="AO406" s="381">
        <f t="shared" si="799"/>
        <v>0.20396687396695956</v>
      </c>
      <c r="AP406" s="1339">
        <f t="shared" si="799"/>
        <v>0.20396687396695956</v>
      </c>
      <c r="AQ406" s="381">
        <f t="shared" si="799"/>
        <v>0.12320656072694058</v>
      </c>
      <c r="AR406" s="381">
        <f t="shared" si="799"/>
        <v>0.13479883024026762</v>
      </c>
      <c r="AS406" s="381">
        <f t="shared" si="799"/>
        <v>0.1257427168001013</v>
      </c>
      <c r="AT406" s="381">
        <f t="shared" si="799"/>
        <v>0.066294070341237354</v>
      </c>
      <c r="AU406" s="1339">
        <f t="shared" si="799"/>
        <v>0.066294070341237354</v>
      </c>
      <c r="AV406" s="381">
        <f t="shared" si="800" ref="AV406:AZ406">AV405/AQ405-1</f>
        <v>0.13333526874384605</v>
      </c>
      <c r="AW406" s="381">
        <f t="shared" si="800"/>
        <v>0.068006061472991597</v>
      </c>
      <c r="AX406" s="381">
        <f t="shared" si="800"/>
        <v>0.049340622182146188</v>
      </c>
      <c r="AY406" s="381">
        <f t="shared" si="800"/>
        <v>0.10482710300184994</v>
      </c>
      <c r="AZ406" s="1339">
        <f t="shared" si="800"/>
        <v>0.10482710300184994</v>
      </c>
      <c r="BA406" s="381">
        <f t="shared" si="801" ref="BA406:BO406">BA405/AV405-1</f>
        <v>0.12737398684634638</v>
      </c>
      <c r="BB406" s="381">
        <f t="shared" si="801"/>
        <v>0.16298449490732292</v>
      </c>
      <c r="BC406" s="381">
        <f t="shared" si="801"/>
        <v>0.20607840828577162</v>
      </c>
      <c r="BD406" s="381">
        <f t="shared" si="801"/>
        <v>0.25557624571834814</v>
      </c>
      <c r="BE406" s="1339">
        <f t="shared" si="801"/>
        <v>0.25557624571834814</v>
      </c>
      <c r="BF406" s="381">
        <f>BF405/BA405-1</f>
        <v>0.2299250378219122</v>
      </c>
      <c r="BG406" s="381">
        <f>BG405/BB405-1</f>
        <v>0.22761838610533291</v>
      </c>
      <c r="BH406" s="813">
        <f>BH405/BC405-1</f>
        <v>0.28740252555787138</v>
      </c>
      <c r="BI406" s="909">
        <f t="shared" si="801"/>
        <v>0.098560435335807384</v>
      </c>
      <c r="BJ406" s="1340">
        <f t="shared" si="801"/>
        <v>0.098560435335807384</v>
      </c>
      <c r="BK406" s="909">
        <f t="shared" si="801"/>
        <v>0.050000000000000044</v>
      </c>
      <c r="BL406" s="909">
        <f t="shared" si="801"/>
        <v>0.050000000000000266</v>
      </c>
      <c r="BM406" s="909">
        <f t="shared" si="801"/>
        <v>0.049999999999999822</v>
      </c>
      <c r="BN406" s="909">
        <f t="shared" si="801"/>
        <v>0.050000000000000044</v>
      </c>
      <c r="BO406" s="1340">
        <f t="shared" si="801"/>
        <v>0.050000000000000044</v>
      </c>
      <c r="BP406" s="1339">
        <f>BP405/BO405-1</f>
        <v>0.050000000000000266</v>
      </c>
      <c r="BQ406" s="1339">
        <f>BQ405/BP405-1</f>
        <v>0.049999999999999822</v>
      </c>
      <c r="BR406" s="1340">
        <f>BR405/BQ405-1</f>
        <v>0.050000000000000266</v>
      </c>
      <c r="BS406" s="648"/>
    </row>
    <row r="407" spans="1:71" s="665" customFormat="1" ht="15" hidden="1" outlineLevel="1">
      <c r="A407" s="371" t="s">
        <v>519</v>
      </c>
      <c r="B407" s="308"/>
      <c r="C407" s="1351"/>
      <c r="D407" s="1349">
        <f t="shared" si="802" ref="D407">AVERAGE(C405,D405)</f>
        <v>12791.099999999999</v>
      </c>
      <c r="E407" s="1349">
        <f t="shared" si="803" ref="E407">AVERAGE(D405,E405)</f>
        <v>13125.950000000001</v>
      </c>
      <c r="F407" s="1349">
        <f t="shared" si="804" ref="F407">AVERAGE(E405,F405)</f>
        <v>13537.60</v>
      </c>
      <c r="G407" s="1349">
        <f t="shared" si="805" ref="G407">AVERAGE(F405,G405)</f>
        <v>14288.549999999999</v>
      </c>
      <c r="H407" s="1042">
        <f t="shared" si="806" ref="H407">AVERAGE(G405,H405)</f>
        <v>14596.049999999999</v>
      </c>
      <c r="I407" s="1042">
        <f t="shared" si="807" ref="I407">AVERAGE(H405,I405)</f>
        <v>14998.20</v>
      </c>
      <c r="J407" s="1042">
        <f t="shared" si="808" ref="J407">AVERAGE(I405,J405)</f>
        <v>15778.90</v>
      </c>
      <c r="K407" s="1042">
        <f t="shared" si="809" ref="K407">AVERAGE(J405,K405)</f>
        <v>15819.35</v>
      </c>
      <c r="L407" s="1349">
        <f>SUM(H407*H$3,I407*I$3,J407*J$3,K407*K$3)/L$3</f>
        <v>15302.793698630137</v>
      </c>
      <c r="M407" s="1042">
        <f>AVERAGE(L405,M405)</f>
        <v>16092.500000000002</v>
      </c>
      <c r="N407" s="1042">
        <f>AVERAGE(M405,N405)</f>
        <v>16872.550000000003</v>
      </c>
      <c r="O407" s="1042">
        <f>AVERAGE(N405,O405)</f>
        <v>17506.20</v>
      </c>
      <c r="P407" s="1042">
        <f>AVERAGE(O405,P405)</f>
        <v>17629.149999999998</v>
      </c>
      <c r="Q407" s="1349">
        <f>SUM(M407*M$3,N407*N$3,O407*O$3,P407*P$3)/Q$3</f>
        <v>17030.628082191783</v>
      </c>
      <c r="R407" s="1042">
        <f>AVERAGE(Q405,R405)</f>
        <v>17648.75</v>
      </c>
      <c r="S407" s="1042">
        <f>AVERAGE(R405,S405)</f>
        <v>18274.600000000002</v>
      </c>
      <c r="T407" s="1042">
        <f>AVERAGE(S405,T405)</f>
        <v>19274.50</v>
      </c>
      <c r="U407" s="1042">
        <f>AVERAGE(T405,U405)</f>
        <v>19804.900000000001</v>
      </c>
      <c r="V407" s="1349">
        <f>SUM(R407*R$3,S407*S$3,T407*T$3,U407*U$3)/V$3</f>
        <v>18754.999043715845</v>
      </c>
      <c r="W407" s="1042">
        <f>AVERAGE(V405,W405)</f>
        <v>20165.900000000001</v>
      </c>
      <c r="X407" s="1042">
        <f>AVERAGE(W405,X405)</f>
        <v>21316.450000000004</v>
      </c>
      <c r="Y407" s="1042">
        <f>AVERAGE(X405,Y405)</f>
        <v>22544.650000000001</v>
      </c>
      <c r="Z407" s="1042">
        <f>AVERAGE(Y405,Z405)</f>
        <v>21988.50</v>
      </c>
      <c r="AA407" s="1349">
        <f>SUM(W407*W$3,X407*X$3,Y407*Y$3,Z407*Z$3)/AA$3</f>
        <v>21511.719863013703</v>
      </c>
      <c r="AB407" s="1042">
        <f>AVERAGE(AA405,AB405)</f>
        <v>23239</v>
      </c>
      <c r="AC407" s="1042">
        <f>AVERAGE(AB405,AC405)</f>
        <v>26246.450000000001</v>
      </c>
      <c r="AD407" s="1042">
        <f>AVERAGE(AC405,AD405)</f>
        <v>27736.40</v>
      </c>
      <c r="AE407" s="1042">
        <f>AVERAGE(AD405,AE405)</f>
        <v>29179.900000000001</v>
      </c>
      <c r="AF407" s="1349">
        <f>SUM(AB407*AB$3,AC407*AC$3,AD407*AD$3,AE407*AE$3)/AF$3</f>
        <v>26619.826164383565</v>
      </c>
      <c r="AG407" s="1042">
        <f>AVERAGE(AF405,AG405)</f>
        <v>30157</v>
      </c>
      <c r="AH407" s="1042">
        <f>AVERAGE(AG405,AH405)</f>
        <v>31477.849999999999</v>
      </c>
      <c r="AI407" s="1042">
        <f>AVERAGE(AH405,AI405)</f>
        <v>33414.600000000006</v>
      </c>
      <c r="AJ407" s="1042">
        <f>AVERAGE(AI405,AJ405)</f>
        <v>34594.600000000006</v>
      </c>
      <c r="AK407" s="1349">
        <f>SUM(AG407*AG$3,AH407*AH$3,AI407*AI$3,AJ407*AJ$3)/AK$3</f>
        <v>32425.919863013703</v>
      </c>
      <c r="AL407" s="1042">
        <f>AVERAGE(AK405,AL405)</f>
        <v>35854.950000000004</v>
      </c>
      <c r="AM407" s="1042">
        <f>AVERAGE(AL405,AM405)</f>
        <v>38113.849999999999</v>
      </c>
      <c r="AN407" s="1042">
        <f>AVERAGE(AM405,AN405)</f>
        <v>40204.099999999999</v>
      </c>
      <c r="AO407" s="1042">
        <f>AVERAGE(AN405,AO405)</f>
        <v>41505.349999999999</v>
      </c>
      <c r="AP407" s="1349">
        <f>SUM(AL407*AL$3,AM407*AM$3,AN407*AN$3,AO407*AO$3)/AP$3</f>
        <v>38930.137158469945</v>
      </c>
      <c r="AQ407" s="1042">
        <f>AVERAGE(AP405,AQ405)</f>
        <v>41682.149999999994</v>
      </c>
      <c r="AR407" s="1042">
        <f>AVERAGE(AQ405,AR405)</f>
        <v>43038.25</v>
      </c>
      <c r="AS407" s="1042">
        <f>AVERAGE(AR405,AS405)</f>
        <v>45438</v>
      </c>
      <c r="AT407" s="1042">
        <f>AVERAGE(AS405,AT405)</f>
        <v>45475.049999999996</v>
      </c>
      <c r="AU407" s="1349">
        <f>SUM(AQ407*AQ$3,AR407*AR$3,AS407*AS$3,AT407*AT$3)/AU$3</f>
        <v>43922.944794520547</v>
      </c>
      <c r="AV407" s="1042">
        <f>AVERAGE(AU405,AV405)</f>
        <v>45831</v>
      </c>
      <c r="AW407" s="1042">
        <f>AVERAGE(AV405,AW405)</f>
        <v>47315.300000000003</v>
      </c>
      <c r="AX407" s="1042">
        <f>AVERAGE(AW405,AX405)</f>
        <v>48097.50</v>
      </c>
      <c r="AY407" s="1042">
        <f>AVERAGE(AX405,AY405)</f>
        <v>48962.149999999994</v>
      </c>
      <c r="AZ407" s="1349">
        <f>SUM(AV407*AV$3,AW407*AW$3,AX407*AX$3,AY407*AY$3)/AZ$3</f>
        <v>47561.56191780822</v>
      </c>
      <c r="BA407" s="1042">
        <f>AVERAGE(AZ405,BA405)</f>
        <v>51163.449999999997</v>
      </c>
      <c r="BB407" s="1042">
        <f>AVERAGE(BA405,BB405)</f>
        <v>54192.849999999991</v>
      </c>
      <c r="BC407" s="1042">
        <f>AVERAGE(BB405,BC405)</f>
        <v>56979.75</v>
      </c>
      <c r="BD407" s="1042">
        <f>AVERAGE(BC405,BD405)</f>
        <v>60277.600000000006</v>
      </c>
      <c r="BE407" s="1349">
        <f>SUM(BA407*BA$3,BB407*BB$3,BC407*BC$3,BD407*BD$3)/BE$3</f>
        <v>55682.016575342466</v>
      </c>
      <c r="BF407" s="1042">
        <f>AVERAGE(BE405,BF405)</f>
        <v>63562.25</v>
      </c>
      <c r="BG407" s="1042">
        <f>AVERAGE(BF405,BG405)</f>
        <v>66589.049999999988</v>
      </c>
      <c r="BH407" s="1043">
        <f>AVERAGE(BG405,BH405)</f>
        <v>71694.699999999997</v>
      </c>
      <c r="BI407" s="1044">
        <f>AVERAGE(BH405,BI405)</f>
        <v>71731.557499999995</v>
      </c>
      <c r="BJ407" s="1350">
        <f>SUM(BF407*BF$3,BG407*BG$3,BH407*BH$3,BI407*BI$3)/BJ$3</f>
        <v>68412.524562841529</v>
      </c>
      <c r="BK407" s="1044">
        <f>AVERAGE(BJ405,BK405)</f>
        <v>68249.817500000005</v>
      </c>
      <c r="BL407" s="1044">
        <f>AVERAGE(BK405,BL405)</f>
        <v>69918.502500000002</v>
      </c>
      <c r="BM407" s="1044">
        <f>AVERAGE(BL405,BM405)</f>
        <v>75279.434999999998</v>
      </c>
      <c r="BN407" s="1044">
        <f>AVERAGE(BM405,BN405)</f>
        <v>75318.135374999998</v>
      </c>
      <c r="BO407" s="1350">
        <f>SUM(BK407*BK$3,BL407*BL$3,BM407*BM$3,BN407*BN$3)/BO$3</f>
        <v>72219.298019178081</v>
      </c>
      <c r="BP407" s="1351">
        <f>AVERAGE(BO405,BP405)</f>
        <v>73502.940393750003</v>
      </c>
      <c r="BQ407" s="1351">
        <f>AVERAGE(BP405,BQ405)</f>
        <v>77178.087413437519</v>
      </c>
      <c r="BR407" s="1350">
        <f>AVERAGE(BQ405,BR405)</f>
        <v>81036.991784109385</v>
      </c>
      <c r="BS407" s="648"/>
    </row>
    <row r="408" spans="1:71" s="676" customFormat="1" ht="15" hidden="1" outlineLevel="1">
      <c r="A408" s="513" t="s">
        <v>520</v>
      </c>
      <c r="B408" s="396"/>
      <c r="C408" s="1339"/>
      <c r="D408" s="1339"/>
      <c r="E408" s="1352">
        <f>E407/D407-1</f>
        <v>0.026178358389818079</v>
      </c>
      <c r="F408" s="1352">
        <f>F407/E407-1</f>
        <v>0.031361539545708972</v>
      </c>
      <c r="G408" s="1352">
        <f>G407/F407-1</f>
        <v>0.055471427727219025</v>
      </c>
      <c r="H408" s="381"/>
      <c r="I408" s="381"/>
      <c r="J408" s="381"/>
      <c r="K408" s="381"/>
      <c r="L408" s="1352">
        <f t="shared" si="810" ref="L408:AU408">L407/G407-1</f>
        <v>0.070982968784805811</v>
      </c>
      <c r="M408" s="197">
        <f t="shared" si="810"/>
        <v>0.10252431308470467</v>
      </c>
      <c r="N408" s="197">
        <f t="shared" si="810"/>
        <v>0.12497166326625897</v>
      </c>
      <c r="O408" s="197">
        <f t="shared" si="810"/>
        <v>0.10946897438984982</v>
      </c>
      <c r="P408" s="197">
        <f t="shared" si="810"/>
        <v>0.11440419486262066</v>
      </c>
      <c r="Q408" s="1352">
        <f t="shared" si="810"/>
        <v>0.11290973514962288</v>
      </c>
      <c r="R408" s="197">
        <f t="shared" si="810"/>
        <v>0.096706540313810763</v>
      </c>
      <c r="S408" s="197">
        <f t="shared" si="810"/>
        <v>0.083096508826466575</v>
      </c>
      <c r="T408" s="197">
        <f t="shared" si="810"/>
        <v>0.10100992791125418</v>
      </c>
      <c r="U408" s="197">
        <f t="shared" si="810"/>
        <v>0.12341774844504716</v>
      </c>
      <c r="V408" s="1352">
        <f t="shared" si="810"/>
        <v>0.10125116661593747</v>
      </c>
      <c r="W408" s="197">
        <f t="shared" si="810"/>
        <v>0.14262483178695384</v>
      </c>
      <c r="X408" s="197">
        <f t="shared" si="810"/>
        <v>0.16645234369014927</v>
      </c>
      <c r="Y408" s="197">
        <f t="shared" si="810"/>
        <v>0.16966198863783766</v>
      </c>
      <c r="Z408" s="197">
        <f t="shared" si="810"/>
        <v>0.11025554282021099</v>
      </c>
      <c r="AA408" s="1352">
        <f t="shared" si="810"/>
        <v>0.14698592161333868</v>
      </c>
      <c r="AB408" s="197">
        <f t="shared" si="810"/>
        <v>0.15239091734065924</v>
      </c>
      <c r="AC408" s="197">
        <f t="shared" si="810"/>
        <v>0.23127678389225204</v>
      </c>
      <c r="AD408" s="197">
        <f t="shared" si="810"/>
        <v>0.23028745179011412</v>
      </c>
      <c r="AE408" s="197">
        <f t="shared" si="810"/>
        <v>0.32705277758828477</v>
      </c>
      <c r="AF408" s="1352">
        <f t="shared" si="810"/>
        <v>0.237456899490055</v>
      </c>
      <c r="AG408" s="197">
        <f t="shared" si="810"/>
        <v>0.29768922931279307</v>
      </c>
      <c r="AH408" s="197">
        <f t="shared" si="810"/>
        <v>0.19931838401002788</v>
      </c>
      <c r="AI408" s="197">
        <f t="shared" si="810"/>
        <v>0.20472015113713415</v>
      </c>
      <c r="AJ408" s="197">
        <f t="shared" si="810"/>
        <v>0.18556266471098271</v>
      </c>
      <c r="AK408" s="1352">
        <f t="shared" si="810"/>
        <v>0.21811163088654939</v>
      </c>
      <c r="AL408" s="197">
        <f t="shared" si="810"/>
        <v>0.18894286566966234</v>
      </c>
      <c r="AM408" s="197">
        <f t="shared" si="810"/>
        <v>0.21081490635478595</v>
      </c>
      <c r="AN408" s="197">
        <f t="shared" si="810"/>
        <v>0.20318962369742533</v>
      </c>
      <c r="AO408" s="197">
        <f t="shared" si="810"/>
        <v>0.19976383597440028</v>
      </c>
      <c r="AP408" s="1352">
        <f t="shared" si="810"/>
        <v>0.20058697865577635</v>
      </c>
      <c r="AQ408" s="197">
        <f t="shared" si="810"/>
        <v>0.16252149284826745</v>
      </c>
      <c r="AR408" s="197">
        <f t="shared" si="810"/>
        <v>0.1292023765639001</v>
      </c>
      <c r="AS408" s="197">
        <f t="shared" si="810"/>
        <v>0.13018324001780912</v>
      </c>
      <c r="AT408" s="197">
        <f t="shared" si="810"/>
        <v>0.095643091794190394</v>
      </c>
      <c r="AU408" s="1352">
        <f t="shared" si="810"/>
        <v>0.12825045069136953</v>
      </c>
      <c r="AV408" s="197">
        <f t="shared" si="811" ref="AV408:AZ408">AV407/AQ407-1</f>
        <v>0.099535412640662901</v>
      </c>
      <c r="AW408" s="197">
        <f t="shared" si="811"/>
        <v>0.099377878979744816</v>
      </c>
      <c r="AX408" s="197">
        <f t="shared" si="811"/>
        <v>0.058530305031031293</v>
      </c>
      <c r="AY408" s="197">
        <f t="shared" si="811"/>
        <v>0.076681608926213451</v>
      </c>
      <c r="AZ408" s="1352">
        <f t="shared" si="811"/>
        <v>0.082840919257799683</v>
      </c>
      <c r="BA408" s="197">
        <f t="shared" si="812" ref="BA408:BO408">BA407/AV407-1</f>
        <v>0.11635028692369787</v>
      </c>
      <c r="BB408" s="197">
        <f t="shared" si="812"/>
        <v>0.14535573059877005</v>
      </c>
      <c r="BC408" s="197">
        <f t="shared" si="812"/>
        <v>0.18467176048651179</v>
      </c>
      <c r="BD408" s="197">
        <f t="shared" si="812"/>
        <v>0.23110606866732808</v>
      </c>
      <c r="BE408" s="1352">
        <f t="shared" si="812"/>
        <v>0.17073565985001316</v>
      </c>
      <c r="BF408" s="197">
        <f>BF407/BA407-1</f>
        <v>0.24233705897471736</v>
      </c>
      <c r="BG408" s="197">
        <f>BG407/BB407-1</f>
        <v>0.22874235254281694</v>
      </c>
      <c r="BH408" s="815">
        <f>BH407/BC407-1</f>
        <v>0.25824876381521511</v>
      </c>
      <c r="BI408" s="909">
        <f t="shared" si="812"/>
        <v>0.19002013185660993</v>
      </c>
      <c r="BJ408" s="1340">
        <f t="shared" si="812"/>
        <v>0.22862871660320727</v>
      </c>
      <c r="BK408" s="909">
        <f t="shared" si="812"/>
        <v>0.073747664690913206</v>
      </c>
      <c r="BL408" s="909">
        <f t="shared" si="812"/>
        <v>0.050000000000000266</v>
      </c>
      <c r="BM408" s="909">
        <f t="shared" si="812"/>
        <v>0.050000000000000044</v>
      </c>
      <c r="BN408" s="909">
        <f t="shared" si="812"/>
        <v>0.050000000000000044</v>
      </c>
      <c r="BO408" s="1340">
        <f t="shared" si="812"/>
        <v>0.05564439378113839</v>
      </c>
      <c r="BP408" s="1339">
        <f>BP407/BO407-1</f>
        <v>0.017774229461923641</v>
      </c>
      <c r="BQ408" s="1339">
        <f>BQ407/BP407-1</f>
        <v>0.050000000000000266</v>
      </c>
      <c r="BR408" s="1340">
        <f>BR407/BQ407-1</f>
        <v>0.049999999999999822</v>
      </c>
      <c r="BS408" s="648"/>
    </row>
    <row r="409" spans="1:71" s="669" customFormat="1" ht="7.5" customHeight="1" hidden="1" outlineLevel="1">
      <c r="A409" s="107"/>
      <c r="B409" s="108"/>
      <c r="C409" s="1325"/>
      <c r="D409" s="1325"/>
      <c r="E409" s="1325"/>
      <c r="F409" s="1325"/>
      <c r="G409" s="1325"/>
      <c r="H409" s="726"/>
      <c r="I409" s="726"/>
      <c r="J409" s="726"/>
      <c r="K409" s="726"/>
      <c r="L409" s="1325"/>
      <c r="M409" s="726"/>
      <c r="N409" s="726"/>
      <c r="O409" s="726"/>
      <c r="P409" s="726"/>
      <c r="Q409" s="1325"/>
      <c r="R409" s="726"/>
      <c r="S409" s="726"/>
      <c r="T409" s="726"/>
      <c r="U409" s="726"/>
      <c r="V409" s="1325"/>
      <c r="W409" s="726"/>
      <c r="X409" s="726"/>
      <c r="Y409" s="726"/>
      <c r="Z409" s="726"/>
      <c r="AA409" s="1325"/>
      <c r="AB409" s="726"/>
      <c r="AC409" s="726"/>
      <c r="AD409" s="726"/>
      <c r="AE409" s="726"/>
      <c r="AF409" s="1325"/>
      <c r="AG409" s="726"/>
      <c r="AH409" s="726"/>
      <c r="AI409" s="726"/>
      <c r="AJ409" s="726"/>
      <c r="AK409" s="1325"/>
      <c r="AL409" s="726"/>
      <c r="AM409" s="726"/>
      <c r="AN409" s="726"/>
      <c r="AO409" s="726"/>
      <c r="AP409" s="1325"/>
      <c r="AQ409" s="726"/>
      <c r="AR409" s="726"/>
      <c r="AS409" s="726"/>
      <c r="AT409" s="726"/>
      <c r="AU409" s="1325"/>
      <c r="AV409" s="726"/>
      <c r="AW409" s="726"/>
      <c r="AX409" s="726"/>
      <c r="AY409" s="726"/>
      <c r="AZ409" s="1325"/>
      <c r="BA409" s="726"/>
      <c r="BB409" s="726"/>
      <c r="BC409" s="726"/>
      <c r="BD409" s="726"/>
      <c r="BE409" s="1325"/>
      <c r="BF409" s="726"/>
      <c r="BG409" s="726"/>
      <c r="BH409" s="808"/>
      <c r="BI409" s="98"/>
      <c r="BJ409" s="1326"/>
      <c r="BK409" s="98"/>
      <c r="BL409" s="98"/>
      <c r="BM409" s="98"/>
      <c r="BN409" s="98"/>
      <c r="BO409" s="1326"/>
      <c r="BP409" s="1325"/>
      <c r="BQ409" s="1325"/>
      <c r="BR409" s="1326"/>
      <c r="BS409" s="648"/>
    </row>
    <row r="410" spans="1:71" s="665" customFormat="1" ht="15" hidden="1" outlineLevel="2">
      <c r="A410" s="31" t="s">
        <v>421</v>
      </c>
      <c r="B410" s="308"/>
      <c r="C410" s="1364">
        <v>1255.80</v>
      </c>
      <c r="D410" s="1364">
        <v>1157.5999999999999</v>
      </c>
      <c r="E410" s="1364">
        <v>806.30</v>
      </c>
      <c r="F410" s="1364">
        <v>812.40</v>
      </c>
      <c r="G410" s="1364">
        <v>711.20</v>
      </c>
      <c r="H410" s="1225">
        <v>737.90</v>
      </c>
      <c r="I410" s="1225">
        <v>760.20</v>
      </c>
      <c r="J410" s="1225">
        <v>763.30</v>
      </c>
      <c r="K410" s="1042">
        <f>L410</f>
        <v>827.50</v>
      </c>
      <c r="L410" s="1364">
        <v>827.50</v>
      </c>
      <c r="M410" s="1225">
        <v>828.10</v>
      </c>
      <c r="N410" s="1225">
        <v>772.30</v>
      </c>
      <c r="O410" s="1225">
        <v>775.60</v>
      </c>
      <c r="P410" s="1042">
        <f>Q410</f>
        <v>782.60</v>
      </c>
      <c r="Q410" s="1364">
        <v>782.60</v>
      </c>
      <c r="R410" s="1225">
        <v>832.20</v>
      </c>
      <c r="S410" s="1225">
        <v>858.50</v>
      </c>
      <c r="T410" s="1225">
        <v>860.10</v>
      </c>
      <c r="U410" s="1042">
        <f>V410</f>
        <v>853.50</v>
      </c>
      <c r="V410" s="1364">
        <v>853.50</v>
      </c>
      <c r="W410" s="1225">
        <v>809.80</v>
      </c>
      <c r="X410" s="1225">
        <v>783.10</v>
      </c>
      <c r="Y410" s="1225">
        <v>813.70</v>
      </c>
      <c r="Z410" s="1042">
        <f>AA410</f>
        <v>3399.80</v>
      </c>
      <c r="AA410" s="1364">
        <v>3399.80</v>
      </c>
      <c r="AB410" s="1225">
        <v>745.90</v>
      </c>
      <c r="AC410" s="1225">
        <v>758.60</v>
      </c>
      <c r="AD410" s="1225">
        <v>840.90</v>
      </c>
      <c r="AE410" s="1042">
        <f>AF410</f>
        <v>1033.9000000000001</v>
      </c>
      <c r="AF410" s="1364">
        <v>1033.9000000000001</v>
      </c>
      <c r="AG410" s="1225">
        <v>1095.4000000000001</v>
      </c>
      <c r="AH410" s="1225">
        <v>1130</v>
      </c>
      <c r="AI410" s="1225">
        <v>1128.50</v>
      </c>
      <c r="AJ410" s="1042">
        <f>AK410</f>
        <v>1038.9000000000001</v>
      </c>
      <c r="AK410" s="1364">
        <v>1038.9000000000001</v>
      </c>
      <c r="AL410" s="1225">
        <v>933.40</v>
      </c>
      <c r="AM410" s="1225">
        <v>1180.5999999999999</v>
      </c>
      <c r="AN410" s="1225">
        <v>1323.20</v>
      </c>
      <c r="AO410" s="1042">
        <f>AP410</f>
        <v>1447.90</v>
      </c>
      <c r="AP410" s="1364">
        <v>1447.90</v>
      </c>
      <c r="AQ410" s="1225">
        <v>1507.20</v>
      </c>
      <c r="AR410" s="1225">
        <v>1662.30</v>
      </c>
      <c r="AS410" s="1225">
        <v>1572.80</v>
      </c>
      <c r="AT410" s="1042">
        <f>AU410</f>
        <v>1639.90</v>
      </c>
      <c r="AU410" s="1364">
        <v>1639.90</v>
      </c>
      <c r="AV410" s="1225">
        <v>1527.50</v>
      </c>
      <c r="AW410" s="1047">
        <f>AW893</f>
        <v>1360.50</v>
      </c>
      <c r="AX410" s="1225">
        <v>1254.4000000000001</v>
      </c>
      <c r="AY410" s="1042">
        <f>AZ410</f>
        <v>1213.20</v>
      </c>
      <c r="AZ410" s="1364">
        <v>1213.20</v>
      </c>
      <c r="BA410" s="1225">
        <v>1078.80</v>
      </c>
      <c r="BB410" s="1047">
        <f>BB893</f>
        <v>985.10</v>
      </c>
      <c r="BC410" s="1225">
        <v>868.90</v>
      </c>
      <c r="BD410" s="1042">
        <f>BE410</f>
        <v>902.10</v>
      </c>
      <c r="BE410" s="1364">
        <v>902.10</v>
      </c>
      <c r="BF410" s="1225">
        <v>886.70</v>
      </c>
      <c r="BG410" s="1047">
        <f>BG893</f>
        <v>838.20</v>
      </c>
      <c r="BH410" s="1043">
        <f>BH893</f>
        <v>735</v>
      </c>
      <c r="BI410" s="1044"/>
      <c r="BJ410" s="1350"/>
      <c r="BK410" s="1044"/>
      <c r="BL410" s="1044"/>
      <c r="BM410" s="1044"/>
      <c r="BN410" s="1044"/>
      <c r="BO410" s="1350"/>
      <c r="BP410" s="1351"/>
      <c r="BQ410" s="1351"/>
      <c r="BR410" s="1350"/>
      <c r="BS410" s="648"/>
    </row>
    <row r="411" spans="1:71" s="665" customFormat="1" ht="15" hidden="1" outlineLevel="2">
      <c r="A411" s="46" t="s">
        <v>422</v>
      </c>
      <c r="B411" s="260"/>
      <c r="C411" s="1365">
        <v>816.20</v>
      </c>
      <c r="D411" s="1365">
        <v>1425</v>
      </c>
      <c r="E411" s="1365">
        <v>1845.60</v>
      </c>
      <c r="F411" s="1365">
        <v>1899</v>
      </c>
      <c r="G411" s="1365">
        <v>2530.50</v>
      </c>
      <c r="H411" s="1228">
        <v>2278.6999999999998</v>
      </c>
      <c r="I411" s="1228">
        <v>2381.6999999999998</v>
      </c>
      <c r="J411" s="1228">
        <v>2379.40</v>
      </c>
      <c r="K411" s="1027">
        <f>L411</f>
        <v>2492.3000000000002</v>
      </c>
      <c r="L411" s="1365">
        <v>2492.3000000000002</v>
      </c>
      <c r="M411" s="1228">
        <v>2515.6999999999998</v>
      </c>
      <c r="N411" s="1228">
        <v>2546.8000000000002</v>
      </c>
      <c r="O411" s="1228">
        <v>2483.90</v>
      </c>
      <c r="P411" s="1027">
        <f>Q411</f>
        <v>2650.50</v>
      </c>
      <c r="Q411" s="1365">
        <v>2650.50</v>
      </c>
      <c r="R411" s="1228">
        <v>2705</v>
      </c>
      <c r="S411" s="1228">
        <v>2765.40</v>
      </c>
      <c r="T411" s="1228">
        <v>2868</v>
      </c>
      <c r="U411" s="1027">
        <f>V411</f>
        <v>2812.40</v>
      </c>
      <c r="V411" s="1365">
        <v>2812.40</v>
      </c>
      <c r="W411" s="1228">
        <v>2978.10</v>
      </c>
      <c r="X411" s="1228">
        <v>3077.50</v>
      </c>
      <c r="Y411" s="1228">
        <v>3209.50</v>
      </c>
      <c r="Z411" s="1027">
        <f>AA411</f>
        <v>2869.40</v>
      </c>
      <c r="AA411" s="1365">
        <v>2869.40</v>
      </c>
      <c r="AB411" s="1228">
        <v>3033.20</v>
      </c>
      <c r="AC411" s="1228">
        <v>3142.20</v>
      </c>
      <c r="AD411" s="1228">
        <v>3057.30</v>
      </c>
      <c r="AE411" s="1027">
        <f>AF411</f>
        <v>2626.10</v>
      </c>
      <c r="AF411" s="1365">
        <v>2626.10</v>
      </c>
      <c r="AG411" s="1228">
        <v>3010.50</v>
      </c>
      <c r="AH411" s="1228">
        <v>3135.50</v>
      </c>
      <c r="AI411" s="1228">
        <v>3165.10</v>
      </c>
      <c r="AJ411" s="1027">
        <f>AK411</f>
        <v>3306.30</v>
      </c>
      <c r="AK411" s="1365">
        <v>3306.30</v>
      </c>
      <c r="AL411" s="1228">
        <v>2608.10</v>
      </c>
      <c r="AM411" s="1228">
        <v>3170.40</v>
      </c>
      <c r="AN411" s="1228">
        <v>3459.80</v>
      </c>
      <c r="AO411" s="1027">
        <f>AP411</f>
        <v>4053</v>
      </c>
      <c r="AP411" s="1365">
        <v>4053</v>
      </c>
      <c r="AQ411" s="1228">
        <v>4558.50</v>
      </c>
      <c r="AR411" s="1228">
        <v>4538.8999999999996</v>
      </c>
      <c r="AS411" s="1228">
        <v>4580.20</v>
      </c>
      <c r="AT411" s="1027">
        <f>AU411</f>
        <v>5058.50</v>
      </c>
      <c r="AU411" s="1365">
        <v>5058.50</v>
      </c>
      <c r="AV411" s="1228">
        <v>4812.6000000000004</v>
      </c>
      <c r="AW411" s="1029">
        <f>AW894</f>
        <v>2784.70</v>
      </c>
      <c r="AX411" s="1228">
        <v>2665.30</v>
      </c>
      <c r="AY411" s="1027">
        <f>AZ411</f>
        <v>2821.50</v>
      </c>
      <c r="AZ411" s="1365">
        <v>2821.50</v>
      </c>
      <c r="BA411" s="1228">
        <v>2794.30</v>
      </c>
      <c r="BB411" s="1029">
        <f>BB894</f>
        <v>2708.10</v>
      </c>
      <c r="BC411" s="1228">
        <v>2614.50</v>
      </c>
      <c r="BD411" s="1027">
        <f>BE411</f>
        <v>2928.40</v>
      </c>
      <c r="BE411" s="1365">
        <v>2928.40</v>
      </c>
      <c r="BF411" s="1228">
        <v>3194.90</v>
      </c>
      <c r="BG411" s="1029">
        <f>BG894</f>
        <v>3295.60</v>
      </c>
      <c r="BH411" s="1028">
        <f>BH894</f>
        <v>3497</v>
      </c>
      <c r="BI411" s="1029"/>
      <c r="BJ411" s="1324"/>
      <c r="BK411" s="1029"/>
      <c r="BL411" s="1029"/>
      <c r="BM411" s="1029"/>
      <c r="BN411" s="1029"/>
      <c r="BO411" s="1324"/>
      <c r="BP411" s="1324"/>
      <c r="BQ411" s="1324"/>
      <c r="BR411" s="1324"/>
      <c r="BS411" s="648"/>
    </row>
    <row r="412" spans="1:71" s="665" customFormat="1" ht="15" hidden="1" outlineLevel="1" collapsed="1">
      <c r="A412" s="997" t="s">
        <v>521</v>
      </c>
      <c r="B412" s="490"/>
      <c r="C412" s="1349">
        <f t="shared" si="813" ref="C412:P412">SUM(C410:C411)</f>
        <v>2072</v>
      </c>
      <c r="D412" s="1349">
        <f t="shared" si="813"/>
        <v>2582.60</v>
      </c>
      <c r="E412" s="1349">
        <f t="shared" si="813"/>
        <v>2651.8999999999996</v>
      </c>
      <c r="F412" s="1349">
        <f t="shared" si="813"/>
        <v>2711.40</v>
      </c>
      <c r="G412" s="1349">
        <f t="shared" si="813"/>
        <v>3241.70</v>
      </c>
      <c r="H412" s="1042">
        <f t="shared" si="813"/>
        <v>3016.60</v>
      </c>
      <c r="I412" s="1042">
        <f t="shared" si="813"/>
        <v>3141.8999999999996</v>
      </c>
      <c r="J412" s="1042">
        <f t="shared" si="813"/>
        <v>3142.70</v>
      </c>
      <c r="K412" s="1042">
        <f t="shared" si="813"/>
        <v>3319.80</v>
      </c>
      <c r="L412" s="1349">
        <f t="shared" si="813"/>
        <v>3319.80</v>
      </c>
      <c r="M412" s="1042">
        <f t="shared" si="813"/>
        <v>3343.7999999999997</v>
      </c>
      <c r="N412" s="1042">
        <f t="shared" si="813"/>
        <v>3319.1000000000004</v>
      </c>
      <c r="O412" s="1042">
        <f t="shared" si="813"/>
        <v>3259.50</v>
      </c>
      <c r="P412" s="1042">
        <f t="shared" si="813"/>
        <v>3433.10</v>
      </c>
      <c r="Q412" s="1349">
        <f t="shared" si="814" ref="Q412:Y412">SUM(Q410:Q411)</f>
        <v>3433.10</v>
      </c>
      <c r="R412" s="1042">
        <f t="shared" si="814"/>
        <v>3537.20</v>
      </c>
      <c r="S412" s="1042">
        <f t="shared" si="814"/>
        <v>3623.90</v>
      </c>
      <c r="T412" s="1042">
        <f t="shared" si="814"/>
        <v>3728.10</v>
      </c>
      <c r="U412" s="1042">
        <f>SUM(U410:U411)</f>
        <v>3665.90</v>
      </c>
      <c r="V412" s="1349">
        <f t="shared" si="814"/>
        <v>3665.90</v>
      </c>
      <c r="W412" s="1042">
        <f t="shared" si="814"/>
        <v>3787.8999999999996</v>
      </c>
      <c r="X412" s="1042">
        <f t="shared" si="814"/>
        <v>3860.60</v>
      </c>
      <c r="Y412" s="1042">
        <f t="shared" si="814"/>
        <v>4023.20</v>
      </c>
      <c r="Z412" s="1042">
        <f>SUM(Z410:Z411)</f>
        <v>6269.2000000000007</v>
      </c>
      <c r="AA412" s="1349">
        <f t="shared" si="815" ref="AA412:AN412">SUM(AA410:AA411)</f>
        <v>6269.2000000000007</v>
      </c>
      <c r="AB412" s="1042">
        <f t="shared" si="815"/>
        <v>3779.10</v>
      </c>
      <c r="AC412" s="1042">
        <f t="shared" si="815"/>
        <v>3900.7999999999997</v>
      </c>
      <c r="AD412" s="1042">
        <f t="shared" si="815"/>
        <v>3898.2000000000003</v>
      </c>
      <c r="AE412" s="1042">
        <f t="shared" si="815"/>
        <v>3660</v>
      </c>
      <c r="AF412" s="1349">
        <f t="shared" si="815"/>
        <v>3660</v>
      </c>
      <c r="AG412" s="1042">
        <f t="shared" si="815"/>
        <v>4105.8999999999996</v>
      </c>
      <c r="AH412" s="1042">
        <f t="shared" si="815"/>
        <v>4265.50</v>
      </c>
      <c r="AI412" s="1042">
        <f t="shared" si="815"/>
        <v>4293.6000000000004</v>
      </c>
      <c r="AJ412" s="1042">
        <f t="shared" si="815"/>
        <v>4345.2000000000007</v>
      </c>
      <c r="AK412" s="1349">
        <f t="shared" si="815"/>
        <v>4345.2000000000007</v>
      </c>
      <c r="AL412" s="1042">
        <f t="shared" si="815"/>
        <v>3541.50</v>
      </c>
      <c r="AM412" s="1042">
        <f t="shared" si="815"/>
        <v>4351</v>
      </c>
      <c r="AN412" s="1042">
        <f t="shared" si="815"/>
        <v>4783</v>
      </c>
      <c r="AO412" s="1042">
        <f t="shared" si="816" ref="AO412:AU412">SUM(AO410:AO411)</f>
        <v>5500.90</v>
      </c>
      <c r="AP412" s="1349">
        <f t="shared" si="816"/>
        <v>5500.90</v>
      </c>
      <c r="AQ412" s="1042">
        <f t="shared" si="816"/>
        <v>6065.70</v>
      </c>
      <c r="AR412" s="1042">
        <f t="shared" si="816"/>
        <v>6201.20</v>
      </c>
      <c r="AS412" s="1042">
        <f t="shared" si="816"/>
        <v>6153</v>
      </c>
      <c r="AT412" s="1042">
        <f t="shared" si="816"/>
        <v>6698.40</v>
      </c>
      <c r="AU412" s="1351">
        <f t="shared" si="816"/>
        <v>6698.40</v>
      </c>
      <c r="AV412" s="1042">
        <f t="shared" si="817" ref="AV412:BA412">SUM(AV410:AV411)</f>
        <v>6340.10</v>
      </c>
      <c r="AW412" s="1042">
        <f t="shared" si="817"/>
        <v>4145.20</v>
      </c>
      <c r="AX412" s="1042">
        <f t="shared" si="817"/>
        <v>3919.7000000000003</v>
      </c>
      <c r="AY412" s="1042">
        <f t="shared" si="817"/>
        <v>4034.70</v>
      </c>
      <c r="AZ412" s="1351">
        <f t="shared" si="817"/>
        <v>4034.70</v>
      </c>
      <c r="BA412" s="1042">
        <f t="shared" si="817"/>
        <v>3873.1000000000004</v>
      </c>
      <c r="BB412" s="1042">
        <f t="shared" si="818" ref="BB412:BG412">SUM(BB410:BB411)</f>
        <v>3693.20</v>
      </c>
      <c r="BC412" s="1042">
        <f t="shared" si="818"/>
        <v>3483.40</v>
      </c>
      <c r="BD412" s="1042">
        <f t="shared" si="818"/>
        <v>3830.50</v>
      </c>
      <c r="BE412" s="1351">
        <f t="shared" si="818"/>
        <v>3830.50</v>
      </c>
      <c r="BF412" s="1042">
        <f t="shared" si="818"/>
        <v>4081.6000000000004</v>
      </c>
      <c r="BG412" s="1042">
        <f t="shared" si="818"/>
        <v>4133.80</v>
      </c>
      <c r="BH412" s="1043">
        <f>SUM(BH410:BH411)</f>
        <v>4232</v>
      </c>
      <c r="BI412" s="1047">
        <f>BD412*(1+BI413)</f>
        <v>4213.55</v>
      </c>
      <c r="BJ412" s="1351">
        <f>BI412</f>
        <v>4213.55</v>
      </c>
      <c r="BK412" s="1047">
        <f>BF412*(1+BK413)</f>
        <v>4285.6800000000003</v>
      </c>
      <c r="BL412" s="1047">
        <f>BG412*(1+BL413)</f>
        <v>4340.4900000000007</v>
      </c>
      <c r="BM412" s="1047">
        <f>BH412*(1+BM413)</f>
        <v>4443.6000000000004</v>
      </c>
      <c r="BN412" s="1047">
        <f>BI412*(1+BN413)</f>
        <v>4424.2275</v>
      </c>
      <c r="BO412" s="1351">
        <f>BN412</f>
        <v>4424.2275</v>
      </c>
      <c r="BP412" s="1351">
        <f>BO412*(1+BP413)</f>
        <v>4645.4388749999998</v>
      </c>
      <c r="BQ412" s="1351">
        <f>BP412*(1+BQ413)</f>
        <v>4877.7108187499998</v>
      </c>
      <c r="BR412" s="1351">
        <f>BQ412*(1+BR413)</f>
        <v>5121.5963596874999</v>
      </c>
      <c r="BS412" s="648"/>
    </row>
    <row r="413" spans="1:71" s="676" customFormat="1" ht="15" hidden="1" outlineLevel="1">
      <c r="A413" s="397" t="s">
        <v>523</v>
      </c>
      <c r="B413" s="396"/>
      <c r="C413" s="1339"/>
      <c r="D413" s="1339">
        <f>D412/C412-1</f>
        <v>0.24642857142857144</v>
      </c>
      <c r="E413" s="1339">
        <f>E412/D412-1</f>
        <v>0.026833423681561053</v>
      </c>
      <c r="F413" s="1339">
        <f>F412/E412-1</f>
        <v>0.02243674346694835</v>
      </c>
      <c r="G413" s="1339">
        <f>G412/F412-1</f>
        <v>0.19558161835214261</v>
      </c>
      <c r="H413" s="381"/>
      <c r="I413" s="381"/>
      <c r="J413" s="381"/>
      <c r="K413" s="381"/>
      <c r="L413" s="1339">
        <f t="shared" si="819" ref="L413:AU413">L412/G412-1</f>
        <v>0.024092297251442352</v>
      </c>
      <c r="M413" s="381">
        <f t="shared" si="819"/>
        <v>0.10846648544719217</v>
      </c>
      <c r="N413" s="381">
        <f t="shared" si="819"/>
        <v>0.056398994239154954</v>
      </c>
      <c r="O413" s="381">
        <f t="shared" si="819"/>
        <v>0.037165494638368379</v>
      </c>
      <c r="P413" s="381">
        <f t="shared" si="819"/>
        <v>0.034128561961563886</v>
      </c>
      <c r="Q413" s="1339">
        <f t="shared" si="819"/>
        <v>0.034128561961563886</v>
      </c>
      <c r="R413" s="381">
        <f t="shared" si="819"/>
        <v>0.057838387463365004</v>
      </c>
      <c r="S413" s="381">
        <f t="shared" si="819"/>
        <v>0.091832123165918489</v>
      </c>
      <c r="T413" s="381">
        <f t="shared" si="819"/>
        <v>0.14376438104003686</v>
      </c>
      <c r="U413" s="381">
        <f t="shared" si="819"/>
        <v>0.067810433718796581</v>
      </c>
      <c r="V413" s="1339">
        <f t="shared" si="819"/>
        <v>0.067810433718796581</v>
      </c>
      <c r="W413" s="381">
        <f t="shared" si="819"/>
        <v>0.070875268574013273</v>
      </c>
      <c r="X413" s="381">
        <f t="shared" si="819"/>
        <v>0.065316371864565737</v>
      </c>
      <c r="Y413" s="381">
        <f t="shared" si="819"/>
        <v>0.079155602049301166</v>
      </c>
      <c r="Z413" s="381">
        <f t="shared" si="819"/>
        <v>0.71013939278212734</v>
      </c>
      <c r="AA413" s="1339">
        <f t="shared" si="819"/>
        <v>0.71013939278212734</v>
      </c>
      <c r="AB413" s="381">
        <f t="shared" si="819"/>
        <v>-0.0023231869901527702</v>
      </c>
      <c r="AC413" s="381">
        <f t="shared" si="819"/>
        <v>0.010412889188208929</v>
      </c>
      <c r="AD413" s="381">
        <f t="shared" si="819"/>
        <v>-0.031069795187909977</v>
      </c>
      <c r="AE413" s="381">
        <f t="shared" si="819"/>
        <v>-0.41619345371020233</v>
      </c>
      <c r="AF413" s="1339">
        <f t="shared" si="819"/>
        <v>-0.41619345371020233</v>
      </c>
      <c r="AG413" s="381">
        <f t="shared" si="819"/>
        <v>0.086475615887380508</v>
      </c>
      <c r="AH413" s="381">
        <f t="shared" si="819"/>
        <v>0.093493642329778526</v>
      </c>
      <c r="AI413" s="381">
        <f t="shared" si="819"/>
        <v>0.10143142989071885</v>
      </c>
      <c r="AJ413" s="381">
        <f t="shared" si="819"/>
        <v>0.18721311475409852</v>
      </c>
      <c r="AK413" s="1339">
        <f t="shared" si="819"/>
        <v>0.18721311475409852</v>
      </c>
      <c r="AL413" s="381">
        <f t="shared" si="819"/>
        <v>-0.13746072724615788</v>
      </c>
      <c r="AM413" s="381">
        <f t="shared" si="819"/>
        <v>0.020044543429844186</v>
      </c>
      <c r="AN413" s="381">
        <f t="shared" si="819"/>
        <v>0.11398360350288783</v>
      </c>
      <c r="AO413" s="381">
        <f t="shared" si="819"/>
        <v>0.26597164687471198</v>
      </c>
      <c r="AP413" s="1339">
        <f t="shared" si="819"/>
        <v>0.26597164687471198</v>
      </c>
      <c r="AQ413" s="381">
        <f t="shared" si="819"/>
        <v>0.71274883523930543</v>
      </c>
      <c r="AR413" s="381">
        <f t="shared" si="819"/>
        <v>0.42523557802803946</v>
      </c>
      <c r="AS413" s="381">
        <f t="shared" si="819"/>
        <v>0.28643111018189416</v>
      </c>
      <c r="AT413" s="381">
        <f t="shared" si="819"/>
        <v>0.21769165045719796</v>
      </c>
      <c r="AU413" s="1339">
        <f t="shared" si="819"/>
        <v>0.21769165045719796</v>
      </c>
      <c r="AV413" s="381">
        <f t="shared" si="820" ref="AV413:BA413">AV412/AQ412-1</f>
        <v>0.045237977479928304</v>
      </c>
      <c r="AW413" s="381">
        <f t="shared" si="820"/>
        <v>-0.33154873250338646</v>
      </c>
      <c r="AX413" s="381">
        <f t="shared" si="820"/>
        <v>-0.36296115715910937</v>
      </c>
      <c r="AY413" s="381">
        <f t="shared" si="820"/>
        <v>-0.39766212826943748</v>
      </c>
      <c r="AZ413" s="1339">
        <f t="shared" si="820"/>
        <v>-0.39766212826943748</v>
      </c>
      <c r="BA413" s="381">
        <f t="shared" si="820"/>
        <v>-0.38911058185202119</v>
      </c>
      <c r="BB413" s="381">
        <f t="shared" si="821" ref="BB413:BG413">BB412/AW412-1</f>
        <v>-0.10904178326739367</v>
      </c>
      <c r="BC413" s="381">
        <f t="shared" si="821"/>
        <v>-0.11130953899533136</v>
      </c>
      <c r="BD413" s="381">
        <f t="shared" si="821"/>
        <v>-0.05061095000867466</v>
      </c>
      <c r="BE413" s="1339">
        <f t="shared" si="821"/>
        <v>-0.05061095000867466</v>
      </c>
      <c r="BF413" s="381">
        <f t="shared" si="821"/>
        <v>0.053832847073403745</v>
      </c>
      <c r="BG413" s="381">
        <f t="shared" si="821"/>
        <v>0.11930033575219334</v>
      </c>
      <c r="BH413" s="813">
        <f>BH412/BC412-1</f>
        <v>0.21490497789515994</v>
      </c>
      <c r="BI413" s="1221">
        <v>0.10000000000000001</v>
      </c>
      <c r="BJ413" s="1340">
        <f>BJ412/BE412-1</f>
        <v>0.10000000000000009</v>
      </c>
      <c r="BK413" s="1221">
        <v>0.05</v>
      </c>
      <c r="BL413" s="1221">
        <v>0.05</v>
      </c>
      <c r="BM413" s="1221">
        <v>0.05</v>
      </c>
      <c r="BN413" s="1221">
        <v>0.05</v>
      </c>
      <c r="BO413" s="1340">
        <f>BO412/BJ412-1</f>
        <v>0.050000000000000044</v>
      </c>
      <c r="BP413" s="1343">
        <v>0.05</v>
      </c>
      <c r="BQ413" s="1343">
        <v>0.05</v>
      </c>
      <c r="BR413" s="1344">
        <v>0.05</v>
      </c>
      <c r="BS413" s="648"/>
    </row>
    <row r="414" spans="1:71" s="665" customFormat="1" ht="15" hidden="1" outlineLevel="2">
      <c r="A414" s="31" t="s">
        <v>411</v>
      </c>
      <c r="B414" s="308"/>
      <c r="C414" s="1351"/>
      <c r="D414" s="1349">
        <f t="shared" si="822" ref="D414:K416">AVERAGE(C410,D410)</f>
        <v>1206.6999999999998</v>
      </c>
      <c r="E414" s="1349">
        <f t="shared" si="822"/>
        <v>981.95</v>
      </c>
      <c r="F414" s="1349">
        <f t="shared" si="822"/>
        <v>809.34999999999991</v>
      </c>
      <c r="G414" s="1349">
        <f t="shared" si="822"/>
        <v>761.80</v>
      </c>
      <c r="H414" s="1042">
        <f t="shared" si="822"/>
        <v>724.55</v>
      </c>
      <c r="I414" s="1042">
        <f t="shared" si="822"/>
        <v>749.05</v>
      </c>
      <c r="J414" s="1042">
        <f t="shared" si="822"/>
        <v>761.75</v>
      </c>
      <c r="K414" s="1042">
        <f t="shared" si="822"/>
        <v>795.40</v>
      </c>
      <c r="L414" s="1349">
        <f>SUM(H414*H$3,I414*I$3,J414*J$3,K414*K$3)/SUM(H$3,I$3,J$3,K$3)</f>
        <v>757.89273972602734</v>
      </c>
      <c r="M414" s="1042">
        <f t="shared" si="823" ref="M414:P416">AVERAGE(L410,M410)</f>
        <v>827.80</v>
      </c>
      <c r="N414" s="1042">
        <f t="shared" si="823"/>
        <v>800.20</v>
      </c>
      <c r="O414" s="1042">
        <f t="shared" si="823"/>
        <v>773.95</v>
      </c>
      <c r="P414" s="1042">
        <f t="shared" si="823"/>
        <v>779.10</v>
      </c>
      <c r="Q414" s="1349">
        <f>SUM(M414*M$3,N414*N$3,O414*O$3,P414*P$3)/SUM(M$3,N$3,O$3,P$3)</f>
        <v>795.070684931507</v>
      </c>
      <c r="R414" s="1042">
        <f t="shared" si="824" ref="R414:U416">AVERAGE(Q410,R410)</f>
        <v>807.40000000000009</v>
      </c>
      <c r="S414" s="1042">
        <f t="shared" si="824"/>
        <v>845.35</v>
      </c>
      <c r="T414" s="1042">
        <f t="shared" si="824"/>
        <v>859.30</v>
      </c>
      <c r="U414" s="1042">
        <f t="shared" si="824"/>
        <v>856.80</v>
      </c>
      <c r="V414" s="1349">
        <f>SUM(R414*R$3,S414*S$3,T414*T$3,U414*U$3)/SUM(R$3,S$3,T$3,U$3)</f>
        <v>842.29904371584689</v>
      </c>
      <c r="W414" s="1042">
        <f t="shared" si="825" ref="W414:Z416">AVERAGE(V410,W410)</f>
        <v>831.65</v>
      </c>
      <c r="X414" s="1042">
        <f t="shared" si="825"/>
        <v>796.45</v>
      </c>
      <c r="Y414" s="1042">
        <f t="shared" si="825"/>
        <v>798.40000000000009</v>
      </c>
      <c r="Z414" s="1042">
        <f t="shared" si="825"/>
        <v>2106.75</v>
      </c>
      <c r="AA414" s="1349">
        <f>SUM(W414*W$3,X414*X$3,Y414*Y$3,Z414*Z$3)/SUM(W$3,X$3,Y$3,Z$3)</f>
        <v>1135.8883561643836</v>
      </c>
      <c r="AB414" s="1042">
        <f t="shared" si="826" ref="AB414:AE416">AVERAGE(AA410,AB410)</f>
        <v>2072.85</v>
      </c>
      <c r="AC414" s="1042">
        <f t="shared" si="826"/>
        <v>752.25</v>
      </c>
      <c r="AD414" s="1042">
        <f t="shared" si="826"/>
        <v>799.75</v>
      </c>
      <c r="AE414" s="1042">
        <f t="shared" si="826"/>
        <v>937.40000000000009</v>
      </c>
      <c r="AF414" s="1349">
        <f>SUM(AB414*AB$3,AC414*AC$3,AD414*AD$3,AE414*AE$3)/SUM(AB$3,AC$3,AD$3,AE$3)</f>
        <v>1136.5179452054795</v>
      </c>
      <c r="AG414" s="1042">
        <f t="shared" si="827" ref="AG414:AJ416">AVERAGE(AF410,AG410)</f>
        <v>1064.6500000000001</v>
      </c>
      <c r="AH414" s="1042">
        <f t="shared" si="827"/>
        <v>1112.70</v>
      </c>
      <c r="AI414" s="1042">
        <f t="shared" si="827"/>
        <v>1129.25</v>
      </c>
      <c r="AJ414" s="1042">
        <f t="shared" si="827"/>
        <v>1083.70</v>
      </c>
      <c r="AK414" s="1349">
        <f>SUM(AG414*AG$3,AH414*AH$3,AI414*AI$3,AJ414*AJ$3)/SUM(AG$3,AH$3,AI$3,AJ$3)</f>
        <v>1097.7139726027399</v>
      </c>
      <c r="AL414" s="1042">
        <f t="shared" si="828" ref="AL414:AO416">AVERAGE(AK410,AL410)</f>
        <v>986.15000000000009</v>
      </c>
      <c r="AM414" s="1042">
        <f t="shared" si="828"/>
        <v>1057</v>
      </c>
      <c r="AN414" s="1042">
        <f t="shared" si="828"/>
        <v>1251.9000000000001</v>
      </c>
      <c r="AO414" s="1042">
        <f t="shared" si="828"/>
        <v>1385.5500000000002</v>
      </c>
      <c r="AP414" s="1349">
        <f>SUM(AL414*AL$3,AM414*AM$3,AN414*AN$3,AO414*AO$3)/SUM(AL$3,AM$3,AN$3,AO$3)</f>
        <v>1170.9618852459018</v>
      </c>
      <c r="AQ414" s="1042">
        <f t="shared" si="829" ref="AQ414:AT416">AVERAGE(AP410,AQ410)</f>
        <v>1477.5500000000002</v>
      </c>
      <c r="AR414" s="1042">
        <f t="shared" si="829"/>
        <v>1584.75</v>
      </c>
      <c r="AS414" s="1042">
        <f t="shared" si="829"/>
        <v>1617.55</v>
      </c>
      <c r="AT414" s="1042">
        <f t="shared" si="829"/>
        <v>1606.35</v>
      </c>
      <c r="AU414" s="1349">
        <f>SUM(AQ414*AQ$3,AR414*AR$3,AS414*AS$3,AT414*AT$3)/SUM(AQ$3,AR$3,AS$3,AT$3)</f>
        <v>1572.0289041095889</v>
      </c>
      <c r="AV414" s="1042">
        <f t="shared" si="830" ref="AV414:AW416">AVERAGE(AU410,AV410)</f>
        <v>1583.70</v>
      </c>
      <c r="AW414" s="1042">
        <f t="shared" si="830"/>
        <v>1444</v>
      </c>
      <c r="AX414" s="1042">
        <f t="shared" si="831" ref="AX414:AY416">AVERAGE(AW410,AX410)</f>
        <v>1307.45</v>
      </c>
      <c r="AY414" s="1042">
        <f t="shared" si="831"/>
        <v>1233.8000000000002</v>
      </c>
      <c r="AZ414" s="1349">
        <f>SUM(AV414*AV$3,AW414*AW$3,AX414*AX$3,AY414*AY$3)/SUM(AV$3,AW$3,AX$3,AY$3)</f>
        <v>1391.046575342466</v>
      </c>
      <c r="BA414" s="1042">
        <f t="shared" si="832" ref="BA414:BB416">AVERAGE(AZ410,BA410)</f>
        <v>1146</v>
      </c>
      <c r="BB414" s="1042">
        <f t="shared" si="832"/>
        <v>1031.95</v>
      </c>
      <c r="BC414" s="1042">
        <f t="shared" si="833" ref="BC414:BD416">AVERAGE(BB410,BC410)</f>
        <v>927</v>
      </c>
      <c r="BD414" s="1042">
        <f t="shared" si="833"/>
        <v>885.50</v>
      </c>
      <c r="BE414" s="1349">
        <f>SUM(BA414*BA$3,BB414*BB$3,BC414*BC$3,BD414*BD$3)/SUM(BA$3,BB$3,BC$3,BD$3)</f>
        <v>996.70534246575346</v>
      </c>
      <c r="BF414" s="1042">
        <f t="shared" si="834" ref="BF414:BG416">AVERAGE(BE410,BF410)</f>
        <v>894.40000000000009</v>
      </c>
      <c r="BG414" s="1042">
        <f t="shared" si="834"/>
        <v>862.45</v>
      </c>
      <c r="BH414" s="1043">
        <f>AVERAGE(BG410,BH410)</f>
        <v>786.60</v>
      </c>
      <c r="BI414" s="1044"/>
      <c r="BJ414" s="1350"/>
      <c r="BK414" s="1044"/>
      <c r="BL414" s="1044"/>
      <c r="BM414" s="1044"/>
      <c r="BN414" s="1044"/>
      <c r="BO414" s="1350"/>
      <c r="BP414" s="1351"/>
      <c r="BQ414" s="1351"/>
      <c r="BR414" s="1350"/>
      <c r="BS414" s="648"/>
    </row>
    <row r="415" spans="1:71" s="665" customFormat="1" ht="15" hidden="1" outlineLevel="2">
      <c r="A415" s="46" t="s">
        <v>412</v>
      </c>
      <c r="B415" s="260"/>
      <c r="C415" s="1324"/>
      <c r="D415" s="1323">
        <f t="shared" si="822"/>
        <v>1120.5999999999999</v>
      </c>
      <c r="E415" s="1323">
        <f t="shared" si="822"/>
        <v>1635.30</v>
      </c>
      <c r="F415" s="1323">
        <f t="shared" si="822"/>
        <v>1872.30</v>
      </c>
      <c r="G415" s="1323">
        <f t="shared" si="822"/>
        <v>2214.75</v>
      </c>
      <c r="H415" s="1027">
        <f t="shared" si="822"/>
        <v>2404.60</v>
      </c>
      <c r="I415" s="1027">
        <f t="shared" si="822"/>
        <v>2330.1999999999998</v>
      </c>
      <c r="J415" s="1027">
        <f t="shared" si="822"/>
        <v>2380.5500000000002</v>
      </c>
      <c r="K415" s="1027">
        <f t="shared" si="822"/>
        <v>2435.8500000000004</v>
      </c>
      <c r="L415" s="1323">
        <f>SUM(H415*H$3,I415*I$3,J415*J$3,K415*K$3)/SUM(H$3,I$3,J$3,K$3)</f>
        <v>2387.8657534246577</v>
      </c>
      <c r="M415" s="1027">
        <f t="shared" si="823"/>
        <v>2504</v>
      </c>
      <c r="N415" s="1027">
        <f t="shared" si="823"/>
        <v>2531.25</v>
      </c>
      <c r="O415" s="1027">
        <f t="shared" si="823"/>
        <v>2515.3500000000004</v>
      </c>
      <c r="P415" s="1027">
        <f t="shared" si="823"/>
        <v>2567.1999999999998</v>
      </c>
      <c r="Q415" s="1323">
        <f>SUM(M415*M$3,N415*N$3,O415*O$3,P415*P$3)/SUM(M$3,N$3,O$3,P$3)</f>
        <v>2529.5845205479454</v>
      </c>
      <c r="R415" s="1027">
        <f t="shared" si="824"/>
        <v>2677.75</v>
      </c>
      <c r="S415" s="1027">
        <f t="shared" si="824"/>
        <v>2735.20</v>
      </c>
      <c r="T415" s="1027">
        <f t="shared" si="824"/>
        <v>2816.70</v>
      </c>
      <c r="U415" s="1027">
        <f t="shared" si="824"/>
        <v>2840.20</v>
      </c>
      <c r="V415" s="1323">
        <f>SUM(R415*R$3,S415*S$3,T415*T$3,U415*U$3)/SUM(R$3,S$3,T$3,U$3)</f>
        <v>2767.7957650273224</v>
      </c>
      <c r="W415" s="1027">
        <f t="shared" si="825"/>
        <v>2895.25</v>
      </c>
      <c r="X415" s="1027">
        <f t="shared" si="825"/>
        <v>3027.80</v>
      </c>
      <c r="Y415" s="1027">
        <f t="shared" si="825"/>
        <v>3143.50</v>
      </c>
      <c r="Z415" s="1027">
        <f t="shared" si="825"/>
        <v>3039.45</v>
      </c>
      <c r="AA415" s="1323">
        <f>SUM(W415*W$3,X415*X$3,Y415*Y$3,Z415*Z$3)/SUM(W$3,X$3,Y$3,Z$3)</f>
        <v>3027.2156164383559</v>
      </c>
      <c r="AB415" s="1027">
        <f t="shared" si="826"/>
        <v>2951.30</v>
      </c>
      <c r="AC415" s="1027">
        <f t="shared" si="826"/>
        <v>3087.70</v>
      </c>
      <c r="AD415" s="1027">
        <f t="shared" si="826"/>
        <v>3099.75</v>
      </c>
      <c r="AE415" s="1027">
        <f t="shared" si="826"/>
        <v>2841.70</v>
      </c>
      <c r="AF415" s="1323">
        <f>SUM(AB415*AB$3,AC415*AC$3,AD415*AD$3,AE415*AE$3)/SUM(AB$3,AC$3,AD$3,AE$3)</f>
        <v>2995.0989041095886</v>
      </c>
      <c r="AG415" s="1027">
        <f t="shared" si="827"/>
        <v>2818.30</v>
      </c>
      <c r="AH415" s="1027">
        <f t="shared" si="827"/>
        <v>3073</v>
      </c>
      <c r="AI415" s="1027">
        <f t="shared" si="827"/>
        <v>3150.30</v>
      </c>
      <c r="AJ415" s="1027">
        <f t="shared" si="827"/>
        <v>3235.70</v>
      </c>
      <c r="AK415" s="1323">
        <f>SUM(AG415*AG$3,AH415*AH$3,AI415*AI$3,AJ415*AJ$3)/SUM(AG$3,AH$3,AI$3,AJ$3)</f>
        <v>3070.6904109589041</v>
      </c>
      <c r="AL415" s="1027">
        <f t="shared" si="828"/>
        <v>2957.20</v>
      </c>
      <c r="AM415" s="1027">
        <f t="shared" si="828"/>
        <v>2889.25</v>
      </c>
      <c r="AN415" s="1027">
        <f t="shared" si="828"/>
        <v>3315.1000000000004</v>
      </c>
      <c r="AO415" s="1027">
        <f t="shared" si="828"/>
        <v>3756.40</v>
      </c>
      <c r="AP415" s="1323">
        <f>SUM(AL415*AL$3,AM415*AM$3,AN415*AN$3,AO415*AO$3)/SUM(AL$3,AM$3,AN$3,AO$3)</f>
        <v>3231.1610655737704</v>
      </c>
      <c r="AQ415" s="1027">
        <f t="shared" si="829"/>
        <v>4305.75</v>
      </c>
      <c r="AR415" s="1027">
        <f t="shared" si="829"/>
        <v>4548.70</v>
      </c>
      <c r="AS415" s="1027">
        <f t="shared" si="829"/>
        <v>4559.5499999999993</v>
      </c>
      <c r="AT415" s="1027">
        <f t="shared" si="829"/>
        <v>4819.3500000000004</v>
      </c>
      <c r="AU415" s="1323">
        <f>SUM(AQ415*AQ$3,AR415*AR$3,AS415*AS$3,AT415*AT$3)/SUM(AQ$3,AR$3,AS$3,AT$3)</f>
        <v>4559.7479452054786</v>
      </c>
      <c r="AV415" s="1027">
        <f t="shared" si="830"/>
        <v>4935.55</v>
      </c>
      <c r="AW415" s="1027">
        <f t="shared" si="830"/>
        <v>3798.65</v>
      </c>
      <c r="AX415" s="1027">
        <f t="shared" si="831"/>
        <v>2725</v>
      </c>
      <c r="AY415" s="1027">
        <f t="shared" si="831"/>
        <v>2743.40</v>
      </c>
      <c r="AZ415" s="1323">
        <f>SUM(AV415*AV$3,AW415*AW$3,AX415*AX$3,AY415*AY$3)/SUM(AV$3,AW$3,AX$3,AY$3)</f>
        <v>3542.3820547945206</v>
      </c>
      <c r="BA415" s="1027">
        <f t="shared" si="832"/>
        <v>2807.90</v>
      </c>
      <c r="BB415" s="1027">
        <f t="shared" si="832"/>
        <v>2751.20</v>
      </c>
      <c r="BC415" s="1027">
        <f t="shared" si="833"/>
        <v>2661.30</v>
      </c>
      <c r="BD415" s="1027">
        <f t="shared" si="833"/>
        <v>2771.45</v>
      </c>
      <c r="BE415" s="1323">
        <f>SUM(BA415*BA$3,BB415*BB$3,BC415*BC$3,BD415*BD$3)/SUM(BA$3,BB$3,BC$3,BD$3)</f>
        <v>2747.6252054794518</v>
      </c>
      <c r="BF415" s="1027">
        <f t="shared" si="834"/>
        <v>3061.65</v>
      </c>
      <c r="BG415" s="1027">
        <f t="shared" si="834"/>
        <v>3245.25</v>
      </c>
      <c r="BH415" s="1028">
        <f>AVERAGE(BG411,BH411)</f>
        <v>3396.30</v>
      </c>
      <c r="BI415" s="1029"/>
      <c r="BJ415" s="1324"/>
      <c r="BK415" s="1029"/>
      <c r="BL415" s="1029"/>
      <c r="BM415" s="1029"/>
      <c r="BN415" s="1029"/>
      <c r="BO415" s="1324"/>
      <c r="BP415" s="1324"/>
      <c r="BQ415" s="1324"/>
      <c r="BR415" s="1324"/>
      <c r="BS415" s="648"/>
    </row>
    <row r="416" spans="1:71" s="665" customFormat="1" ht="15" hidden="1" outlineLevel="1" collapsed="1">
      <c r="A416" s="997" t="s">
        <v>522</v>
      </c>
      <c r="B416" s="490"/>
      <c r="C416" s="1351"/>
      <c r="D416" s="1349">
        <f t="shared" si="822"/>
        <v>2327.3000000000002</v>
      </c>
      <c r="E416" s="1349">
        <f t="shared" si="822"/>
        <v>2617.25</v>
      </c>
      <c r="F416" s="1349">
        <f t="shared" si="822"/>
        <v>2681.6499999999996</v>
      </c>
      <c r="G416" s="1349">
        <f t="shared" si="822"/>
        <v>2976.55</v>
      </c>
      <c r="H416" s="1042">
        <f t="shared" si="822"/>
        <v>3129.1499999999996</v>
      </c>
      <c r="I416" s="1042">
        <f t="shared" si="822"/>
        <v>3079.25</v>
      </c>
      <c r="J416" s="1042">
        <f t="shared" si="822"/>
        <v>3142.2999999999997</v>
      </c>
      <c r="K416" s="1042">
        <f t="shared" si="822"/>
        <v>3231.25</v>
      </c>
      <c r="L416" s="1349">
        <f>SUM(H416*H$3,I416*I$3,J416*J$3,K416*K$3)/L$3</f>
        <v>3145.7584931506854</v>
      </c>
      <c r="M416" s="1042">
        <f t="shared" si="823"/>
        <v>3331.80</v>
      </c>
      <c r="N416" s="1042">
        <f t="shared" si="823"/>
        <v>3331.45</v>
      </c>
      <c r="O416" s="1042">
        <f t="shared" si="823"/>
        <v>3289.30</v>
      </c>
      <c r="P416" s="1042">
        <f t="shared" si="823"/>
        <v>3346.30</v>
      </c>
      <c r="Q416" s="1349">
        <f>SUM(M416*M$3,N416*N$3,O416*O$3,P416*P$3)/Q$3</f>
        <v>3324.6552054794524</v>
      </c>
      <c r="R416" s="1042">
        <f t="shared" si="824"/>
        <v>3485.1499999999996</v>
      </c>
      <c r="S416" s="1042">
        <f t="shared" si="824"/>
        <v>3580.55</v>
      </c>
      <c r="T416" s="1042">
        <f t="shared" si="824"/>
        <v>3676</v>
      </c>
      <c r="U416" s="1042">
        <f t="shared" si="824"/>
        <v>3697</v>
      </c>
      <c r="V416" s="1349">
        <f>SUM(R416*R$3,S416*S$3,T416*T$3,U416*U$3)/V$3</f>
        <v>3610.0948087431693</v>
      </c>
      <c r="W416" s="1042">
        <f t="shared" si="825"/>
        <v>3726.8999999999996</v>
      </c>
      <c r="X416" s="1042">
        <f t="shared" si="825"/>
        <v>3824.25</v>
      </c>
      <c r="Y416" s="1042">
        <f t="shared" si="825"/>
        <v>3941.8999999999996</v>
      </c>
      <c r="Z416" s="1042">
        <f t="shared" si="825"/>
        <v>5146.2000000000007</v>
      </c>
      <c r="AA416" s="1349">
        <f>SUM(W416*W$3,X416*X$3,Y416*Y$3,Z416*Z$3)/AA$3</f>
        <v>4163.1039726027402</v>
      </c>
      <c r="AB416" s="1042">
        <f t="shared" si="826"/>
        <v>5024.1500000000005</v>
      </c>
      <c r="AC416" s="1042">
        <f t="shared" si="826"/>
        <v>3839.95</v>
      </c>
      <c r="AD416" s="1042">
        <f t="shared" si="826"/>
        <v>3899.50</v>
      </c>
      <c r="AE416" s="1042">
        <f t="shared" si="826"/>
        <v>3779.1000000000004</v>
      </c>
      <c r="AF416" s="1349">
        <f>SUM(AB416*AB$3,AC416*AC$3,AD416*AD$3,AE416*AE$3)/AF$3</f>
        <v>4131.616849315069</v>
      </c>
      <c r="AG416" s="1042">
        <f t="shared" si="827"/>
        <v>3882.95</v>
      </c>
      <c r="AH416" s="1042">
        <f t="shared" si="827"/>
        <v>4185.70</v>
      </c>
      <c r="AI416" s="1042">
        <f t="shared" si="827"/>
        <v>4279.55</v>
      </c>
      <c r="AJ416" s="1042">
        <f t="shared" si="827"/>
        <v>4319.4000000000005</v>
      </c>
      <c r="AK416" s="1349">
        <f>SUM(AG416*AG$3,AH416*AH$3,AI416*AI$3,AJ416*AJ$3)/AK$3</f>
        <v>4168.404383561644</v>
      </c>
      <c r="AL416" s="1042">
        <f t="shared" si="828"/>
        <v>3943.3500000000004</v>
      </c>
      <c r="AM416" s="1042">
        <f t="shared" si="828"/>
        <v>3946.25</v>
      </c>
      <c r="AN416" s="1042">
        <f t="shared" si="828"/>
        <v>4567</v>
      </c>
      <c r="AO416" s="1042">
        <f t="shared" si="828"/>
        <v>5141.95</v>
      </c>
      <c r="AP416" s="1349">
        <f>SUM(AL416*AL$3,AM416*AM$3,AN416*AN$3,AO416*AO$3)/AP$3</f>
        <v>4402.122950819672</v>
      </c>
      <c r="AQ416" s="1042">
        <f t="shared" si="829"/>
        <v>5783.2999999999993</v>
      </c>
      <c r="AR416" s="1042">
        <f t="shared" si="829"/>
        <v>6133.4499999999998</v>
      </c>
      <c r="AS416" s="1042">
        <f t="shared" si="829"/>
        <v>6177.10</v>
      </c>
      <c r="AT416" s="1042">
        <f t="shared" si="829"/>
        <v>6425.70</v>
      </c>
      <c r="AU416" s="1349">
        <f>SUM(AQ416*AQ$3,AR416*AR$3,AS416*AS$3,AT416*AT$3)/AU$3</f>
        <v>6131.7768493150679</v>
      </c>
      <c r="AV416" s="1042">
        <f t="shared" si="830"/>
        <v>6519.25</v>
      </c>
      <c r="AW416" s="1042">
        <f t="shared" si="830"/>
        <v>5242.6499999999996</v>
      </c>
      <c r="AX416" s="1042">
        <f t="shared" si="831"/>
        <v>4032.45</v>
      </c>
      <c r="AY416" s="1042">
        <f t="shared" si="831"/>
        <v>3977.20</v>
      </c>
      <c r="AZ416" s="1349">
        <f>SUM(AV416*AV$3,AW416*AW$3,AX416*AX$3,AY416*AY$3)/AZ$3</f>
        <v>4933.4286301369857</v>
      </c>
      <c r="BA416" s="1042">
        <f t="shared" si="832"/>
        <v>3953.90</v>
      </c>
      <c r="BB416" s="1042">
        <f t="shared" si="832"/>
        <v>3783.15</v>
      </c>
      <c r="BC416" s="1042">
        <f t="shared" si="833"/>
        <v>3588.30</v>
      </c>
      <c r="BD416" s="1042">
        <f t="shared" si="833"/>
        <v>3656.95</v>
      </c>
      <c r="BE416" s="1349">
        <f>SUM(BA416*BA$3,BB416*BB$3,BC416*BC$3,BD416*BD$3)/BE$3</f>
        <v>3744.3305479452051</v>
      </c>
      <c r="BF416" s="1042">
        <f t="shared" si="834"/>
        <v>3956.05</v>
      </c>
      <c r="BG416" s="1042">
        <f t="shared" si="834"/>
        <v>4107.7000000000007</v>
      </c>
      <c r="BH416" s="1043">
        <f>AVERAGE(BG412,BH412)</f>
        <v>4182.8999999999996</v>
      </c>
      <c r="BI416" s="1047">
        <f>AVERAGE(BH412,BI412)</f>
        <v>4222.7749999999996</v>
      </c>
      <c r="BJ416" s="1351">
        <f>SUM(BF416*BF$3,BG416*BG$3,BH416*BH$3,BI416*BI$3)/BJ$3</f>
        <v>4117.8233606557378</v>
      </c>
      <c r="BK416" s="1047">
        <f>AVERAGE(BJ412,BK412)</f>
        <v>4249.6149999999998</v>
      </c>
      <c r="BL416" s="1047">
        <f>AVERAGE(BK412,BL412)</f>
        <v>4313.0850000000009</v>
      </c>
      <c r="BM416" s="1047">
        <f>AVERAGE(BL412,BM412)</f>
        <v>4392.0450000000001</v>
      </c>
      <c r="BN416" s="1047">
        <f>AVERAGE(BM412,BN412)</f>
        <v>4433.9137499999997</v>
      </c>
      <c r="BO416" s="1351">
        <f>SUM(BK416*BK$3,BL416*BL$3,BM416*BM$3,BN416*BN$3)/BO$3</f>
        <v>4347.7925753424661</v>
      </c>
      <c r="BP416" s="1351">
        <f>AVERAGE(BO412,BP412)</f>
        <v>4534.8331875000003</v>
      </c>
      <c r="BQ416" s="1351">
        <f>AVERAGE(BP412,BQ412)</f>
        <v>4761.5748468749998</v>
      </c>
      <c r="BR416" s="1351">
        <f>AVERAGE(BQ412,BR412)</f>
        <v>4999.6535892187494</v>
      </c>
      <c r="BS416" s="648"/>
    </row>
    <row r="417" spans="1:71" s="676" customFormat="1" ht="15" hidden="1" outlineLevel="1">
      <c r="A417" s="513" t="s">
        <v>524</v>
      </c>
      <c r="B417" s="396"/>
      <c r="C417" s="1339"/>
      <c r="D417" s="1339"/>
      <c r="E417" s="1339">
        <f>E416/D416-1</f>
        <v>0.12458643062776598</v>
      </c>
      <c r="F417" s="1339">
        <f>F416/E416-1</f>
        <v>0.024605979558697033</v>
      </c>
      <c r="G417" s="1339">
        <f>G416/F416-1</f>
        <v>0.10996960826356927</v>
      </c>
      <c r="H417" s="381"/>
      <c r="I417" s="381"/>
      <c r="J417" s="381"/>
      <c r="K417" s="381"/>
      <c r="L417" s="1339">
        <f t="shared" si="835" ref="L417:AU417">L416/G416-1</f>
        <v>0.056847186558493856</v>
      </c>
      <c r="M417" s="381">
        <f t="shared" si="835"/>
        <v>0.064761996069220285</v>
      </c>
      <c r="N417" s="381">
        <f t="shared" si="835"/>
        <v>0.081903060810262218</v>
      </c>
      <c r="O417" s="381">
        <f t="shared" si="835"/>
        <v>0.046781020271775553</v>
      </c>
      <c r="P417" s="381">
        <f t="shared" si="835"/>
        <v>0.035605415860735068</v>
      </c>
      <c r="Q417" s="1339">
        <f t="shared" si="835"/>
        <v>0.056869182017081688</v>
      </c>
      <c r="R417" s="381">
        <f t="shared" si="835"/>
        <v>0.046026172039137947</v>
      </c>
      <c r="S417" s="381">
        <f t="shared" si="835"/>
        <v>0.074772246319170454</v>
      </c>
      <c r="T417" s="381">
        <f t="shared" si="835"/>
        <v>0.11756300732678682</v>
      </c>
      <c r="U417" s="381">
        <f t="shared" si="835"/>
        <v>0.10480231897917092</v>
      </c>
      <c r="V417" s="1339">
        <f t="shared" si="835"/>
        <v>0.085855400221134692</v>
      </c>
      <c r="W417" s="381">
        <f t="shared" si="835"/>
        <v>0.069365737486191348</v>
      </c>
      <c r="X417" s="381">
        <f t="shared" si="835"/>
        <v>0.068062169219812452</v>
      </c>
      <c r="Y417" s="381">
        <f t="shared" si="835"/>
        <v>0.072334058759521147</v>
      </c>
      <c r="Z417" s="381">
        <f t="shared" si="835"/>
        <v>0.39199350824993262</v>
      </c>
      <c r="AA417" s="1339">
        <f t="shared" si="835"/>
        <v>0.1531841109879597</v>
      </c>
      <c r="AB417" s="381">
        <f t="shared" si="835"/>
        <v>0.34807749067589722</v>
      </c>
      <c r="AC417" s="381">
        <f t="shared" si="835"/>
        <v>0.0041053801398966971</v>
      </c>
      <c r="AD417" s="381">
        <f t="shared" si="835"/>
        <v>-0.010756234303254675</v>
      </c>
      <c r="AE417" s="381">
        <f t="shared" si="835"/>
        <v>-0.26565232598810773</v>
      </c>
      <c r="AF417" s="1339">
        <f t="shared" si="835"/>
        <v>-0.0075633766283251802</v>
      </c>
      <c r="AG417" s="381">
        <f t="shared" si="835"/>
        <v>-0.22714289979399516</v>
      </c>
      <c r="AH417" s="381">
        <f t="shared" si="835"/>
        <v>0.090040234898892013</v>
      </c>
      <c r="AI417" s="381">
        <f t="shared" si="835"/>
        <v>0.097461212976022615</v>
      </c>
      <c r="AJ417" s="381">
        <f t="shared" si="835"/>
        <v>0.14297054854330393</v>
      </c>
      <c r="AK417" s="1339">
        <f t="shared" si="835"/>
        <v>0.0089039074987491418</v>
      </c>
      <c r="AL417" s="381">
        <f t="shared" si="835"/>
        <v>0.015555183558892294</v>
      </c>
      <c r="AM417" s="381">
        <f t="shared" si="835"/>
        <v>-0.057206679886279477</v>
      </c>
      <c r="AN417" s="381">
        <f t="shared" si="835"/>
        <v>0.067168277038473612</v>
      </c>
      <c r="AO417" s="381">
        <f t="shared" si="835"/>
        <v>0.19043154141778929</v>
      </c>
      <c r="AP417" s="1339">
        <f t="shared" si="835"/>
        <v>0.056069072420063426</v>
      </c>
      <c r="AQ417" s="381">
        <f t="shared" si="835"/>
        <v>0.46659566104961492</v>
      </c>
      <c r="AR417" s="381">
        <f t="shared" si="835"/>
        <v>0.55424770351599606</v>
      </c>
      <c r="AS417" s="381">
        <f t="shared" si="835"/>
        <v>0.35255090869279626</v>
      </c>
      <c r="AT417" s="381">
        <f t="shared" si="835"/>
        <v>0.2496620931747684</v>
      </c>
      <c r="AU417" s="1339">
        <f t="shared" si="835"/>
        <v>0.39291358233720741</v>
      </c>
      <c r="AV417" s="381">
        <f t="shared" si="836" ref="AV417:AZ417">AV416/AQ416-1</f>
        <v>0.12725433575986034</v>
      </c>
      <c r="AW417" s="381">
        <f t="shared" si="836"/>
        <v>-0.1452363677864823</v>
      </c>
      <c r="AX417" s="381">
        <f t="shared" si="836"/>
        <v>-0.34719366693108422</v>
      </c>
      <c r="AY417" s="381">
        <f t="shared" si="836"/>
        <v>-0.38104797920849087</v>
      </c>
      <c r="AZ417" s="1339">
        <f t="shared" si="836"/>
        <v>-0.19543245761005479</v>
      </c>
      <c r="BA417" s="381">
        <f t="shared" si="837" ref="BA417:BO417">BA416/AV416-1</f>
        <v>-0.39350385397093224</v>
      </c>
      <c r="BB417" s="381">
        <f t="shared" si="837"/>
        <v>-0.2783897456439014</v>
      </c>
      <c r="BC417" s="381">
        <f t="shared" si="837"/>
        <v>-0.11014395714763969</v>
      </c>
      <c r="BD417" s="381">
        <f t="shared" si="837"/>
        <v>-0.080521472392638072</v>
      </c>
      <c r="BE417" s="1339">
        <f t="shared" si="837"/>
        <v>-0.24102873910608558</v>
      </c>
      <c r="BF417" s="381">
        <f>BF416/BA416-1</f>
        <v>0.00054376691368007712</v>
      </c>
      <c r="BG417" s="381">
        <f>BG416/BB416-1</f>
        <v>0.08578829811136246</v>
      </c>
      <c r="BH417" s="813">
        <f>BH416/BC416-1</f>
        <v>0.16570520859459892</v>
      </c>
      <c r="BI417" s="909">
        <f t="shared" si="837"/>
        <v>0.15472593281286318</v>
      </c>
      <c r="BJ417" s="1340">
        <f t="shared" si="837"/>
        <v>0.099748889134666952</v>
      </c>
      <c r="BK417" s="909">
        <f t="shared" si="837"/>
        <v>0.074206594962146433</v>
      </c>
      <c r="BL417" s="909">
        <f t="shared" si="837"/>
        <v>0.050000000000000044</v>
      </c>
      <c r="BM417" s="909">
        <f t="shared" si="837"/>
        <v>0.050000000000000044</v>
      </c>
      <c r="BN417" s="909">
        <f t="shared" si="837"/>
        <v>0.050000000000000044</v>
      </c>
      <c r="BO417" s="1340">
        <f t="shared" si="837"/>
        <v>0.055847275258088525</v>
      </c>
      <c r="BP417" s="1339">
        <f>BP416/BO416-1</f>
        <v>0.043019672377724083</v>
      </c>
      <c r="BQ417" s="1339">
        <f>BQ416/BP416-1</f>
        <v>0.049999999999999822</v>
      </c>
      <c r="BR417" s="1340">
        <f>BR416/BQ416-1</f>
        <v>0.049999999999999822</v>
      </c>
      <c r="BS417" s="648"/>
    </row>
    <row r="418" spans="1:71" s="668" customFormat="1" ht="15" hidden="1" outlineLevel="1">
      <c r="A418" s="42" t="s">
        <v>403</v>
      </c>
      <c r="B418" s="389"/>
      <c r="C418" s="1355">
        <f>C412+C405</f>
        <v>14713.40</v>
      </c>
      <c r="D418" s="1355">
        <f t="shared" si="838" ref="D418:AU418">D412+D405</f>
        <v>15523.40</v>
      </c>
      <c r="E418" s="1355">
        <f t="shared" si="838"/>
        <v>15963</v>
      </c>
      <c r="F418" s="1355">
        <f t="shared" si="838"/>
        <v>16475.50</v>
      </c>
      <c r="G418" s="1355">
        <f t="shared" si="838"/>
        <v>18054.700000000001</v>
      </c>
      <c r="H418" s="1052">
        <f t="shared" si="838"/>
        <v>17395.699999999997</v>
      </c>
      <c r="I418" s="1052">
        <f t="shared" si="838"/>
        <v>18759.199999999997</v>
      </c>
      <c r="J418" s="1052">
        <f t="shared" si="838"/>
        <v>19083.20</v>
      </c>
      <c r="K418" s="1052">
        <f t="shared" si="838"/>
        <v>19018</v>
      </c>
      <c r="L418" s="1355">
        <f t="shared" si="838"/>
        <v>19018</v>
      </c>
      <c r="M418" s="1052">
        <f t="shared" si="838"/>
        <v>19830.600000000002</v>
      </c>
      <c r="N418" s="1052">
        <f t="shared" si="838"/>
        <v>20577.40</v>
      </c>
      <c r="O418" s="1052">
        <f t="shared" si="838"/>
        <v>21013.60</v>
      </c>
      <c r="P418" s="1052">
        <f t="shared" si="838"/>
        <v>20937.299999999996</v>
      </c>
      <c r="Q418" s="1355">
        <f t="shared" si="838"/>
        <v>20937.299999999996</v>
      </c>
      <c r="R418" s="1052">
        <f t="shared" si="838"/>
        <v>21330.500000000004</v>
      </c>
      <c r="S418" s="1052">
        <f t="shared" si="838"/>
        <v>22379.800000000003</v>
      </c>
      <c r="T418" s="1052">
        <f t="shared" si="838"/>
        <v>23521.199999999997</v>
      </c>
      <c r="U418" s="1052">
        <f t="shared" si="838"/>
        <v>23482.600000000002</v>
      </c>
      <c r="V418" s="1355">
        <f t="shared" si="838"/>
        <v>23482.600000000002</v>
      </c>
      <c r="W418" s="1052">
        <f t="shared" si="838"/>
        <v>24303</v>
      </c>
      <c r="X418" s="1052">
        <f t="shared" si="838"/>
        <v>25978.40</v>
      </c>
      <c r="Y418" s="1052">
        <f t="shared" si="838"/>
        <v>26994.699999999997</v>
      </c>
      <c r="Z418" s="1052">
        <f t="shared" si="838"/>
        <v>27274.700000000001</v>
      </c>
      <c r="AA418" s="1355">
        <f t="shared" si="838"/>
        <v>27274.700000000001</v>
      </c>
      <c r="AB418" s="1052">
        <f t="shared" si="838"/>
        <v>29251.60</v>
      </c>
      <c r="AC418" s="1052">
        <f t="shared" si="838"/>
        <v>30921.199999999997</v>
      </c>
      <c r="AD418" s="1052">
        <f t="shared" si="838"/>
        <v>32350.599999999999</v>
      </c>
      <c r="AE418" s="1052">
        <f t="shared" si="838"/>
        <v>33567.400000000001</v>
      </c>
      <c r="AF418" s="1355">
        <f t="shared" si="838"/>
        <v>33567.400000000001</v>
      </c>
      <c r="AG418" s="1052">
        <f t="shared" si="838"/>
        <v>34512.50</v>
      </c>
      <c r="AH418" s="1052">
        <f t="shared" si="838"/>
        <v>36814.600000000006</v>
      </c>
      <c r="AI418" s="1052">
        <f t="shared" si="838"/>
        <v>38573.700000000004</v>
      </c>
      <c r="AJ418" s="1052">
        <f t="shared" si="838"/>
        <v>39254.300000000003</v>
      </c>
      <c r="AK418" s="1355">
        <f t="shared" si="838"/>
        <v>39254.300000000003</v>
      </c>
      <c r="AL418" s="1052">
        <f t="shared" si="838"/>
        <v>40342.300000000003</v>
      </c>
      <c r="AM418" s="1052">
        <f t="shared" si="838"/>
        <v>43777.899999999994</v>
      </c>
      <c r="AN418" s="1052">
        <f t="shared" si="838"/>
        <v>45764.300000000003</v>
      </c>
      <c r="AO418" s="1052">
        <f t="shared" si="838"/>
        <v>47530.299999999996</v>
      </c>
      <c r="AP418" s="1355">
        <f t="shared" si="838"/>
        <v>47530.299999999996</v>
      </c>
      <c r="AQ418" s="1052">
        <f t="shared" si="838"/>
        <v>47400.599999999999</v>
      </c>
      <c r="AR418" s="1052">
        <f t="shared" si="838"/>
        <v>50942.799999999996</v>
      </c>
      <c r="AS418" s="1052">
        <f t="shared" si="838"/>
        <v>52287.399999999994</v>
      </c>
      <c r="AT418" s="1052">
        <f t="shared" si="838"/>
        <v>51514.099999999999</v>
      </c>
      <c r="AU418" s="1355">
        <f t="shared" si="838"/>
        <v>51514.099999999999</v>
      </c>
      <c r="AV418" s="1052">
        <f t="shared" si="839" ref="AV418:AZ418">AV412+AV405</f>
        <v>53186.40</v>
      </c>
      <c r="AW418" s="1052">
        <f t="shared" si="839"/>
        <v>51929.50</v>
      </c>
      <c r="AX418" s="1052">
        <f t="shared" si="839"/>
        <v>52330.399999999994</v>
      </c>
      <c r="AY418" s="1052">
        <f t="shared" si="839"/>
        <v>53548.299999999996</v>
      </c>
      <c r="AZ418" s="1355">
        <f t="shared" si="839"/>
        <v>53548.299999999996</v>
      </c>
      <c r="BA418" s="1052">
        <f t="shared" si="840" ref="BA418:BR418">BA412+BA405</f>
        <v>56686.399999999994</v>
      </c>
      <c r="BB418" s="1052">
        <f t="shared" si="840"/>
        <v>59265.599999999991</v>
      </c>
      <c r="BC418" s="1052">
        <f t="shared" si="840"/>
        <v>61870.500000000007</v>
      </c>
      <c r="BD418" s="1052">
        <f t="shared" si="840"/>
        <v>65998.600000000006</v>
      </c>
      <c r="BE418" s="1355">
        <f t="shared" si="840"/>
        <v>65998.600000000006</v>
      </c>
      <c r="BF418" s="1052">
        <f>BF412+BF405</f>
        <v>69038</v>
      </c>
      <c r="BG418" s="1052">
        <f>BG412+BG405</f>
        <v>72355.50</v>
      </c>
      <c r="BH418" s="1053">
        <f>BH412+BH405</f>
        <v>79399.699999999997</v>
      </c>
      <c r="BI418" s="1054">
        <f t="shared" si="840"/>
        <v>72508.965000000011</v>
      </c>
      <c r="BJ418" s="1356">
        <f t="shared" si="840"/>
        <v>72508.965000000011</v>
      </c>
      <c r="BK418" s="1054">
        <f t="shared" si="840"/>
        <v>72489.899999999994</v>
      </c>
      <c r="BL418" s="1054">
        <f t="shared" si="840"/>
        <v>75973.275000000023</v>
      </c>
      <c r="BM418" s="1054">
        <f t="shared" si="840"/>
        <v>83369.684999999998</v>
      </c>
      <c r="BN418" s="1054">
        <f t="shared" si="840"/>
        <v>76134.413249999998</v>
      </c>
      <c r="BO418" s="1356">
        <f t="shared" si="840"/>
        <v>76134.413249999998</v>
      </c>
      <c r="BP418" s="1356">
        <f t="shared" si="840"/>
        <v>79941.133912500023</v>
      </c>
      <c r="BQ418" s="1356">
        <f t="shared" si="840"/>
        <v>83938.190608125005</v>
      </c>
      <c r="BR418" s="1356">
        <f t="shared" si="840"/>
        <v>88135.10013853127</v>
      </c>
      <c r="BS418" s="648"/>
    </row>
    <row r="419" spans="1:71" s="676" customFormat="1" ht="15" hidden="1" outlineLevel="1">
      <c r="A419" s="925" t="s">
        <v>525</v>
      </c>
      <c r="B419" s="396"/>
      <c r="C419" s="1339"/>
      <c r="D419" s="1352">
        <f>D418/C418-1</f>
        <v>0.055051857490450828</v>
      </c>
      <c r="E419" s="1352">
        <f>E418/D418-1</f>
        <v>0.028318538464511711</v>
      </c>
      <c r="F419" s="1352">
        <f>F418/E418-1</f>
        <v>0.03210549395477047</v>
      </c>
      <c r="G419" s="1352">
        <f>G418/F418-1</f>
        <v>0.095851415738520851</v>
      </c>
      <c r="H419" s="381"/>
      <c r="I419" s="381"/>
      <c r="J419" s="381"/>
      <c r="K419" s="381"/>
      <c r="L419" s="1352">
        <f t="shared" si="841" ref="L419:AU419">L418/G418-1</f>
        <v>0.053354528183797045</v>
      </c>
      <c r="M419" s="197">
        <f t="shared" si="841"/>
        <v>0.13997137223566769</v>
      </c>
      <c r="N419" s="197">
        <f t="shared" si="841"/>
        <v>0.09692310972749385</v>
      </c>
      <c r="O419" s="197">
        <f t="shared" si="841"/>
        <v>0.10115703865179837</v>
      </c>
      <c r="P419" s="197">
        <f t="shared" si="841"/>
        <v>0.10092018088127008</v>
      </c>
      <c r="Q419" s="1352">
        <f t="shared" si="841"/>
        <v>0.10092018088127008</v>
      </c>
      <c r="R419" s="197">
        <f t="shared" si="841"/>
        <v>0.075635633818442294</v>
      </c>
      <c r="S419" s="197">
        <f t="shared" si="841"/>
        <v>0.087591240875912524</v>
      </c>
      <c r="T419" s="197">
        <f t="shared" si="841"/>
        <v>0.11933224197662451</v>
      </c>
      <c r="U419" s="197">
        <f t="shared" si="841"/>
        <v>0.12156772840815222</v>
      </c>
      <c r="V419" s="1352">
        <f t="shared" si="841"/>
        <v>0.12156772840815222</v>
      </c>
      <c r="W419" s="197">
        <f t="shared" si="841"/>
        <v>0.13935444551229437</v>
      </c>
      <c r="X419" s="197">
        <f t="shared" si="841"/>
        <v>0.16079678996237678</v>
      </c>
      <c r="Y419" s="197">
        <f t="shared" si="841"/>
        <v>0.14767528867574775</v>
      </c>
      <c r="Z419" s="197">
        <f t="shared" si="841"/>
        <v>0.16148552545288841</v>
      </c>
      <c r="AA419" s="1352">
        <f t="shared" si="841"/>
        <v>0.16148552545288841</v>
      </c>
      <c r="AB419" s="197">
        <f t="shared" si="841"/>
        <v>0.20362095214582565</v>
      </c>
      <c r="AC419" s="197">
        <f t="shared" si="841"/>
        <v>0.19026575924614275</v>
      </c>
      <c r="AD419" s="197">
        <f t="shared" si="841"/>
        <v>0.198405612953654</v>
      </c>
      <c r="AE419" s="197">
        <f t="shared" si="841"/>
        <v>0.23071564490168539</v>
      </c>
      <c r="AF419" s="1352">
        <f t="shared" si="841"/>
        <v>0.23071564490168539</v>
      </c>
      <c r="AG419" s="197">
        <f t="shared" si="841"/>
        <v>0.17984999111159716</v>
      </c>
      <c r="AH419" s="197">
        <f t="shared" si="841"/>
        <v>0.19059415546615299</v>
      </c>
      <c r="AI419" s="197">
        <f t="shared" si="841"/>
        <v>0.19236428381544712</v>
      </c>
      <c r="AJ419" s="197">
        <f t="shared" si="841"/>
        <v>0.16941735135875891</v>
      </c>
      <c r="AK419" s="1352">
        <f t="shared" si="841"/>
        <v>0.16941735135875891</v>
      </c>
      <c r="AL419" s="197">
        <f t="shared" si="841"/>
        <v>0.16891850778703388</v>
      </c>
      <c r="AM419" s="197">
        <f t="shared" si="841"/>
        <v>0.18914506744606729</v>
      </c>
      <c r="AN419" s="197">
        <f t="shared" si="841"/>
        <v>0.18641198536826908</v>
      </c>
      <c r="AO419" s="197">
        <f t="shared" si="841"/>
        <v>0.21083040584088852</v>
      </c>
      <c r="AP419" s="1352">
        <f t="shared" si="841"/>
        <v>0.21083040584088852</v>
      </c>
      <c r="AQ419" s="197">
        <f t="shared" si="841"/>
        <v>0.17496027742592757</v>
      </c>
      <c r="AR419" s="197">
        <f t="shared" si="841"/>
        <v>0.16366477149429293</v>
      </c>
      <c r="AS419" s="197">
        <f t="shared" si="841"/>
        <v>0.14253686825757184</v>
      </c>
      <c r="AT419" s="197">
        <f t="shared" si="841"/>
        <v>0.083816007893911859</v>
      </c>
      <c r="AU419" s="1352">
        <f t="shared" si="841"/>
        <v>0.083816007893911859</v>
      </c>
      <c r="AV419" s="197">
        <f t="shared" si="842" ref="AV419:AZ419">AV418/AQ418-1</f>
        <v>0.12206174605384756</v>
      </c>
      <c r="AW419" s="197">
        <f t="shared" si="842"/>
        <v>0.01936878224204408</v>
      </c>
      <c r="AX419" s="197">
        <f t="shared" si="842"/>
        <v>0.00082237785776295702</v>
      </c>
      <c r="AY419" s="197">
        <f t="shared" si="842"/>
        <v>0.03948821778891598</v>
      </c>
      <c r="AZ419" s="1352">
        <f t="shared" si="842"/>
        <v>0.03948821778891598</v>
      </c>
      <c r="BA419" s="197">
        <f t="shared" si="843" ref="BA419:BO419">BA418/AV418-1</f>
        <v>0.065806296346434312</v>
      </c>
      <c r="BB419" s="197">
        <f t="shared" si="843"/>
        <v>0.14127037618309424</v>
      </c>
      <c r="BC419" s="197">
        <f t="shared" si="843"/>
        <v>0.18230512283491085</v>
      </c>
      <c r="BD419" s="197">
        <f t="shared" si="843"/>
        <v>0.23250598058201688</v>
      </c>
      <c r="BE419" s="1352">
        <f t="shared" si="843"/>
        <v>0.23250598058201688</v>
      </c>
      <c r="BF419" s="197">
        <f>BF418/BA418-1</f>
        <v>0.2178935335459653</v>
      </c>
      <c r="BG419" s="197">
        <f>BG418/BB418-1</f>
        <v>0.22086842957803543</v>
      </c>
      <c r="BH419" s="815">
        <f>BH418/BC418-1</f>
        <v>0.28332080716981412</v>
      </c>
      <c r="BI419" s="909">
        <f t="shared" si="843"/>
        <v>0.098643986387590088</v>
      </c>
      <c r="BJ419" s="1340">
        <f t="shared" si="843"/>
        <v>0.098643986387590088</v>
      </c>
      <c r="BK419" s="909">
        <f t="shared" si="843"/>
        <v>0.049999999999999822</v>
      </c>
      <c r="BL419" s="909">
        <f t="shared" si="843"/>
        <v>0.050000000000000266</v>
      </c>
      <c r="BM419" s="909">
        <f t="shared" si="843"/>
        <v>0.050000000000000044</v>
      </c>
      <c r="BN419" s="909">
        <f t="shared" si="843"/>
        <v>0.049999999999999822</v>
      </c>
      <c r="BO419" s="1340">
        <f t="shared" si="843"/>
        <v>0.049999999999999822</v>
      </c>
      <c r="BP419" s="1339">
        <f>BP418/BO418-1</f>
        <v>0.050000000000000266</v>
      </c>
      <c r="BQ419" s="1339">
        <f>BQ418/BP418-1</f>
        <v>0.049999999999999822</v>
      </c>
      <c r="BR419" s="1340">
        <f>BR418/BQ418-1</f>
        <v>0.050000000000000266</v>
      </c>
      <c r="BS419" s="648"/>
    </row>
    <row r="420" spans="1:71" s="668" customFormat="1" ht="15" hidden="1" outlineLevel="1">
      <c r="A420" s="25" t="s">
        <v>413</v>
      </c>
      <c r="B420" s="394"/>
      <c r="C420" s="1322">
        <f t="shared" si="844" ref="C420">C407+C416</f>
        <v>0</v>
      </c>
      <c r="D420" s="1320">
        <f t="shared" si="845" ref="D420">AVERAGE(C418,D418)</f>
        <v>15118.40</v>
      </c>
      <c r="E420" s="1320">
        <f t="shared" si="846" ref="E420">AVERAGE(D418,E418)</f>
        <v>15743.20</v>
      </c>
      <c r="F420" s="1320">
        <f t="shared" si="847" ref="F420">AVERAGE(E418,F418)</f>
        <v>16219.25</v>
      </c>
      <c r="G420" s="1320">
        <f t="shared" si="848" ref="G420">AVERAGE(F418,G418)</f>
        <v>17265.099999999999</v>
      </c>
      <c r="H420" s="1021">
        <f t="shared" si="849" ref="H420">AVERAGE(G418,H418)</f>
        <v>17725.199999999997</v>
      </c>
      <c r="I420" s="1021">
        <f t="shared" si="850" ref="I420">AVERAGE(H418,I418)</f>
        <v>18077.449999999997</v>
      </c>
      <c r="J420" s="1021">
        <f t="shared" si="851" ref="J420">AVERAGE(I418,J418)</f>
        <v>18921.199999999997</v>
      </c>
      <c r="K420" s="1021">
        <f t="shared" si="852" ref="K420">AVERAGE(J418,K418)</f>
        <v>19050.60</v>
      </c>
      <c r="L420" s="1320">
        <f>SUM(H420*H$3,I420*I$3,J420*J$3,K420*K$3)/L$3</f>
        <v>18448.552191780818</v>
      </c>
      <c r="M420" s="1021">
        <f>AVERAGE(L418,M418)</f>
        <v>19424.300000000003</v>
      </c>
      <c r="N420" s="1021">
        <f>AVERAGE(M418,N418)</f>
        <v>20204</v>
      </c>
      <c r="O420" s="1021">
        <f>AVERAGE(N418,O418)</f>
        <v>20795.50</v>
      </c>
      <c r="P420" s="1021">
        <f>AVERAGE(O418,P418)</f>
        <v>20975.449999999997</v>
      </c>
      <c r="Q420" s="1320">
        <f>SUM(M420*M$3,N420*N$3,O420*O$3,P420*P$3)/Q$3</f>
        <v>20355.283287671231</v>
      </c>
      <c r="R420" s="1021">
        <f>AVERAGE(Q418,R418)</f>
        <v>21133.900000000001</v>
      </c>
      <c r="S420" s="1021">
        <f>AVERAGE(R418,S418)</f>
        <v>21855.150000000001</v>
      </c>
      <c r="T420" s="1021">
        <f>AVERAGE(S418,T418)</f>
        <v>22950.50</v>
      </c>
      <c r="U420" s="1021">
        <f>AVERAGE(T418,U418)</f>
        <v>23501.900000000001</v>
      </c>
      <c r="V420" s="1320">
        <f>SUM(R420*R$3,S420*S$3,T420*T$3,U420*U$3)/V$3</f>
        <v>22365.09385245902</v>
      </c>
      <c r="W420" s="1021">
        <f>AVERAGE(V418,W418)</f>
        <v>23892.800000000003</v>
      </c>
      <c r="X420" s="1021">
        <f>AVERAGE(W418,X418)</f>
        <v>25140.700000000001</v>
      </c>
      <c r="Y420" s="1021">
        <f>AVERAGE(X418,Y418)</f>
        <v>26486.549999999999</v>
      </c>
      <c r="Z420" s="1021">
        <f>AVERAGE(Y418,Z418)</f>
        <v>27134.699999999997</v>
      </c>
      <c r="AA420" s="1320">
        <f>SUM(W420*W$3,X420*X$3,Y420*Y$3,Z420*Z$3)/AA$3</f>
        <v>25674.82383561644</v>
      </c>
      <c r="AB420" s="1021">
        <f>AVERAGE(AA418,AB418)</f>
        <v>28263.150000000001</v>
      </c>
      <c r="AC420" s="1021">
        <f>AVERAGE(AB418,AC418)</f>
        <v>30086.40</v>
      </c>
      <c r="AD420" s="1021">
        <f>AVERAGE(AC418,AD418)</f>
        <v>31635.899999999998</v>
      </c>
      <c r="AE420" s="1021">
        <f>AVERAGE(AD418,AE418)</f>
        <v>32959</v>
      </c>
      <c r="AF420" s="1320">
        <f>SUM(AB420*AB$3,AC420*AC$3,AD420*AD$3,AE420*AE$3)/AF$3</f>
        <v>30751.443013698627</v>
      </c>
      <c r="AG420" s="1021">
        <f>AVERAGE(AF418,AG418)</f>
        <v>34039.949999999997</v>
      </c>
      <c r="AH420" s="1021">
        <f>AVERAGE(AG418,AH418)</f>
        <v>35663.550000000003</v>
      </c>
      <c r="AI420" s="1021">
        <f>AVERAGE(AH418,AI418)</f>
        <v>37694.150000000009</v>
      </c>
      <c r="AJ420" s="1021">
        <f>AVERAGE(AI418,AJ418)</f>
        <v>38914</v>
      </c>
      <c r="AK420" s="1320">
        <f>SUM(AG420*AG$3,AH420*AH$3,AI420*AI$3,AJ420*AJ$3)/AK$3</f>
        <v>36594.32424657535</v>
      </c>
      <c r="AL420" s="1021">
        <f>AVERAGE(AK418,AL418)</f>
        <v>39798.300000000003</v>
      </c>
      <c r="AM420" s="1021">
        <f>AVERAGE(AL418,AM418)</f>
        <v>42060.099999999999</v>
      </c>
      <c r="AN420" s="1021">
        <f>AVERAGE(AM418,AN418)</f>
        <v>44771.099999999999</v>
      </c>
      <c r="AO420" s="1021">
        <f>AVERAGE(AN418,AO418)</f>
        <v>46647.300000000003</v>
      </c>
      <c r="AP420" s="1320">
        <f>SUM(AL420*AL$3,AM420*AM$3,AN420*AN$3,AO420*AO$3)/AP$3</f>
        <v>43332.260109289615</v>
      </c>
      <c r="AQ420" s="1021">
        <f>AVERAGE(AP418,AQ418)</f>
        <v>47465.449999999997</v>
      </c>
      <c r="AR420" s="1021">
        <f>AVERAGE(AQ418,AR418)</f>
        <v>49171.699999999997</v>
      </c>
      <c r="AS420" s="1021">
        <f>AVERAGE(AR418,AS418)</f>
        <v>51615.099999999991</v>
      </c>
      <c r="AT420" s="1021">
        <f>AVERAGE(AS418,AT418)</f>
        <v>51900.75</v>
      </c>
      <c r="AU420" s="1320">
        <f>SUM(AQ420*AQ$3,AR420*AR$3,AS420*AS$3,AT420*AT$3)/AU$3</f>
        <v>50054.721643835612</v>
      </c>
      <c r="AV420" s="1021">
        <f>AVERAGE(AU418,AV418)</f>
        <v>52350.25</v>
      </c>
      <c r="AW420" s="1021">
        <f>AVERAGE(AV418,AW418)</f>
        <v>52557.949999999997</v>
      </c>
      <c r="AX420" s="1021">
        <f>AVERAGE(AW418,AX418)</f>
        <v>52129.949999999997</v>
      </c>
      <c r="AY420" s="1021">
        <f>AVERAGE(AX418,AY418)</f>
        <v>52939.349999999991</v>
      </c>
      <c r="AZ420" s="1320">
        <f>SUM(AV420*AV$3,AW420*AW$3,AX420*AX$3,AY420*AY$3)/AZ$3</f>
        <v>52494.990547945199</v>
      </c>
      <c r="BA420" s="1021">
        <f>AVERAGE(AZ418,BA418)</f>
        <v>55117.349999999991</v>
      </c>
      <c r="BB420" s="1021">
        <f>AVERAGE(BA418,BB418)</f>
        <v>57975.999999999993</v>
      </c>
      <c r="BC420" s="1021">
        <f>AVERAGE(BB418,BC418)</f>
        <v>60568.050000000003</v>
      </c>
      <c r="BD420" s="1021">
        <f>AVERAGE(BC418,BD418)</f>
        <v>63934.550000000003</v>
      </c>
      <c r="BE420" s="1320">
        <f>SUM(BA420*BA$3,BB420*BB$3,BC420*BC$3,BD420*BD$3)/BE$3</f>
        <v>59426.347123287669</v>
      </c>
      <c r="BF420" s="1021">
        <f>AVERAGE(BE418,BF418)</f>
        <v>67518.300000000003</v>
      </c>
      <c r="BG420" s="1021">
        <f>AVERAGE(BF418,BG418)</f>
        <v>70696.75</v>
      </c>
      <c r="BH420" s="1022">
        <f>AVERAGE(BG418,BH418)</f>
        <v>75877.600000000006</v>
      </c>
      <c r="BI420" s="1023">
        <f>AVERAGE(BH418,BI418)</f>
        <v>75954.332500000004</v>
      </c>
      <c r="BJ420" s="1321">
        <f>SUM(BF420*BF$3,BG420*BG$3,BH420*BH$3,BI420*BI$3)/BJ$3</f>
        <v>72530.347923497262</v>
      </c>
      <c r="BK420" s="1023">
        <f>AVERAGE(BJ418,BK418)</f>
        <v>72499.432499999995</v>
      </c>
      <c r="BL420" s="1023">
        <f>AVERAGE(BK418,BL418)</f>
        <v>74231.587500000009</v>
      </c>
      <c r="BM420" s="1023">
        <f>AVERAGE(BL418,BM418)</f>
        <v>79671.48000000001</v>
      </c>
      <c r="BN420" s="1023">
        <f>AVERAGE(BM418,BN418)</f>
        <v>79752.04912499999</v>
      </c>
      <c r="BO420" s="1321">
        <f>SUM(BK420*BK$3,BL420*BL$3,BM420*BM$3,BN420*BN$3)/BO$3</f>
        <v>76567.090594520545</v>
      </c>
      <c r="BP420" s="1322">
        <f>AVERAGE(BO418,BP418)</f>
        <v>78037.773581250018</v>
      </c>
      <c r="BQ420" s="1322">
        <f>AVERAGE(BP418,BQ418)</f>
        <v>81939.662260312514</v>
      </c>
      <c r="BR420" s="1321">
        <f>AVERAGE(BQ418,BR418)</f>
        <v>86036.645373328138</v>
      </c>
      <c r="BS420" s="648"/>
    </row>
    <row r="421" spans="1:71" s="669" customFormat="1" ht="15" hidden="1" outlineLevel="1">
      <c r="A421" s="107" t="s">
        <v>526</v>
      </c>
      <c r="B421" s="50"/>
      <c r="C421" s="1333"/>
      <c r="D421" s="1333"/>
      <c r="E421" s="1333">
        <f>E420/D420-1</f>
        <v>0.041327124563445894</v>
      </c>
      <c r="F421" s="1333">
        <f>F420/E420-1</f>
        <v>0.030238452157121731</v>
      </c>
      <c r="G421" s="1333">
        <f>G420/F420-1</f>
        <v>0.064482019822124759</v>
      </c>
      <c r="H421" s="201"/>
      <c r="I421" s="201"/>
      <c r="J421" s="201"/>
      <c r="K421" s="201"/>
      <c r="L421" s="1333">
        <f t="shared" si="853" ref="L421:AN421">L420/G420-1</f>
        <v>0.068545921644289409</v>
      </c>
      <c r="M421" s="201">
        <f t="shared" si="853"/>
        <v>0.095857874664320164</v>
      </c>
      <c r="N421" s="201">
        <f t="shared" si="853"/>
        <v>0.11763550722032168</v>
      </c>
      <c r="O421" s="201">
        <f t="shared" si="853"/>
        <v>0.099058199268545533</v>
      </c>
      <c r="P421" s="201">
        <f t="shared" si="853"/>
        <v>0.10103881242585522</v>
      </c>
      <c r="Q421" s="1333">
        <f t="shared" si="853"/>
        <v>0.10335396924751072</v>
      </c>
      <c r="R421" s="201">
        <f t="shared" si="853"/>
        <v>0.088013467666788525</v>
      </c>
      <c r="S421" s="201">
        <f t="shared" si="853"/>
        <v>0.081723916056226642</v>
      </c>
      <c r="T421" s="201">
        <f t="shared" si="853"/>
        <v>0.10362818879084412</v>
      </c>
      <c r="U421" s="201">
        <f t="shared" si="853"/>
        <v>0.12044795224893878</v>
      </c>
      <c r="V421" s="1333">
        <f t="shared" si="853"/>
        <v>0.098736555830941874</v>
      </c>
      <c r="W421" s="201">
        <f t="shared" si="853"/>
        <v>0.13054381822569439</v>
      </c>
      <c r="X421" s="201">
        <f t="shared" si="853"/>
        <v>0.15033298787699922</v>
      </c>
      <c r="Y421" s="201">
        <f t="shared" si="853"/>
        <v>0.15407289601533725</v>
      </c>
      <c r="Z421" s="201">
        <f t="shared" si="853"/>
        <v>0.15457473651066489</v>
      </c>
      <c r="AA421" s="1333">
        <f t="shared" si="853"/>
        <v>0.1479864115479006</v>
      </c>
      <c r="AB421" s="201">
        <f t="shared" si="853"/>
        <v>0.18291493671733727</v>
      </c>
      <c r="AC421" s="201">
        <f t="shared" si="853"/>
        <v>0.19672085502790293</v>
      </c>
      <c r="AD421" s="201">
        <f t="shared" si="853"/>
        <v>0.19441376849759595</v>
      </c>
      <c r="AE421" s="201">
        <f t="shared" si="853"/>
        <v>0.214643979848681</v>
      </c>
      <c r="AF421" s="1333">
        <f t="shared" si="853"/>
        <v>0.19772751745388173</v>
      </c>
      <c r="AG421" s="201">
        <f t="shared" si="853"/>
        <v>0.20439335318250063</v>
      </c>
      <c r="AH421" s="201">
        <f t="shared" si="853"/>
        <v>0.1853711311423103</v>
      </c>
      <c r="AI421" s="201">
        <f t="shared" si="853"/>
        <v>0.19149921449998297</v>
      </c>
      <c r="AJ421" s="201">
        <f t="shared" si="853"/>
        <v>0.18067902545586945</v>
      </c>
      <c r="AK421" s="1333">
        <f t="shared" si="853"/>
        <v>0.19000348147155033</v>
      </c>
      <c r="AL421" s="201">
        <f t="shared" si="853"/>
        <v>0.16916446704533961</v>
      </c>
      <c r="AM421" s="201">
        <f t="shared" si="853"/>
        <v>0.17935819625359772</v>
      </c>
      <c r="AN421" s="201">
        <f t="shared" si="853"/>
        <v>0.18774663973056804</v>
      </c>
      <c r="AO421" s="201">
        <f t="shared" si="854" ref="AO421:AU421">AO420/AJ420-1</f>
        <v>0.19872796422881223</v>
      </c>
      <c r="AP421" s="1333">
        <f t="shared" si="854"/>
        <v>0.18412516152268688</v>
      </c>
      <c r="AQ421" s="201">
        <f t="shared" si="854"/>
        <v>0.19265018857589378</v>
      </c>
      <c r="AR421" s="201">
        <f t="shared" si="854"/>
        <v>0.16908186143161807</v>
      </c>
      <c r="AS421" s="201">
        <f t="shared" si="854"/>
        <v>0.1528664696645825</v>
      </c>
      <c r="AT421" s="201">
        <f t="shared" si="854"/>
        <v>0.11262066614787991</v>
      </c>
      <c r="AU421" s="1333">
        <f t="shared" si="854"/>
        <v>0.15513756996729633</v>
      </c>
      <c r="AV421" s="201">
        <f t="shared" si="855" ref="AV421:AZ421">AV420/AQ420-1</f>
        <v>0.10291275022147706</v>
      </c>
      <c r="AW421" s="201">
        <f t="shared" si="855"/>
        <v>0.068865831362348695</v>
      </c>
      <c r="AX421" s="201">
        <f t="shared" si="855"/>
        <v>0.0099747941978221011</v>
      </c>
      <c r="AY421" s="201">
        <f t="shared" si="855"/>
        <v>0.020011271513417306</v>
      </c>
      <c r="AZ421" s="1333">
        <f t="shared" si="855"/>
        <v>0.048752022266217443</v>
      </c>
      <c r="BA421" s="201">
        <f t="shared" si="856" ref="BA421:BO421">BA420/AV420-1</f>
        <v>0.052857436210906217</v>
      </c>
      <c r="BB421" s="201">
        <f t="shared" si="856"/>
        <v>0.10308716378778082</v>
      </c>
      <c r="BC421" s="201">
        <f t="shared" si="856"/>
        <v>0.16186664287995689</v>
      </c>
      <c r="BD421" s="201">
        <f t="shared" si="856"/>
        <v>0.20769427656365291</v>
      </c>
      <c r="BE421" s="1333">
        <f t="shared" si="856"/>
        <v>0.13203843839179008</v>
      </c>
      <c r="BF421" s="201">
        <f>BF420/BA420-1</f>
        <v>0.22499176756502282</v>
      </c>
      <c r="BG421" s="201">
        <f>BG420/BB420-1</f>
        <v>0.21941406789016149</v>
      </c>
      <c r="BH421" s="824">
        <f>BH420/BC420-1</f>
        <v>0.25276610358101337</v>
      </c>
      <c r="BI421" s="488">
        <f t="shared" si="856"/>
        <v>0.18800136233069598</v>
      </c>
      <c r="BJ421" s="1332">
        <f t="shared" si="856"/>
        <v>0.22050826669563994</v>
      </c>
      <c r="BK421" s="488">
        <f t="shared" si="856"/>
        <v>0.073774554454125729</v>
      </c>
      <c r="BL421" s="488">
        <f t="shared" si="856"/>
        <v>0.050000000000000044</v>
      </c>
      <c r="BM421" s="488">
        <f t="shared" si="856"/>
        <v>0.050000000000000044</v>
      </c>
      <c r="BN421" s="488">
        <f t="shared" si="856"/>
        <v>0.049999999999999822</v>
      </c>
      <c r="BO421" s="1332">
        <f t="shared" si="856"/>
        <v>0.055655912133237173</v>
      </c>
      <c r="BP421" s="1333">
        <f>BP420/BO420-1</f>
        <v>0.019207768968496186</v>
      </c>
      <c r="BQ421" s="1333">
        <f>BQ420/BP420-1</f>
        <v>0.050000000000000044</v>
      </c>
      <c r="BR421" s="1332">
        <f>BR420/BQ420-1</f>
        <v>0.050000000000000044</v>
      </c>
      <c r="BS421" s="648"/>
    </row>
    <row r="422" spans="1:71" s="665" customFormat="1" ht="15" hidden="1" outlineLevel="1">
      <c r="A422" s="999"/>
      <c r="B422" s="308"/>
      <c r="C422" s="1351"/>
      <c r="D422" s="1351"/>
      <c r="E422" s="1351"/>
      <c r="F422" s="1351"/>
      <c r="G422" s="1351"/>
      <c r="H422" s="1047"/>
      <c r="I422" s="1047"/>
      <c r="J422" s="1047"/>
      <c r="K422" s="1047"/>
      <c r="L422" s="1351"/>
      <c r="M422" s="1047"/>
      <c r="N422" s="1047"/>
      <c r="O422" s="1047"/>
      <c r="P422" s="1047"/>
      <c r="Q422" s="1351"/>
      <c r="R422" s="1047"/>
      <c r="S422" s="1047"/>
      <c r="T422" s="1047"/>
      <c r="U422" s="1047"/>
      <c r="V422" s="1351"/>
      <c r="W422" s="1047"/>
      <c r="X422" s="1047"/>
      <c r="Y422" s="1047"/>
      <c r="Z422" s="1047"/>
      <c r="AA422" s="1351"/>
      <c r="AB422" s="1047"/>
      <c r="AC422" s="1047"/>
      <c r="AD422" s="1047"/>
      <c r="AE422" s="1047"/>
      <c r="AF422" s="1351"/>
      <c r="AG422" s="1047"/>
      <c r="AH422" s="1047"/>
      <c r="AI422" s="1047"/>
      <c r="AJ422" s="1047"/>
      <c r="AK422" s="1351"/>
      <c r="AL422" s="1047"/>
      <c r="AM422" s="1047"/>
      <c r="AN422" s="1047"/>
      <c r="AO422" s="1047"/>
      <c r="AP422" s="1351"/>
      <c r="AQ422" s="1047"/>
      <c r="AR422" s="1047"/>
      <c r="AS422" s="1047"/>
      <c r="AT422" s="1047"/>
      <c r="AU422" s="1351"/>
      <c r="AV422" s="1047"/>
      <c r="AW422" s="1047"/>
      <c r="AX422" s="1047"/>
      <c r="AY422" s="1047"/>
      <c r="AZ422" s="1351"/>
      <c r="BA422" s="1047"/>
      <c r="BB422" s="1047"/>
      <c r="BC422" s="1047"/>
      <c r="BD422" s="1047"/>
      <c r="BE422" s="1351"/>
      <c r="BF422" s="1047"/>
      <c r="BG422" s="1047"/>
      <c r="BH422" s="1048"/>
      <c r="BI422" s="1044"/>
      <c r="BJ422" s="1350"/>
      <c r="BK422" s="1044"/>
      <c r="BL422" s="1044"/>
      <c r="BM422" s="1044"/>
      <c r="BN422" s="1044"/>
      <c r="BO422" s="1350"/>
      <c r="BP422" s="1351"/>
      <c r="BQ422" s="1351"/>
      <c r="BR422" s="1350"/>
      <c r="BS422" s="648"/>
    </row>
    <row r="423" spans="1:71" s="681" customFormat="1" ht="15" hidden="1" outlineLevel="2">
      <c r="A423" s="355" t="s">
        <v>398</v>
      </c>
      <c r="B423" s="402"/>
      <c r="C423" s="1404"/>
      <c r="D423" s="1405">
        <f t="shared" si="857" ref="D423:G424">D442/D388</f>
        <v>0.020049379039962283</v>
      </c>
      <c r="E423" s="1405">
        <f t="shared" si="857"/>
        <v>0.018692793605775429</v>
      </c>
      <c r="F423" s="1405">
        <f t="shared" si="857"/>
        <v>0.016998037375202661</v>
      </c>
      <c r="G423" s="1405">
        <f t="shared" si="857"/>
        <v>0.015307911628828885</v>
      </c>
      <c r="H423" s="357">
        <f>H442/H388*(L3/H3)</f>
        <v>0.015299098175393117</v>
      </c>
      <c r="I423" s="357">
        <f>I442/I388*(L3/I3)</f>
        <v>0.014765735537585709</v>
      </c>
      <c r="J423" s="357">
        <f>J442/J388*(L3/J3)</f>
        <v>0.014115051788841974</v>
      </c>
      <c r="K423" s="357">
        <f>K442/K388*(L3/K3)</f>
        <v>0.013709310266332811</v>
      </c>
      <c r="L423" s="1405">
        <f>L442/L388</f>
        <v>0.014504964227883542</v>
      </c>
      <c r="M423" s="357">
        <f>M442/M388*(Q3/M3)</f>
        <v>0.013731533330439439</v>
      </c>
      <c r="N423" s="357">
        <f>N442/N388*(Q3/N3)</f>
        <v>0.012105093213363324</v>
      </c>
      <c r="O423" s="357">
        <f>O442/O388*(Q3/O3)</f>
        <v>0.011994551304135815</v>
      </c>
      <c r="P423" s="357">
        <f>P442/P388*(Q3/P3)</f>
        <v>0.010301452519403426</v>
      </c>
      <c r="Q423" s="1405">
        <f t="shared" si="858" ref="Q423:Q432">Q442/Q388</f>
        <v>0.01210732508698239</v>
      </c>
      <c r="R423" s="357">
        <f>R442/R388*(V3/R3)</f>
        <v>0.010115002884572202</v>
      </c>
      <c r="S423" s="357">
        <f>S442/S388*(V3/S3)</f>
        <v>0.012887112887112886</v>
      </c>
      <c r="T423" s="357">
        <f>T442/T388*(V3/T3)</f>
        <v>0.012930425361533751</v>
      </c>
      <c r="U423" s="357">
        <f>U442/U388*(V3/U3)</f>
        <v>0.012802126692084364</v>
      </c>
      <c r="V423" s="1405">
        <f t="shared" si="859" ref="V423:V432">V442/V388</f>
        <v>0.012001548028893659</v>
      </c>
      <c r="W423" s="357">
        <f>W442/W388*(AA3/W3)</f>
        <v>0.016625689748238529</v>
      </c>
      <c r="X423" s="357">
        <f>X442/X388*(AA3/X3)</f>
        <v>0.018229818518557692</v>
      </c>
      <c r="Y423" s="357">
        <f>Y442/Y388*(AA3/Y3)</f>
        <v>0.016685714285714286</v>
      </c>
      <c r="Z423" s="357">
        <f>Z442/Z388*(AA3/Z3)</f>
        <v>0.017364770807845733</v>
      </c>
      <c r="AA423" s="1405">
        <f t="shared" si="860" ref="AA423:AA432">AA442/AA388</f>
        <v>0.017244580471990255</v>
      </c>
      <c r="AB423" s="357">
        <f>AB442/AB388*(AF3/AB3)</f>
        <v>0.020688427468740209</v>
      </c>
      <c r="AC423" s="357">
        <f>AC442/AC388*(AF3/AC3)</f>
        <v>0.021886574803625356</v>
      </c>
      <c r="AD423" s="357">
        <f>AD442/AD388*(AF3/AD3)</f>
        <v>0.021483214823263989</v>
      </c>
      <c r="AE423" s="357">
        <f>AE442/AE388*(AF3/AE3)</f>
        <v>0.025576552818714956</v>
      </c>
      <c r="AF423" s="1405">
        <f>AF442/AF388</f>
        <v>0.02256847655541306</v>
      </c>
      <c r="AG423" s="357">
        <f>AG442/AG388*(AK3/AG3)</f>
        <v>0.022124583058194071</v>
      </c>
      <c r="AH423" s="357">
        <f>AH442/AH388*(AK3/AH3)</f>
        <v>0.025062003851975816</v>
      </c>
      <c r="AI423" s="357">
        <f>AI442/AI388*(AK3/AI3)</f>
        <v>0.023081365170105665</v>
      </c>
      <c r="AJ423" s="357">
        <f>AJ442/AJ388*(AK3/AJ3)</f>
        <v>0.020595819662523527</v>
      </c>
      <c r="AK423" s="1405">
        <f>AK442/AK388</f>
        <v>0.022635638793812453</v>
      </c>
      <c r="AL423" s="357">
        <f>AL442/AL388*(AP3/AL3)</f>
        <v>0.02034815201770121</v>
      </c>
      <c r="AM423" s="357">
        <f>AM442/AM388*(AP3/AM3)</f>
        <v>0.013823825102617796</v>
      </c>
      <c r="AN423" s="357">
        <f>AN442/AN388*(AP3/AN3)</f>
        <v>0.014988725147117639</v>
      </c>
      <c r="AO423" s="357">
        <f>AO442/AO388*(AP3/AO3)</f>
        <v>0.010854310551642829</v>
      </c>
      <c r="AP423" s="1405">
        <f>AP442/AP388</f>
        <v>0.015130425775125205</v>
      </c>
      <c r="AQ423" s="357">
        <f>AQ442/AQ388*(AU3/AQ3)</f>
        <v>0.00855774666571032</v>
      </c>
      <c r="AR423" s="357">
        <f>AR442/AR388*(AU3/AR3)</f>
        <v>0.0084486816241112796</v>
      </c>
      <c r="AS423" s="357">
        <f>AS442/AS388*(AU3/AS3)</f>
        <v>0.0076258759712746343</v>
      </c>
      <c r="AT423" s="357">
        <f>AT442/AT388*(AU3/AT3)</f>
        <v>0.008549398248090586</v>
      </c>
      <c r="AU423" s="1405">
        <f>AU442/AU388</f>
        <v>0.0082652700381147595</v>
      </c>
      <c r="AV423" s="357">
        <f>AV442/AV388*(AZ3/AV3)</f>
        <v>0.010966438990743907</v>
      </c>
      <c r="AW423" s="357">
        <f>AW442/AW388*(AZ3/AW3)</f>
        <v>0.014241066400656446</v>
      </c>
      <c r="AX423" s="357">
        <f>AX442/AX388*(AZ3/AX3)</f>
        <v>0.016612517115229916</v>
      </c>
      <c r="AY423" s="403">
        <f>AY442/AY388*(AZ3/AY3)</f>
        <v>0.022300100157497418</v>
      </c>
      <c r="AZ423" s="1404">
        <f>AZ442/AZ388</f>
        <v>0.016434633137677221</v>
      </c>
      <c r="BA423" s="403">
        <f>BA442/BA388*(BE3/BA3)</f>
        <v>0.025205566398502084</v>
      </c>
      <c r="BB423" s="403">
        <f>BB442/BB388*(BE3/BB3)</f>
        <v>0.026059256245208551</v>
      </c>
      <c r="BC423" s="403">
        <f>BC442/BC388*(BE3/BC3)</f>
        <v>0.028538788305830239</v>
      </c>
      <c r="BD423" s="403">
        <f>BD442/BD388*(BE3/BD3)</f>
        <v>0.030361778339757423</v>
      </c>
      <c r="BE423" s="1404">
        <f>BE442/BE388</f>
        <v>0.027784569639782427</v>
      </c>
      <c r="BF423" s="403">
        <f>BF442/BF388*(BJ3/BF3)</f>
        <v>0.032727315160125586</v>
      </c>
      <c r="BG423" s="403">
        <f>BG442/BG388*(BJ3/BG3)</f>
        <v>0.036576919487989287</v>
      </c>
      <c r="BH423" s="825">
        <f>BH442/BH388*(BJ3/BH3)</f>
        <v>0.036927921810725801</v>
      </c>
      <c r="BI423" s="404"/>
      <c r="BJ423" s="1406"/>
      <c r="BK423" s="404"/>
      <c r="BL423" s="404"/>
      <c r="BM423" s="404"/>
      <c r="BN423" s="404"/>
      <c r="BO423" s="1406"/>
      <c r="BP423" s="1404"/>
      <c r="BQ423" s="1404"/>
      <c r="BR423" s="1406"/>
      <c r="BS423" s="648"/>
    </row>
    <row r="424" spans="1:71" s="681" customFormat="1" ht="15" hidden="1" outlineLevel="2">
      <c r="A424" s="355" t="s">
        <v>399</v>
      </c>
      <c r="B424" s="402"/>
      <c r="C424" s="1404"/>
      <c r="D424" s="1405">
        <f t="shared" si="857"/>
        <v>0.032593257083053002</v>
      </c>
      <c r="E424" s="1405">
        <f t="shared" si="857"/>
        <v>0.030066145520144319</v>
      </c>
      <c r="F424" s="1405">
        <f t="shared" si="857"/>
        <v>0.025765788478507502</v>
      </c>
      <c r="G424" s="1405">
        <f t="shared" si="857"/>
        <v>0.022746659084446973</v>
      </c>
      <c r="H424" s="357">
        <f>H443/H389*(L3/H3)</f>
        <v>0.023537650416518677</v>
      </c>
      <c r="I424" s="357">
        <f>I443/I389*(L3/I3)</f>
        <v>0.022531134632960269</v>
      </c>
      <c r="J424" s="357">
        <f>J443/J389*(L3/J3)</f>
        <v>0.022550003861302032</v>
      </c>
      <c r="K424" s="357">
        <f>K443/K389*(L3/K3)</f>
        <v>0.021897939017504225</v>
      </c>
      <c r="L424" s="1405">
        <f>L443/L389</f>
        <v>0.022627772858069051</v>
      </c>
      <c r="M424" s="357">
        <f>M443/M389*(Q3/M3)</f>
        <v>0.021872246141450766</v>
      </c>
      <c r="N424" s="357">
        <f>N443/N389*(Q3/N3)</f>
        <v>0.023774911537667431</v>
      </c>
      <c r="O424" s="357">
        <f>O443/O389*(Q3/O3)</f>
        <v>0.02142069360195465</v>
      </c>
      <c r="P424" s="357">
        <f>P443/P389*(Q3/P3)</f>
        <v>0.021518333297034488</v>
      </c>
      <c r="Q424" s="1405">
        <f t="shared" si="858"/>
        <v>0.022120780329234247</v>
      </c>
      <c r="R424" s="357">
        <f>R443/R389*(V3/R3)</f>
        <v>0.020765145822511585</v>
      </c>
      <c r="S424" s="357">
        <f>S443/S389*(V3/S3)</f>
        <v>0.020714858125603766</v>
      </c>
      <c r="T424" s="357">
        <f>T443/T389*(V3/T3)</f>
        <v>0.019340260419986779</v>
      </c>
      <c r="U424" s="357">
        <f>U443/U389*(V3/U3)</f>
        <v>0.020406972854179778</v>
      </c>
      <c r="V424" s="1405">
        <f t="shared" si="859"/>
        <v>0.020303744734012544</v>
      </c>
      <c r="W424" s="357">
        <f>W443/W389*(AA3/W3)</f>
        <v>0.021614461586411095</v>
      </c>
      <c r="X424" s="357">
        <f>X443/X389*(AA3/X3)</f>
        <v>0.021066034296464285</v>
      </c>
      <c r="Y424" s="357">
        <f>Y443/Y389*(AA3/Y3)</f>
        <v>0.021042841858473764</v>
      </c>
      <c r="Z424" s="357">
        <f>Z443/Z389*(AA3/Z3)</f>
        <v>0.020767671642264382</v>
      </c>
      <c r="AA424" s="1405">
        <f t="shared" si="860"/>
        <v>0.021126736423016216</v>
      </c>
      <c r="AB424" s="357">
        <f>AB443/AB389*(AF3/AB3)</f>
        <v>0.020190956664122052</v>
      </c>
      <c r="AC424" s="357">
        <f>AC443/AC389*(AF3/AC3)</f>
        <v>0.021550451673850151</v>
      </c>
      <c r="AD424" s="357">
        <f>AD443/AD389*(AF3/AD3)</f>
        <v>0.021932079321354034</v>
      </c>
      <c r="AE424" s="357">
        <f>AE443/AE389*(AF3/AE3)</f>
        <v>0.023525715137428051</v>
      </c>
      <c r="AF424" s="1405">
        <f>AF443/AF389</f>
        <v>0.02171711424759799</v>
      </c>
      <c r="AG424" s="357">
        <f>AG443/AG389*(AK3/AG3)</f>
        <v>0.023834349689826961</v>
      </c>
      <c r="AH424" s="357">
        <f>AH443/AH389*(AK3/AH3)</f>
        <v>0.022990051326873095</v>
      </c>
      <c r="AI424" s="357">
        <f>AI443/AI389*(AK3/AI3)</f>
        <v>0.021088962148118829</v>
      </c>
      <c r="AJ424" s="357">
        <f>AJ443/AJ389*(AK3/AJ3)</f>
        <v>0.022423877846181408</v>
      </c>
      <c r="AK424" s="1405">
        <f>AK443/AK389</f>
        <v>0.022559128920447678</v>
      </c>
      <c r="AL424" s="357">
        <f>AL443/AL389*(AP3/AL3)</f>
        <v>0.01922140087665912</v>
      </c>
      <c r="AM424" s="357">
        <f>AM443/AM389*(AP3/AM3)</f>
        <v>0.02203073782558345</v>
      </c>
      <c r="AN424" s="357">
        <f>AN443/AN389*(AP3/AN3)</f>
        <v>0.018163109065030422</v>
      </c>
      <c r="AO424" s="357">
        <f>AO443/AO389*(AP3/AO3)</f>
        <v>0.018989067053758323</v>
      </c>
      <c r="AP424" s="1405">
        <f>AP443/AP389</f>
        <v>0.019453723717822752</v>
      </c>
      <c r="AQ424" s="357">
        <f>AQ443/AQ389*(AU3/AQ3)</f>
        <v>0.018592327766278741</v>
      </c>
      <c r="AR424" s="357">
        <f>AR443/AR389*(AU3/AR3)</f>
        <v>0.018215208950903772</v>
      </c>
      <c r="AS424" s="357">
        <f>AS443/AS389*(AU3/AS3)</f>
        <v>0.016708794569370404</v>
      </c>
      <c r="AT424" s="357">
        <f>AT443/AT389*(AU3/AT3)</f>
        <v>0.017324056532131076</v>
      </c>
      <c r="AU424" s="1405">
        <f>AU443/AU389</f>
        <v>0.017775298756209455</v>
      </c>
      <c r="AV424" s="357">
        <f>AV443/AV389*(AZ3/AV3)</f>
        <v>0.017235759838831785</v>
      </c>
      <c r="AW424" s="357">
        <f>AW443/AW389*(AZ3/AW3)</f>
        <v>0.01930703187830022</v>
      </c>
      <c r="AX424" s="357">
        <f>AX443/AX389*(AZ3/AX3)</f>
        <v>0.01914867875722559</v>
      </c>
      <c r="AY424" s="403">
        <f>AY443/AY389*(AZ3/AY3)</f>
        <v>0.021145323407583353</v>
      </c>
      <c r="AZ424" s="1404">
        <f>AZ443/AZ389</f>
        <v>0.01917061696960444</v>
      </c>
      <c r="BA424" s="403">
        <f>BA443/BA389*(BE3/BA3)</f>
        <v>0.021288478415771854</v>
      </c>
      <c r="BB424" s="403">
        <f>BB443/BB389*(BE3/BB3)</f>
        <v>0.022070285571459586</v>
      </c>
      <c r="BC424" s="403">
        <f>BC443/BC389*(BE3/BC3)</f>
        <v>0.023187889305525428</v>
      </c>
      <c r="BD424" s="403">
        <f>BD443/BD389*(BE3/BD3)</f>
        <v>0.024417009742292418</v>
      </c>
      <c r="BE424" s="1404">
        <f>BE443/BE389</f>
        <v>0.022769933439162282</v>
      </c>
      <c r="BF424" s="403">
        <f>BF443/BF389*(BJ3/BF3)</f>
        <v>0.023400050425809352</v>
      </c>
      <c r="BG424" s="403">
        <f>BG443/BG389*(BJ3/BG3)</f>
        <v>0.025291898021730486</v>
      </c>
      <c r="BH424" s="825">
        <f>BH443/BH389*(BJ3/BH3)</f>
        <v>0.026834253273496488</v>
      </c>
      <c r="BI424" s="404"/>
      <c r="BJ424" s="1406"/>
      <c r="BK424" s="404"/>
      <c r="BL424" s="404"/>
      <c r="BM424" s="404"/>
      <c r="BN424" s="404"/>
      <c r="BO424" s="1406"/>
      <c r="BP424" s="1404"/>
      <c r="BQ424" s="1404"/>
      <c r="BR424" s="1406"/>
      <c r="BS424" s="648"/>
    </row>
    <row r="425" spans="1:71" s="681" customFormat="1" ht="15" hidden="1" outlineLevel="2">
      <c r="A425" s="27" t="s">
        <v>449</v>
      </c>
      <c r="B425" s="402"/>
      <c r="C425" s="1404"/>
      <c r="D425" s="1407" t="str">
        <f>IFERROR(D444/D390,"N/A")</f>
        <v>N/A</v>
      </c>
      <c r="E425" s="1407" t="str">
        <f>IFERROR(E444/E390,"N/A")</f>
        <v>N/A</v>
      </c>
      <c r="F425" s="1407" t="str">
        <f>IFERROR(F444/F390,"N/A")</f>
        <v>N/A</v>
      </c>
      <c r="G425" s="1405">
        <f>G444/G390</f>
        <v>0.025641025641025644</v>
      </c>
      <c r="H425" s="357">
        <f>H444/H390*(L3/H3)</f>
        <v>0.024212271973466003</v>
      </c>
      <c r="I425" s="357">
        <f>I444/I390*(L3/I3)</f>
        <v>0.044815519675854877</v>
      </c>
      <c r="J425" s="357">
        <f>J444/J390*(L3/J3)</f>
        <v>0.039281102023245806</v>
      </c>
      <c r="K425" s="357">
        <f>K444/K390*(L3/K3)</f>
        <v>0.023066228513650162</v>
      </c>
      <c r="L425" s="1405">
        <f>L444/L390</f>
        <v>0.030205542510163344</v>
      </c>
      <c r="M425" s="357">
        <f>M444/M390*(Q3/M3)</f>
        <v>0.023716699155295645</v>
      </c>
      <c r="N425" s="357">
        <f>N444/N390*(Q3/N3)</f>
        <v>0.020782326481808347</v>
      </c>
      <c r="O425" s="357">
        <f>O444/O390*(Q3/O3)</f>
        <v>0.020936101869909372</v>
      </c>
      <c r="P425" s="357">
        <f>P444/P390*(Q3/P3)</f>
        <v>0.020936101869909376</v>
      </c>
      <c r="Q425" s="1405">
        <f t="shared" si="858"/>
        <v>0.021527255569808758</v>
      </c>
      <c r="R425" s="357">
        <f>R444/R390*(V3/R3)</f>
        <v>0.019861619861619859</v>
      </c>
      <c r="S425" s="357">
        <f>S444/S390*(V3/S3)</f>
        <v>0.017151292204597112</v>
      </c>
      <c r="T425" s="357">
        <f>T444/T390*(V3/T3)</f>
        <v>0.01578674948240166</v>
      </c>
      <c r="U425" s="357">
        <f>U444/U390*(V3/U3)</f>
        <v>0.015944933344950778</v>
      </c>
      <c r="V425" s="1405">
        <f t="shared" si="859"/>
        <v>0.017042081368954076</v>
      </c>
      <c r="W425" s="357">
        <f>W444/W390*(AA3/W3)</f>
        <v>0.017112048757618379</v>
      </c>
      <c r="X425" s="357">
        <f>X444/X390*(AA3/X3)</f>
        <v>0.017669555114489036</v>
      </c>
      <c r="Y425" s="357">
        <f>Y444/Y390*(AA3/Y3)</f>
        <v>0.016990969183502468</v>
      </c>
      <c r="Z425" s="357">
        <f>Z444/Z390*(AA3/Z3)</f>
        <v>0</v>
      </c>
      <c r="AA425" s="1405">
        <f t="shared" si="860"/>
        <v>0.012772211400510889</v>
      </c>
      <c r="AB425" s="403"/>
      <c r="AC425" s="403"/>
      <c r="AD425" s="403"/>
      <c r="AE425" s="403"/>
      <c r="AF425" s="1404"/>
      <c r="AG425" s="403"/>
      <c r="AH425" s="403"/>
      <c r="AI425" s="403"/>
      <c r="AJ425" s="403"/>
      <c r="AK425" s="1404"/>
      <c r="AL425" s="403"/>
      <c r="AM425" s="403"/>
      <c r="AN425" s="403"/>
      <c r="AO425" s="403"/>
      <c r="AP425" s="1404"/>
      <c r="AQ425" s="403"/>
      <c r="AR425" s="403"/>
      <c r="AS425" s="403"/>
      <c r="AT425" s="403"/>
      <c r="AU425" s="1404"/>
      <c r="AV425" s="403"/>
      <c r="AW425" s="403"/>
      <c r="AX425" s="403"/>
      <c r="AY425" s="403"/>
      <c r="AZ425" s="1404"/>
      <c r="BA425" s="403"/>
      <c r="BB425" s="403"/>
      <c r="BC425" s="403"/>
      <c r="BD425" s="403"/>
      <c r="BE425" s="1404"/>
      <c r="BF425" s="403"/>
      <c r="BG425" s="403"/>
      <c r="BH425" s="825"/>
      <c r="BI425" s="404"/>
      <c r="BJ425" s="1406"/>
      <c r="BK425" s="404"/>
      <c r="BL425" s="404"/>
      <c r="BM425" s="404"/>
      <c r="BN425" s="404"/>
      <c r="BO425" s="1406"/>
      <c r="BP425" s="1404"/>
      <c r="BQ425" s="1404"/>
      <c r="BR425" s="1406"/>
      <c r="BS425" s="648"/>
    </row>
    <row r="426" spans="1:71" s="681" customFormat="1" ht="15" hidden="1" outlineLevel="2">
      <c r="A426" s="355" t="s">
        <v>400</v>
      </c>
      <c r="B426" s="402"/>
      <c r="C426" s="1404"/>
      <c r="D426" s="1405">
        <f t="shared" si="861" ref="D426:F427">D445/D391</f>
        <v>0.042928071292170591</v>
      </c>
      <c r="E426" s="1405">
        <f t="shared" si="861"/>
        <v>0.038503870234379234</v>
      </c>
      <c r="F426" s="1405">
        <f t="shared" si="861"/>
        <v>0.035778473008054319</v>
      </c>
      <c r="G426" s="1405">
        <f>G445/G391</f>
        <v>0.032717398503212133</v>
      </c>
      <c r="H426" s="357">
        <f>H445/H391*(L3/H3)</f>
        <v>0.032873594275163856</v>
      </c>
      <c r="I426" s="357">
        <f>I445/I391*(L3/I3)</f>
        <v>0.031654182439171112</v>
      </c>
      <c r="J426" s="357">
        <f>J445/J391*(L3/J3)</f>
        <v>0.032357067456359447</v>
      </c>
      <c r="K426" s="357">
        <f>K445/K391*(L3/K3)</f>
        <v>0.032297371236708838</v>
      </c>
      <c r="L426" s="1405">
        <f>L445/L391</f>
        <v>0.032312957079024707</v>
      </c>
      <c r="M426" s="357">
        <f>M445/M391*(Q3/M3)</f>
        <v>0.032355713492160265</v>
      </c>
      <c r="N426" s="357">
        <f>N445/N391*(Q3/N3)</f>
        <v>0.030625965187711889</v>
      </c>
      <c r="O426" s="357">
        <f>O445/O391*(Q3/O3)</f>
        <v>0.030711183258017812</v>
      </c>
      <c r="P426" s="357">
        <f>P445/P391*(Q3/P3)</f>
        <v>0.028916923444806682</v>
      </c>
      <c r="Q426" s="1405">
        <f t="shared" si="858"/>
        <v>0.030533071517037654</v>
      </c>
      <c r="R426" s="357">
        <f>R445/R391*(V3/R3)</f>
        <v>0.030118375967863459</v>
      </c>
      <c r="S426" s="357">
        <f>S445/S391*(V3/S3)</f>
        <v>0.027397811838529164</v>
      </c>
      <c r="T426" s="357">
        <f>T445/T391*(V3/T3)</f>
        <v>0.02612523525471307</v>
      </c>
      <c r="U426" s="357">
        <f>U445/U391*(V3/U3)</f>
        <v>0.025591099828790573</v>
      </c>
      <c r="V426" s="1405">
        <f t="shared" si="859"/>
        <v>0.027197386765323947</v>
      </c>
      <c r="W426" s="357">
        <f>W445/W391*(AA3/W3)</f>
        <v>0.024602044173922151</v>
      </c>
      <c r="X426" s="357">
        <f>X445/X391*(AA3/X3)</f>
        <v>0.024563962520095493</v>
      </c>
      <c r="Y426" s="357">
        <f>Y445/Y391*(AA3/Y3)</f>
        <v>0.024952633943395121</v>
      </c>
      <c r="Z426" s="357">
        <f>Z445/Z391*(AA3/Z3)</f>
        <v>0.024914315508605879</v>
      </c>
      <c r="AA426" s="1405">
        <f t="shared" si="860"/>
        <v>0.024761496258032804</v>
      </c>
      <c r="AB426" s="357">
        <f>AB445/AB391*(AF3/AB3)</f>
        <v>0.026599106988279726</v>
      </c>
      <c r="AC426" s="357">
        <f>AC445/AC391*(AF3/AC3)</f>
        <v>0.031076660748946366</v>
      </c>
      <c r="AD426" s="357">
        <f>AD445/AD391*(AF3/AD3)</f>
        <v>0.034036512837515798</v>
      </c>
      <c r="AE426" s="357">
        <f>AE445/AE391*(AF3/AE3)</f>
        <v>0.033960915647875803</v>
      </c>
      <c r="AF426" s="1405">
        <f>AF445/AF391</f>
        <v>0.031816175643163108</v>
      </c>
      <c r="AG426" s="357">
        <f>AG445/AG391*(AK3/AG3)</f>
        <v>0.037557972072106295</v>
      </c>
      <c r="AH426" s="357">
        <f>AH445/AH391*(AK3/AH3)</f>
        <v>0.03524434325608522</v>
      </c>
      <c r="AI426" s="357">
        <f>AI445/AI391*(AK3/AI3)</f>
        <v>0.035219294449101844</v>
      </c>
      <c r="AJ426" s="357">
        <f>AJ445/AJ391*(AK3/AJ3)</f>
        <v>0.032681872503199774</v>
      </c>
      <c r="AK426" s="1405">
        <f>AK445/AK391</f>
        <v>0.035254243644023395</v>
      </c>
      <c r="AL426" s="357">
        <f>AL445/AL391*(AP3/AL3)</f>
        <v>0.028173956529713919</v>
      </c>
      <c r="AM426" s="357">
        <f>AM445/AM391*(AP3/AM3)</f>
        <v>0.029977378710496678</v>
      </c>
      <c r="AN426" s="357">
        <f>AN445/AN391*(AP3/AN3)</f>
        <v>0.028119198376774145</v>
      </c>
      <c r="AO426" s="357">
        <f>AO445/AO391*(AP3/AO3)</f>
        <v>0.027851575337482722</v>
      </c>
      <c r="AP426" s="1405">
        <f>AP445/AP391</f>
        <v>0.02853734415569226</v>
      </c>
      <c r="AQ426" s="357">
        <f>AQ445/AQ391*(AU3/AQ3)</f>
        <v>0.03351211201308673</v>
      </c>
      <c r="AR426" s="357">
        <f>AR445/AR391*(AU3/AR3)</f>
        <v>0.027794102891962991</v>
      </c>
      <c r="AS426" s="357">
        <f>AS445/AS391*(AU3/AS3)</f>
        <v>0.025830017256302362</v>
      </c>
      <c r="AT426" s="357">
        <f>AT445/AT391*(AU3/AT3)</f>
        <v>0.026674815526703245</v>
      </c>
      <c r="AU426" s="1405">
        <f>AU445/AU391</f>
        <v>0.028374330173890055</v>
      </c>
      <c r="AV426" s="357">
        <f>AV445/AV391*(AZ3/AV3)</f>
        <v>0.025139457160065111</v>
      </c>
      <c r="AW426" s="357">
        <f>AW445/AW391*(AZ3/AW3)</f>
        <v>0.028238762980787802</v>
      </c>
      <c r="AX426" s="357">
        <f>AX445/AX391*(AZ3/AX3)</f>
        <v>0.029372629242034414</v>
      </c>
      <c r="AY426" s="403">
        <f>AY445/AY391*(AZ3/AY3)</f>
        <v>0.031243491182294029</v>
      </c>
      <c r="AZ426" s="1404">
        <f>AZ445/AZ391</f>
        <v>0.028379775740218605</v>
      </c>
      <c r="BA426" s="403">
        <f>BA445/BA391*(BE3/BA3)</f>
        <v>0.033745839001139082</v>
      </c>
      <c r="BB426" s="403">
        <f>BB445/BB391*(BE3/BB3)</f>
        <v>0.031918343498976209</v>
      </c>
      <c r="BC426" s="403">
        <f>BC445/BC391*(BE3/BC3)</f>
        <v>0.036588584513899042</v>
      </c>
      <c r="BD426" s="403">
        <f>BD445/BD391*(BE3/BD3)</f>
        <v>0.038308323110006107</v>
      </c>
      <c r="BE426" s="1404">
        <f>BE445/BE391</f>
        <v>0.035181542798928066</v>
      </c>
      <c r="BF426" s="403">
        <f>BF445/BF391*(BJ3/BF3)</f>
        <v>0.041229304338353062</v>
      </c>
      <c r="BG426" s="403">
        <f>BG445/BG391*(BJ3/BG3)</f>
        <v>0.042529397853195011</v>
      </c>
      <c r="BH426" s="825">
        <f>BH445/BH391*(BJ3/BH3)</f>
        <v>0.044029149112827778</v>
      </c>
      <c r="BI426" s="404"/>
      <c r="BJ426" s="1406"/>
      <c r="BK426" s="404"/>
      <c r="BL426" s="404"/>
      <c r="BM426" s="404"/>
      <c r="BN426" s="404"/>
      <c r="BO426" s="1406"/>
      <c r="BP426" s="1404"/>
      <c r="BQ426" s="1404"/>
      <c r="BR426" s="1406"/>
      <c r="BS426" s="648"/>
    </row>
    <row r="427" spans="1:71" s="681" customFormat="1" ht="15" hidden="1" outlineLevel="2">
      <c r="A427" s="355" t="s">
        <v>401</v>
      </c>
      <c r="B427" s="402"/>
      <c r="C427" s="1404"/>
      <c r="D427" s="1405">
        <f t="shared" si="861"/>
        <v>0.040185185185185185</v>
      </c>
      <c r="E427" s="1405">
        <f t="shared" si="861"/>
        <v>0.037556789500252402</v>
      </c>
      <c r="F427" s="1405">
        <f t="shared" si="861"/>
        <v>0.037656414454449783</v>
      </c>
      <c r="G427" s="1405">
        <f>G446/G392</f>
        <v>0.036115930852772954</v>
      </c>
      <c r="H427" s="357">
        <f>H446/H392*(L3/H3)</f>
        <v>0.032973350305917137</v>
      </c>
      <c r="I427" s="357">
        <f>I446/I392*(L3/I3)</f>
        <v>0.034300117923547618</v>
      </c>
      <c r="J427" s="357">
        <f>J446/J392*(L3/J3)</f>
        <v>0.031773997476260987</v>
      </c>
      <c r="K427" s="357">
        <f>K446/K392*(L3/K3)</f>
        <v>0.031284993433331014</v>
      </c>
      <c r="L427" s="1405">
        <f>L446/L392</f>
        <v>0.032496664275957023</v>
      </c>
      <c r="M427" s="357">
        <f>M446/M392*(Q3/M3)</f>
        <v>0.031397532954976937</v>
      </c>
      <c r="N427" s="357">
        <f>N446/N392*(Q3/N3)</f>
        <v>0.029906546697011861</v>
      </c>
      <c r="O427" s="357">
        <f>O446/O392*(Q3/O3)</f>
        <v>0.028936374623137123</v>
      </c>
      <c r="P427" s="357">
        <f>P446/P392*(Q3/P3)</f>
        <v>0.028497989064346255</v>
      </c>
      <c r="Q427" s="1405">
        <f t="shared" si="858"/>
        <v>0.029638267073717747</v>
      </c>
      <c r="R427" s="357">
        <f>R446/R392*(V3/R3)</f>
        <v>0.0278148244816801</v>
      </c>
      <c r="S427" s="357">
        <f>S446/S392*(V3/S3)</f>
        <v>0.026840953316617795</v>
      </c>
      <c r="T427" s="357">
        <f>T446/T392*(V3/T3)</f>
        <v>0.027015812090284117</v>
      </c>
      <c r="U427" s="357">
        <f>U446/U392*(V3/U3)</f>
        <v>0.029189637223053771</v>
      </c>
      <c r="V427" s="1405">
        <f t="shared" si="859"/>
        <v>0.027681723345845337</v>
      </c>
      <c r="W427" s="357">
        <f>W446/W392*(AA3/W3)</f>
        <v>0.026581753806939452</v>
      </c>
      <c r="X427" s="357">
        <f>X446/X392*(AA3/X3)</f>
        <v>0.030687818355419297</v>
      </c>
      <c r="Y427" s="357">
        <f>Y446/Y392*(AA3/Y3)</f>
        <v>0.028774608000291087</v>
      </c>
      <c r="Z427" s="357">
        <f>Z446/Z392*(AA3/Z3)</f>
        <v>0.033419118556828602</v>
      </c>
      <c r="AA427" s="1405">
        <f t="shared" si="860"/>
        <v>0.029525650051519237</v>
      </c>
      <c r="AB427" s="357">
        <f>AB446/AB392*(AF3/AB3)</f>
        <v>0.035232399538348551</v>
      </c>
      <c r="AC427" s="357">
        <f>AC446/AC392*(AF3/AC3)</f>
        <v>0.033628718842133469</v>
      </c>
      <c r="AD427" s="357">
        <f>AD446/AD392*(AF3/AD3)</f>
        <v>0.034382064807837225</v>
      </c>
      <c r="AE427" s="357">
        <f>AE446/AE392*(AF3/AE3)</f>
        <v>0.037980610811467044</v>
      </c>
      <c r="AF427" s="1405">
        <f>AF446/AF392</f>
        <v>0.035277889545957376</v>
      </c>
      <c r="AG427" s="357">
        <f>AG446/AG392*(AK3/AG3)</f>
        <v>0.039730839641779217</v>
      </c>
      <c r="AH427" s="357">
        <f>AH446/AH392*(AK3/AH3)</f>
        <v>0.028869581365278434</v>
      </c>
      <c r="AI427" s="357">
        <f>AI446/AI392*(AK3/AI3)</f>
        <v>0.031816905091673363</v>
      </c>
      <c r="AJ427" s="357">
        <f>AJ446/AJ392*(AK3/AJ3)</f>
        <v>0.030308566114192734</v>
      </c>
      <c r="AK427" s="1405">
        <f>AK446/AK392</f>
        <v>0.03272003330105875</v>
      </c>
      <c r="AL427" s="357">
        <f>AL446/AL392*(AP3/AL3)</f>
        <v>0.028531893745980395</v>
      </c>
      <c r="AM427" s="357">
        <f>AM446/AM392*(AP3/AM3)</f>
        <v>0.027798320268309355</v>
      </c>
      <c r="AN427" s="357">
        <f>AN446/AN392*(AP3/AN3)</f>
        <v>0.0059266456157396168</v>
      </c>
      <c r="AO427" s="357">
        <f>AO446/AO392*(AP3/AO3)</f>
        <v>0.022940475941750412</v>
      </c>
      <c r="AP427" s="1405">
        <f>AP446/AP392</f>
        <v>0.021467838877874457</v>
      </c>
      <c r="AQ427" s="357">
        <f>AQ446/AQ392*(AU3/AQ3)</f>
        <v>0.025950670723419379</v>
      </c>
      <c r="AR427" s="357">
        <f>AR446/AR392*(AU3/AR3)</f>
        <v>0.018343436881615729</v>
      </c>
      <c r="AS427" s="357">
        <f>AS446/AS392*(AU3/AS3)</f>
        <v>0.01954379952880703</v>
      </c>
      <c r="AT427" s="357">
        <f>AT446/AT392*(AU3/AT3)</f>
        <v>0.013990377686535823</v>
      </c>
      <c r="AU427" s="1405">
        <f>AU446/AU392</f>
        <v>0.01900685205002476</v>
      </c>
      <c r="AV427" s="357">
        <f>AV446/AV392*(AZ3/AV3)</f>
        <v>0.022361342446346178</v>
      </c>
      <c r="AW427" s="357">
        <f>AW446/AW392*(AZ3/AW3)</f>
        <v>0.043996223155272511</v>
      </c>
      <c r="AX427" s="357">
        <f>AX446/AX392*(AZ3/AX3)</f>
        <v>0.045868808353492573</v>
      </c>
      <c r="AY427" s="403">
        <f>AY446/AY392*(AZ3/AY3)</f>
        <v>0.047958104700707653</v>
      </c>
      <c r="AZ427" s="1404">
        <f>AZ446/AZ392</f>
        <v>0.039506859581441026</v>
      </c>
      <c r="BA427" s="403">
        <f>BA446/BA392*(BE3/BA3)</f>
        <v>0.057543354582219472</v>
      </c>
      <c r="BB427" s="403">
        <f>BB446/BB392*(BE3/BB3)</f>
        <v>0.039010205858533181</v>
      </c>
      <c r="BC427" s="403">
        <f>BC446/BC392*(BE3/BC3)</f>
        <v>0.055915018846626759</v>
      </c>
      <c r="BD427" s="403">
        <f>BD446/BD392*(BE3/BD3)</f>
        <v>0.051877999906798998</v>
      </c>
      <c r="BE427" s="1404">
        <f>BE446/BE392</f>
        <v>0.051061927728520466</v>
      </c>
      <c r="BF427" s="403">
        <f>BF446/BF392*(BJ3/BF3)</f>
        <v>0.054276349665578712</v>
      </c>
      <c r="BG427" s="403">
        <f>BG446/BG392*(BJ3/BG3)</f>
        <v>0.047359176002096222</v>
      </c>
      <c r="BH427" s="825">
        <f>BH446/BH392*(BJ3/BH3)</f>
        <v>0.045757626271045168</v>
      </c>
      <c r="BI427" s="404"/>
      <c r="BJ427" s="1406"/>
      <c r="BK427" s="404"/>
      <c r="BL427" s="404"/>
      <c r="BM427" s="404"/>
      <c r="BN427" s="404"/>
      <c r="BO427" s="1406"/>
      <c r="BP427" s="1404"/>
      <c r="BQ427" s="1404"/>
      <c r="BR427" s="1406"/>
      <c r="BS427" s="648"/>
    </row>
    <row r="428" spans="1:71" s="681" customFormat="1" ht="15" hidden="1" outlineLevel="2">
      <c r="A428" s="27" t="s">
        <v>450</v>
      </c>
      <c r="B428" s="402"/>
      <c r="C428" s="1404"/>
      <c r="D428" s="1407" t="str">
        <f>IFERROR(D447/D393,"N/A")</f>
        <v>N/A</v>
      </c>
      <c r="E428" s="1407" t="str">
        <f>IFERROR(E447/E393,"N/A")</f>
        <v>N/A</v>
      </c>
      <c r="F428" s="1407" t="str">
        <f>IFERROR(F447/F393,"N/A")</f>
        <v>N/A</v>
      </c>
      <c r="G428" s="1407" t="str">
        <f>IFERROR(G447/G393,"N/A")</f>
        <v>N/A</v>
      </c>
      <c r="H428" s="370" t="str">
        <f>IFERROR(H447/H393*(L3/H3),"N/A")</f>
        <v>N/A</v>
      </c>
      <c r="I428" s="370" t="str">
        <f>IFERROR(I447/I393*(L3/I3),"N/A")</f>
        <v>N/A</v>
      </c>
      <c r="J428" s="370" t="str">
        <f>IFERROR(J447/J393*(L3/J3),"N/A")</f>
        <v>N/A</v>
      </c>
      <c r="K428" s="370" t="str">
        <f>IFERROR(K447/K393*(L3/K3),"N/A")</f>
        <v>N/A</v>
      </c>
      <c r="L428" s="1407" t="str">
        <f>IFERROR(L447/L393,"N/A")</f>
        <v>N/A</v>
      </c>
      <c r="M428" s="370" t="str">
        <f>IFERROR(M447/M393*(Q3/M3),"N/A")</f>
        <v>N/A</v>
      </c>
      <c r="N428" s="357">
        <f>N447/N393*(Q3/N3)</f>
        <v>0.024564237162662358</v>
      </c>
      <c r="O428" s="357">
        <f>O447/O393*(Q3/O3)</f>
        <v>0.024555030177219085</v>
      </c>
      <c r="P428" s="357">
        <f>P447/P393*(Q3/P3)</f>
        <v>0.027606102515342734</v>
      </c>
      <c r="Q428" s="1405">
        <f t="shared" si="858"/>
        <v>0.025497560018229181</v>
      </c>
      <c r="R428" s="357">
        <f>R447/R393*(V3/R3)</f>
        <v>0.023676103146301822</v>
      </c>
      <c r="S428" s="357">
        <f>S447/S393*(V3/S3)</f>
        <v>0.017206323088676031</v>
      </c>
      <c r="T428" s="357">
        <f>T447/T393*(V3/T3)</f>
        <v>0.026230291447682751</v>
      </c>
      <c r="U428" s="357">
        <f>U447/U393*(V3/U3)</f>
        <v>0.028181304861146752</v>
      </c>
      <c r="V428" s="1405">
        <f t="shared" si="859"/>
        <v>0.023715030858697937</v>
      </c>
      <c r="W428" s="357">
        <f>W447/W393*(AA3/W3)</f>
        <v>0.020508498384604581</v>
      </c>
      <c r="X428" s="357">
        <f>X447/X393*(AA3/X3)</f>
        <v>0.021250272905902045</v>
      </c>
      <c r="Y428" s="357">
        <f>Y447/Y393*(AA3/Y3)</f>
        <v>0.021949606109808169</v>
      </c>
      <c r="Z428" s="357">
        <f>Z447/Z393*(AA3/Z3)</f>
        <v>-0.067434413105062221</v>
      </c>
      <c r="AA428" s="1405">
        <f t="shared" si="860"/>
        <v>0</v>
      </c>
      <c r="AB428" s="403"/>
      <c r="AC428" s="403"/>
      <c r="AD428" s="403"/>
      <c r="AE428" s="403"/>
      <c r="AF428" s="1404"/>
      <c r="AG428" s="403"/>
      <c r="AH428" s="403"/>
      <c r="AI428" s="403"/>
      <c r="AJ428" s="403"/>
      <c r="AK428" s="1404"/>
      <c r="AL428" s="403"/>
      <c r="AM428" s="403"/>
      <c r="AN428" s="403"/>
      <c r="AO428" s="403"/>
      <c r="AP428" s="1404"/>
      <c r="AQ428" s="403"/>
      <c r="AR428" s="403"/>
      <c r="AS428" s="403"/>
      <c r="AT428" s="403"/>
      <c r="AU428" s="1404"/>
      <c r="AV428" s="403"/>
      <c r="AW428" s="403"/>
      <c r="AX428" s="403"/>
      <c r="AY428" s="403"/>
      <c r="AZ428" s="1404"/>
      <c r="BA428" s="403"/>
      <c r="BB428" s="403"/>
      <c r="BC428" s="403"/>
      <c r="BD428" s="403"/>
      <c r="BE428" s="1404"/>
      <c r="BF428" s="403"/>
      <c r="BG428" s="403"/>
      <c r="BH428" s="825"/>
      <c r="BI428" s="404"/>
      <c r="BJ428" s="1406"/>
      <c r="BK428" s="404"/>
      <c r="BL428" s="404"/>
      <c r="BM428" s="404"/>
      <c r="BN428" s="404"/>
      <c r="BO428" s="1406"/>
      <c r="BP428" s="1404"/>
      <c r="BQ428" s="1404"/>
      <c r="BR428" s="1406"/>
      <c r="BS428" s="648"/>
    </row>
    <row r="429" spans="1:71" s="681" customFormat="1" ht="15" hidden="1" outlineLevel="2">
      <c r="A429" s="355" t="s">
        <v>402</v>
      </c>
      <c r="B429" s="402"/>
      <c r="C429" s="1404"/>
      <c r="D429" s="1404">
        <f t="shared" si="862" ref="D429:G432">D448/D394</f>
        <v>0.057915960493249957</v>
      </c>
      <c r="E429" s="1404">
        <f t="shared" si="862"/>
        <v>0.044975328282147391</v>
      </c>
      <c r="F429" s="1404">
        <f t="shared" si="862"/>
        <v>0.041882149135097961</v>
      </c>
      <c r="G429" s="1404">
        <f t="shared" si="862"/>
        <v>0.035541195476575124</v>
      </c>
      <c r="H429" s="403">
        <f>H448/H394*(L3/H3)</f>
        <v>0.032082507651537279</v>
      </c>
      <c r="I429" s="403">
        <f>I448/I394*(L3/I3)</f>
        <v>0.03145179944415407</v>
      </c>
      <c r="J429" s="403">
        <f>J448/J394*(L3/J3)</f>
        <v>0.031233339625811884</v>
      </c>
      <c r="K429" s="403">
        <f>K448/K394*(L3/K3)</f>
        <v>0.029701732988589146</v>
      </c>
      <c r="L429" s="1404">
        <f>L448/L394</f>
        <v>0.031085842411812309</v>
      </c>
      <c r="M429" s="403">
        <f>M448/M394*(Q3/M3)</f>
        <v>0.028541815599095875</v>
      </c>
      <c r="N429" s="403">
        <f>N448/N394*(Q3/N3)</f>
        <v>0.029880564830636159</v>
      </c>
      <c r="O429" s="403">
        <f>O448/O394*(Q3/O3)</f>
        <v>0.027797638022690897</v>
      </c>
      <c r="P429" s="403">
        <f>P448/P394*(Q3/P3)</f>
        <v>0.030743402373444643</v>
      </c>
      <c r="Q429" s="1404">
        <f t="shared" si="858"/>
        <v>0.029258608208334959</v>
      </c>
      <c r="R429" s="403">
        <f>R448/R394*(V3/R3)</f>
        <v>0.033098137834917774</v>
      </c>
      <c r="S429" s="403">
        <f>S448/S394*(V3/S3)</f>
        <v>0.03348323160254317</v>
      </c>
      <c r="T429" s="403">
        <f>T448/T394*(V3/T3)</f>
        <v>0.039704617482739644</v>
      </c>
      <c r="U429" s="403">
        <f>U448/U394*(V3/U3)</f>
        <v>0.033358469712581801</v>
      </c>
      <c r="V429" s="1404">
        <f t="shared" si="859"/>
        <v>0.034847967201913216</v>
      </c>
      <c r="W429" s="403">
        <f>W448/W394*(AA3/W3)</f>
        <v>0.034137520179294119</v>
      </c>
      <c r="X429" s="403">
        <f>X448/X394*(AA3/X3)</f>
        <v>0.031993505023907111</v>
      </c>
      <c r="Y429" s="403">
        <f>Y448/Y394*(AA3/Y3)</f>
        <v>0.030857230779115494</v>
      </c>
      <c r="Z429" s="403">
        <f>Z448/Z394*(AA3/Z3)</f>
        <v>0.032304823793658219</v>
      </c>
      <c r="AA429" s="1404">
        <f t="shared" si="860"/>
        <v>0.032261444059945167</v>
      </c>
      <c r="AB429" s="403">
        <f>AB448/AB394*(AF3/AB3)</f>
        <v>0.034198913218821334</v>
      </c>
      <c r="AC429" s="403">
        <f>AC448/AC394*(AF3/AC3)</f>
        <v>0.032628051716324914</v>
      </c>
      <c r="AD429" s="403">
        <f>AD448/AD394*(AF3/AD3)</f>
        <v>0.033808610174598706</v>
      </c>
      <c r="AE429" s="403">
        <f>AE448/AE394*(AF3/AE3)</f>
        <v>0.035992880590163812</v>
      </c>
      <c r="AF429" s="1404">
        <f>AF448/AF394</f>
        <v>0.034259032410612997</v>
      </c>
      <c r="AG429" s="403">
        <f>AG448/AG394*(AK3/AG3)</f>
        <v>0.035935015404492149</v>
      </c>
      <c r="AH429" s="403">
        <f>AH448/AH394*(AK3/AH3)</f>
        <v>0.032298724119590852</v>
      </c>
      <c r="AI429" s="403">
        <f>AI448/AI394*(AK3/AI3)</f>
        <v>0.031106857345589673</v>
      </c>
      <c r="AJ429" s="403">
        <f>AJ448/AJ394*(AK3/AJ3)</f>
        <v>0.040346905968952275</v>
      </c>
      <c r="AK429" s="1404">
        <f>AK448/AK394</f>
        <v>0.035028614976690166</v>
      </c>
      <c r="AL429" s="403">
        <f>AL448/AL394*(AP3/AL3)</f>
        <v>0.025688533337153048</v>
      </c>
      <c r="AM429" s="403">
        <f>AM448/AM394*(AP3/AM3)</f>
        <v>0.02999033156304666</v>
      </c>
      <c r="AN429" s="403">
        <f>AN448/AN394*(AP3/AN3)</f>
        <v>0.025117919060680564</v>
      </c>
      <c r="AO429" s="403">
        <f>AO448/AO394*(AP3/AO3)</f>
        <v>0.025179895761965526</v>
      </c>
      <c r="AP429" s="1404">
        <f>AP448/AP394</f>
        <v>0.026464184464559847</v>
      </c>
      <c r="AQ429" s="403">
        <f>AQ448/AQ394*(AU3/AQ3)</f>
        <v>0.024063592559751535</v>
      </c>
      <c r="AR429" s="403">
        <f>AR448/AR394*(AU3/AR3)</f>
        <v>0.023789109055615376</v>
      </c>
      <c r="AS429" s="403">
        <f>AS448/AS394*(AU3/AS3)</f>
        <v>0.024155429743530788</v>
      </c>
      <c r="AT429" s="403">
        <f>AT448/AT394*(AU3/AT3)</f>
        <v>0.02433626913722926</v>
      </c>
      <c r="AU429" s="1404">
        <f>AU448/AU394</f>
        <v>0.024090493855124032</v>
      </c>
      <c r="AV429" s="403">
        <f>AV448/AV394*(AZ3/AV3)</f>
        <v>0.026104392795587295</v>
      </c>
      <c r="AW429" s="403">
        <f>AW448/AW394*(AZ3/AW3)</f>
        <v>0.028665112695820213</v>
      </c>
      <c r="AX429" s="403">
        <f>AX448/AX394*(AZ3/AX3)</f>
        <v>0.034272300469483562</v>
      </c>
      <c r="AY429" s="403">
        <f>AY448/AY394*(AZ3/AY3)</f>
        <v>0.042719618409307561</v>
      </c>
      <c r="AZ429" s="1404">
        <f>AZ448/AZ394</f>
        <v>0.032200566357644934</v>
      </c>
      <c r="BA429" s="403">
        <f>BA448/BA394*(BE3/BA3)</f>
        <v>0.044243228664763601</v>
      </c>
      <c r="BB429" s="403">
        <f>BB448/BB394*(BE3/BB3)</f>
        <v>0.045011269736137158</v>
      </c>
      <c r="BC429" s="403">
        <f>BC448/BC394*(BE3/BC3)</f>
        <v>0.046877900941803947</v>
      </c>
      <c r="BD429" s="403">
        <f>BD448/BD394*(BE3/BD3)</f>
        <v>0.048305822838195671</v>
      </c>
      <c r="BE429" s="1404">
        <f>BE448/BE394</f>
        <v>0.046034437410990024</v>
      </c>
      <c r="BF429" s="403">
        <f>BF448/BF394*(BJ3/BF3)</f>
        <v>0.047903428151133985</v>
      </c>
      <c r="BG429" s="403">
        <f>BG448/BG394*(BJ3/BG3)</f>
        <v>0.047409339746142018</v>
      </c>
      <c r="BH429" s="825">
        <f>BH448/BH394*(BJ3/BH3)</f>
        <v>0.046901642381094726</v>
      </c>
      <c r="BI429" s="404"/>
      <c r="BJ429" s="1406"/>
      <c r="BK429" s="404"/>
      <c r="BL429" s="404"/>
      <c r="BM429" s="404"/>
      <c r="BN429" s="404"/>
      <c r="BO429" s="1406"/>
      <c r="BP429" s="1404"/>
      <c r="BQ429" s="1404"/>
      <c r="BR429" s="1406"/>
      <c r="BS429" s="648"/>
    </row>
    <row r="430" spans="1:71" s="681" customFormat="1" ht="15" hidden="1" outlineLevel="2">
      <c r="A430" s="355" t="s">
        <v>423</v>
      </c>
      <c r="B430" s="402"/>
      <c r="C430" s="1404"/>
      <c r="D430" s="1404">
        <f t="shared" si="862"/>
        <v>0.024204741020374173</v>
      </c>
      <c r="E430" s="1404">
        <f t="shared" si="862"/>
        <v>0.021354484441732765</v>
      </c>
      <c r="F430" s="1404">
        <f t="shared" si="862"/>
        <v>0.018716577540106954</v>
      </c>
      <c r="G430" s="1404">
        <f t="shared" si="862"/>
        <v>0.016483245323989537</v>
      </c>
      <c r="H430" s="403">
        <f>H449/H395*(L3/H3)</f>
        <v>0.016863016863016864</v>
      </c>
      <c r="I430" s="403">
        <f>I449/I395*(L3/I3)</f>
        <v>0.015495337343418786</v>
      </c>
      <c r="J430" s="403">
        <f>J449/J395*(L3/J3)</f>
        <v>0.013205772292170606</v>
      </c>
      <c r="K430" s="403">
        <f>K449/K395*(L3/K3)</f>
        <v>0.011444517605744208</v>
      </c>
      <c r="L430" s="1404">
        <f>L449/L395</f>
        <v>0.013826458495162779</v>
      </c>
      <c r="M430" s="403">
        <f>M449/M395*(Q3/M3)</f>
        <v>0.011455724409794803</v>
      </c>
      <c r="N430" s="403">
        <f>N449/N395*(Q3/N3)</f>
        <v>0.011189672614983291</v>
      </c>
      <c r="O430" s="403">
        <f>O449/O395*(Q3/O3)</f>
        <v>0.01158540456199319</v>
      </c>
      <c r="P430" s="403">
        <f>P449/P395*(Q3/P3)</f>
        <v>0.012677117354057457</v>
      </c>
      <c r="Q430" s="1404">
        <f t="shared" si="858"/>
        <v>0.011717689201645962</v>
      </c>
      <c r="R430" s="403">
        <f>R449/R395*(V3/R3)</f>
        <v>0.013902447362523405</v>
      </c>
      <c r="S430" s="403">
        <f>S449/S395*(V3/S3)</f>
        <v>0.01449007439298405</v>
      </c>
      <c r="T430" s="403">
        <f>T449/T395*(V3/T3)</f>
        <v>0.014958348859852628</v>
      </c>
      <c r="U430" s="403">
        <f>U449/U395*(V3/U3)</f>
        <v>0.016830581638556358</v>
      </c>
      <c r="V430" s="1404">
        <f t="shared" si="859"/>
        <v>0.015168627760942249</v>
      </c>
      <c r="W430" s="403">
        <f>W449/W395*(AA3/W3)</f>
        <v>0.016334418226200163</v>
      </c>
      <c r="X430" s="403">
        <f>X449/X395*(AA3/X3)</f>
        <v>0.017489669947959398</v>
      </c>
      <c r="Y430" s="403">
        <f>Y449/Y395*(AA3/Y3)</f>
        <v>0.017987647925138149</v>
      </c>
      <c r="Z430" s="403">
        <f>Z449/Z395*(AA3/Z3)</f>
        <v>0.021341707354173425</v>
      </c>
      <c r="AA430" s="1404">
        <f t="shared" si="860"/>
        <v>0.018279599561774471</v>
      </c>
      <c r="AB430" s="403">
        <f>AB449/AB395*(AF3/AB3)</f>
        <v>0.022435549770401707</v>
      </c>
      <c r="AC430" s="403">
        <f>AC449/AC395*(AF3/AC3)</f>
        <v>0.022900836241971409</v>
      </c>
      <c r="AD430" s="403">
        <f>AD449/AD395*(AF3/AD3)</f>
        <v>0.026405681077521049</v>
      </c>
      <c r="AE430" s="403">
        <f>AE449/AE395*(AF3/AE3)</f>
        <v>0.029065996380557756</v>
      </c>
      <c r="AF430" s="1404">
        <f>AF449/AF395</f>
        <v>0.025528613126135538</v>
      </c>
      <c r="AG430" s="403">
        <f>AG449/AG395*(AK3/AG3)</f>
        <v>0.028432795686843763</v>
      </c>
      <c r="AH430" s="403">
        <f>AH449/AH395*(AK3/AH3)</f>
        <v>0.027038213076356295</v>
      </c>
      <c r="AI430" s="403">
        <f>AI449/AI395*(AK3/AI3)</f>
        <v>0.027322013566365488</v>
      </c>
      <c r="AJ430" s="403">
        <f>AJ449/AJ395*(AK3/AJ3)</f>
        <v>0.025743882196066048</v>
      </c>
      <c r="AK430" s="1404">
        <f>AK449/AK395</f>
        <v>0.027038812817109015</v>
      </c>
      <c r="AL430" s="403">
        <f>AL449/AL395*(AP3/AL3)</f>
        <v>0.023922302210449196</v>
      </c>
      <c r="AM430" s="403">
        <f>AM449/AM395*(AP3/AM3)</f>
        <v>0.022180354668680218</v>
      </c>
      <c r="AN430" s="403">
        <f>AN449/AN395*(AP3/AN3)</f>
        <v>0.021018490661159041</v>
      </c>
      <c r="AO430" s="403">
        <f>AO449/AO395*(AP3/AO3)</f>
        <v>0.020028564785598033</v>
      </c>
      <c r="AP430" s="1404">
        <f>AP449/AP395</f>
        <v>0.021890034740461497</v>
      </c>
      <c r="AQ430" s="403">
        <f>AQ449/AQ395*(AU3/AQ3)</f>
        <v>0.018143875445507409</v>
      </c>
      <c r="AR430" s="403">
        <f>AR449/AR395*(AU3/AR3)</f>
        <v>0.01677169197661001</v>
      </c>
      <c r="AS430" s="403">
        <f>AS449/AS395*(AU3/AS3)</f>
        <v>0.01565333529382934</v>
      </c>
      <c r="AT430" s="403">
        <f>AT449/AT395*(AU3/AT3)</f>
        <v>0.014591519752049979</v>
      </c>
      <c r="AU430" s="1404">
        <f>AU449/AU395</f>
        <v>0.016145077354080144</v>
      </c>
      <c r="AV430" s="403">
        <f>AV449/AV395*(AZ3/AV3)</f>
        <v>0.019885222879889908</v>
      </c>
      <c r="AW430" s="403">
        <f>AW449/AW395*(AZ3/AW3)</f>
        <v>0.030632219149402562</v>
      </c>
      <c r="AX430" s="403">
        <f>AX449/AX395*(AZ3/AX3)</f>
        <v>0.04287559235348256</v>
      </c>
      <c r="AY430" s="403">
        <f>AY449/AY395*(AZ3/AY3)</f>
        <v>0.050271072413196373</v>
      </c>
      <c r="AZ430" s="1404">
        <f>AZ449/AZ395</f>
        <v>0.035516069601777132</v>
      </c>
      <c r="BA430" s="403">
        <f>BA449/BA395*(BE3/BA3)</f>
        <v>0.041714973796327708</v>
      </c>
      <c r="BB430" s="403">
        <f>BB449/BB395*(BE3/BB3)</f>
        <v>0.049998365557788423</v>
      </c>
      <c r="BC430" s="403">
        <f>BC449/BC395*(BE3/BC3)</f>
        <v>0.048309763249860277</v>
      </c>
      <c r="BD430" s="403">
        <f>BD449/BD395*(BE3/BD3)</f>
        <v>0.014209593247273875</v>
      </c>
      <c r="BE430" s="1404">
        <f>BE449/BE395</f>
        <v>0.037975790511243723</v>
      </c>
      <c r="BF430" s="403">
        <f>BF449/BF395*(BJ3/BF3)</f>
        <v>0.054056800322891799</v>
      </c>
      <c r="BG430" s="403">
        <f>BG449/BG395*(BJ3/BG3)</f>
        <v>0.052970915556875268</v>
      </c>
      <c r="BH430" s="825">
        <f>BH449/BH395*(BJ3/BH3)</f>
        <v>0.051260365971635614</v>
      </c>
      <c r="BI430" s="404"/>
      <c r="BJ430" s="1406"/>
      <c r="BK430" s="404"/>
      <c r="BL430" s="404"/>
      <c r="BM430" s="404"/>
      <c r="BN430" s="404"/>
      <c r="BO430" s="1406"/>
      <c r="BP430" s="1404"/>
      <c r="BQ430" s="1404"/>
      <c r="BR430" s="1406"/>
      <c r="BS430" s="648"/>
    </row>
    <row r="431" spans="1:71" s="681" customFormat="1" ht="15" hidden="1" outlineLevel="2">
      <c r="A431" s="358" t="s">
        <v>424</v>
      </c>
      <c r="B431" s="405"/>
      <c r="C431" s="1408"/>
      <c r="D431" s="1408">
        <f t="shared" si="862"/>
        <v>0.082041110710421916</v>
      </c>
      <c r="E431" s="1408">
        <f t="shared" si="862"/>
        <v>0.075308078502966683</v>
      </c>
      <c r="F431" s="1408">
        <f t="shared" si="862"/>
        <v>0.06465402083889929</v>
      </c>
      <c r="G431" s="1408">
        <f t="shared" si="862"/>
        <v>0.061574208539064777</v>
      </c>
      <c r="H431" s="406">
        <f>H450/H396*(L3/H3)</f>
        <v>0.055040641435874796</v>
      </c>
      <c r="I431" s="406">
        <f>I450/I396*(L3/I3)</f>
        <v>0.05414626909954013</v>
      </c>
      <c r="J431" s="406">
        <f>J450/J396*(L3/J3)</f>
        <v>0.051299485675648987</v>
      </c>
      <c r="K431" s="406">
        <f>K450/K396*(L3/K3)</f>
        <v>0.053461301264261497</v>
      </c>
      <c r="L431" s="1408">
        <f>L450/L396</f>
        <v>0.05349947564367221</v>
      </c>
      <c r="M431" s="406">
        <f>M450/M396*(Q3/M3)</f>
        <v>0.055415717767389815</v>
      </c>
      <c r="N431" s="406">
        <f>N450/N396*(Q3/N3)</f>
        <v>0.055555889344845052</v>
      </c>
      <c r="O431" s="406">
        <f>O450/O396*(Q3/O3)</f>
        <v>0.05629663595814749</v>
      </c>
      <c r="P431" s="406">
        <f>P450/P396*(Q3/P3)</f>
        <v>0.060645931940041156</v>
      </c>
      <c r="Q431" s="1408">
        <f t="shared" si="858"/>
        <v>0.056881668986088138</v>
      </c>
      <c r="R431" s="406">
        <f>R450/R396*(V3/R3)</f>
        <v>0.065792150165804905</v>
      </c>
      <c r="S431" s="406">
        <f>S450/S396*(V3/S3)</f>
        <v>0.067262925753491784</v>
      </c>
      <c r="T431" s="406">
        <f>T450/T396*(V3/T3)</f>
        <v>0.065499962323864055</v>
      </c>
      <c r="U431" s="406">
        <f>U450/U396*(V3/U3)</f>
        <v>0.064811149767713197</v>
      </c>
      <c r="V431" s="1408">
        <f t="shared" si="859"/>
        <v>0.065866694043686475</v>
      </c>
      <c r="W431" s="406">
        <f>W450/W396*(AA3/W3)</f>
        <v>0.069887931519963947</v>
      </c>
      <c r="X431" s="406">
        <f>X450/X396*(AA3/X3)</f>
        <v>0.056823977195252229</v>
      </c>
      <c r="Y431" s="406">
        <f>Y450/Y396*(AA3/Y3)</f>
        <v>0.050039169604386993</v>
      </c>
      <c r="Z431" s="406">
        <f>Z450/Z396*(AA3/Z3)</f>
        <v>0.047789232753687835</v>
      </c>
      <c r="AA431" s="1408">
        <f t="shared" si="860"/>
        <v>0.055624075784090253</v>
      </c>
      <c r="AB431" s="406">
        <f>AB450/AB396*(AF3/AB3)</f>
        <v>0.04922709824670609</v>
      </c>
      <c r="AC431" s="406">
        <f>AC450/AC396*(AF3/AC3)</f>
        <v>0.052102432841514584</v>
      </c>
      <c r="AD431" s="406">
        <f>AD450/AD396*(AF3/AD3)</f>
        <v>0.056713845806141763</v>
      </c>
      <c r="AE431" s="406">
        <f>AE450/AE396*(AF3/AE3)</f>
        <v>0.058975874135559096</v>
      </c>
      <c r="AF431" s="1408">
        <f>AF450/AF396</f>
        <v>0.0544225686070453</v>
      </c>
      <c r="AG431" s="406">
        <f>AG450/AG396*(AK3/AG3)</f>
        <v>0.061309726478265804</v>
      </c>
      <c r="AH431" s="406">
        <f>AH450/AH396*(AK3/AH3)</f>
        <v>0.14196713134876784</v>
      </c>
      <c r="AI431" s="406">
        <f>AI450/AI396*(AK3/AI3)</f>
        <v>0.067878157872149694</v>
      </c>
      <c r="AJ431" s="406">
        <f>AJ450/AJ396*(AK3/AJ3)</f>
        <v>0.054553981899519648</v>
      </c>
      <c r="AK431" s="1408">
        <f>AK450/AK396</f>
        <v>0.08230931329583227</v>
      </c>
      <c r="AL431" s="406">
        <f>AL450/AL396*(AP3/AL3)</f>
        <v>0.19870935818402985</v>
      </c>
      <c r="AM431" s="406">
        <f>AM450/AM396*(AP3/AM3)</f>
        <v>0.061005083756979758</v>
      </c>
      <c r="AN431" s="406">
        <f>AN450/AN396*(AP3/AN3)</f>
        <v>0.05935930870732941</v>
      </c>
      <c r="AO431" s="406">
        <f>AO450/AO396*(AP3/AO3)</f>
        <v>0.050557723521082995</v>
      </c>
      <c r="AP431" s="1408">
        <f>AP450/AP396</f>
        <v>0.090983030148326677</v>
      </c>
      <c r="AQ431" s="406">
        <f>AQ450/AQ396*(AU3/AQ3)</f>
        <v>0.052779223783908841</v>
      </c>
      <c r="AR431" s="406">
        <f>AR450/AR396*(AU3/AR3)</f>
        <v>0.049465280028282703</v>
      </c>
      <c r="AS431" s="406">
        <f>AS450/AS396*(AU3/AS3)</f>
        <v>0.049578918772072794</v>
      </c>
      <c r="AT431" s="406">
        <f>AT450/AT396*(AU3/AT3)</f>
        <v>0.051988747640921575</v>
      </c>
      <c r="AU431" s="1408">
        <f>AU450/AU396</f>
        <v>0.05096049698058136</v>
      </c>
      <c r="AV431" s="406">
        <f>AV450/AV396*(AZ3/AV3)</f>
        <v>0.050417150118791089</v>
      </c>
      <c r="AW431" s="406">
        <f>AW450/AW396*(AZ3/AW3)</f>
        <v>0.056719146985467983</v>
      </c>
      <c r="AX431" s="406">
        <f>AX450/AX396*(AZ3/AX3)</f>
        <v>0.061765303129442034</v>
      </c>
      <c r="AY431" s="406">
        <f>AY450/AY396*(AZ3/AY3)</f>
        <v>0.062888410946207701</v>
      </c>
      <c r="AZ431" s="1408">
        <f>AZ450/AZ396</f>
        <v>0.057820215398019438</v>
      </c>
      <c r="BA431" s="406">
        <f>BA450/BA396*(BE3/BA3)</f>
        <v>0.064285931189456746</v>
      </c>
      <c r="BB431" s="406">
        <f>BB450/BB396*(BE3/BB3)</f>
        <v>0.064024063432872189</v>
      </c>
      <c r="BC431" s="406">
        <f>BC450/BC396*(BE3/BC3)</f>
        <v>0.063713510755431427</v>
      </c>
      <c r="BD431" s="406">
        <f>BD450/BD396*(BE3/BD3)</f>
        <v>0.067520157174933676</v>
      </c>
      <c r="BE431" s="1408">
        <f>BE450/BE396</f>
        <v>0.064896944165241735</v>
      </c>
      <c r="BF431" s="406">
        <f>BF450/BF396*(BJ3/BF3)</f>
        <v>0.067110105084788624</v>
      </c>
      <c r="BG431" s="406">
        <f>BG450/BG396*(BJ3/BG3)</f>
        <v>0.06287979536387181</v>
      </c>
      <c r="BH431" s="826">
        <f>BH450/BH396*(BJ3/BH3)</f>
        <v>0</v>
      </c>
      <c r="BI431" s="406"/>
      <c r="BJ431" s="1408"/>
      <c r="BK431" s="406"/>
      <c r="BL431" s="406"/>
      <c r="BM431" s="406"/>
      <c r="BN431" s="406"/>
      <c r="BO431" s="1408"/>
      <c r="BP431" s="1408"/>
      <c r="BQ431" s="1408"/>
      <c r="BR431" s="1408"/>
      <c r="BS431" s="648"/>
    </row>
    <row r="432" spans="1:71" s="681" customFormat="1" ht="15" hidden="1" outlineLevel="1" collapsed="1">
      <c r="A432" s="497" t="s">
        <v>527</v>
      </c>
      <c r="B432" s="402"/>
      <c r="C432" s="1404"/>
      <c r="D432" s="1404">
        <f t="shared" si="862"/>
        <v>0.035757301374426606</v>
      </c>
      <c r="E432" s="1404">
        <f t="shared" si="862"/>
        <v>0.032546496507732114</v>
      </c>
      <c r="F432" s="1404">
        <f t="shared" si="862"/>
        <v>0.029846940943510071</v>
      </c>
      <c r="G432" s="1404">
        <f t="shared" si="862"/>
        <v>0.026704062888858161</v>
      </c>
      <c r="H432" s="403">
        <f>H451/H397*(L3/H3)</f>
        <v>0.025784555373829982</v>
      </c>
      <c r="I432" s="403">
        <f>I451/I397*(L3/I3)</f>
        <v>0.025152093874899098</v>
      </c>
      <c r="J432" s="403">
        <f>J451/J397*(L3/J3)</f>
        <v>0.024449772552407437</v>
      </c>
      <c r="K432" s="403">
        <f>K451/K397*(L3/K3)</f>
        <v>0.024054120128826875</v>
      </c>
      <c r="L432" s="1404">
        <f>L451/L397</f>
        <v>0.024846372197253469</v>
      </c>
      <c r="M432" s="403">
        <f>M451/M397*(Q3/M3)</f>
        <v>0.024097614846291426</v>
      </c>
      <c r="N432" s="403">
        <f>N451/N397*(Q3/N3)</f>
        <v>0.024139563772155488</v>
      </c>
      <c r="O432" s="403">
        <f>O451/O397*(Q3/O3)</f>
        <v>0.02366876722927309</v>
      </c>
      <c r="P432" s="403">
        <f>P451/P397*(Q3/P3)</f>
        <v>0.023685688677937428</v>
      </c>
      <c r="Q432" s="1404">
        <f t="shared" si="858"/>
        <v>0.023888056050649805</v>
      </c>
      <c r="R432" s="403">
        <f>R451/R397*(V3/R3)</f>
        <v>0.024682122980335182</v>
      </c>
      <c r="S432" s="403">
        <f>S451/S397*(V3/S3)</f>
        <v>0.024783508001258107</v>
      </c>
      <c r="T432" s="403">
        <f>T451/T397*(V3/T3)</f>
        <v>0.025368167281859456</v>
      </c>
      <c r="U432" s="403">
        <f>U451/U397*(V3/U3)</f>
        <v>0.023979809025883238</v>
      </c>
      <c r="V432" s="1404">
        <f t="shared" si="859"/>
        <v>0.024686088763815343</v>
      </c>
      <c r="W432" s="403">
        <f>W451/W397*(AA3/W3)</f>
        <v>0.023430211732636839</v>
      </c>
      <c r="X432" s="403">
        <f>X451/X397*(AA3/X3)</f>
        <v>0.02344247168910325</v>
      </c>
      <c r="Y432" s="403">
        <f>Y451/Y397*(AA3/Y3)</f>
        <v>0.022809654147610461</v>
      </c>
      <c r="Z432" s="403">
        <f>Z451/Z397*(AA3/Z3)</f>
        <v>0.02331735806495968</v>
      </c>
      <c r="AA432" s="1404">
        <f t="shared" si="860"/>
        <v>0.023243595808372184</v>
      </c>
      <c r="AB432" s="403">
        <f>AB451/AB397*(AF3/AB3)</f>
        <v>0.024796648141978465</v>
      </c>
      <c r="AC432" s="403">
        <f>AC451/AC397*(AF3/AC3)</f>
        <v>0.026491503791527812</v>
      </c>
      <c r="AD432" s="403">
        <f>AD451/AD397*(AF3/AD3)</f>
        <v>0.02797854439533282</v>
      </c>
      <c r="AE432" s="403">
        <f>AE451/AE397*(AF3/AE3)</f>
        <v>0.03021624356794447</v>
      </c>
      <c r="AF432" s="1404">
        <f>AF451/AF397</f>
        <v>0.027556942590163943</v>
      </c>
      <c r="AG432" s="403">
        <f>AG451/AG397*(AK3/AG3)</f>
        <v>0.030191859127700681</v>
      </c>
      <c r="AH432" s="403">
        <f>AH451/AH397*(AK3/AH3)</f>
        <v>0.0299345291812683</v>
      </c>
      <c r="AI432" s="403">
        <f>AI451/AI397*(AK3/AI3)</f>
        <v>0.028006909141970623</v>
      </c>
      <c r="AJ432" s="403">
        <f>AJ451/AJ397*(AK3/AJ3)</f>
        <v>0.027406974803937924</v>
      </c>
      <c r="AK432" s="1404">
        <f>AK451/AK397</f>
        <v>0.028799131887728081</v>
      </c>
      <c r="AL432" s="403">
        <f>AL451/AL397*(AP3/AL3)</f>
        <v>0.024566290389469669</v>
      </c>
      <c r="AM432" s="403">
        <f>AM451/AM397*(AP3/AM3)</f>
        <v>0.023512976741097258</v>
      </c>
      <c r="AN432" s="403">
        <f>AN451/AN397*(AP3/AN3)</f>
        <v>0.021840145314540631</v>
      </c>
      <c r="AO432" s="403">
        <f>AO451/AO397*(AP3/AO3)</f>
        <v>0.020325339570233265</v>
      </c>
      <c r="AP432" s="1404">
        <f>AP451/AP397</f>
        <v>0.02250347342362323</v>
      </c>
      <c r="AQ432" s="403">
        <f>AQ451/AQ397*(AU3/AQ3)</f>
        <v>0.019940441293041396</v>
      </c>
      <c r="AR432" s="403">
        <f>AR451/AR397*(AU3/AR3)</f>
        <v>0.017260535642763232</v>
      </c>
      <c r="AS432" s="403">
        <f>AS451/AS397*(AU3/AS3)</f>
        <v>0.015810700762245715</v>
      </c>
      <c r="AT432" s="403">
        <f>AT451/AT397*(AU3/AT3)</f>
        <v>0.016464092984884503</v>
      </c>
      <c r="AU432" s="1404">
        <f>AU451/AU397</f>
        <v>0.017261963332174037</v>
      </c>
      <c r="AV432" s="403">
        <f>AV451/AV397*(AZ3/AV3)</f>
        <v>0.018391522541118668</v>
      </c>
      <c r="AW432" s="403">
        <f>AW451/AW397*(AZ3/AW3)</f>
        <v>0.022598787775251001</v>
      </c>
      <c r="AX432" s="403">
        <f>AX451/AX397*(AZ3/AX3)</f>
        <v>0.025436188318985531</v>
      </c>
      <c r="AY432" s="403">
        <f>AY451/AY397*(AZ3/AY3)</f>
        <v>0.029651144700151996</v>
      </c>
      <c r="AZ432" s="1404">
        <f>AZ451/AZ397</f>
        <v>0.024055929932966531</v>
      </c>
      <c r="BA432" s="403">
        <f>BA451/BA397*(BE3/BA3)</f>
        <v>0.030799114101242916</v>
      </c>
      <c r="BB432" s="403">
        <f>BB451/BB397*(BE3/BB3)</f>
        <v>0.031198669306582424</v>
      </c>
      <c r="BC432" s="403">
        <f>BC451/BC397*(BE3/BC3)</f>
        <v>0.033411120408892873</v>
      </c>
      <c r="BD432" s="403">
        <f>BD451/BD397*(BE3/BD3)</f>
        <v>0.031584437241728401</v>
      </c>
      <c r="BE432" s="1404">
        <f>BE451/BE397</f>
        <v>0.031790823506056581</v>
      </c>
      <c r="BF432" s="403">
        <f>BF451/BF397*(BJ3/BF3)</f>
        <v>0.037220386588451039</v>
      </c>
      <c r="BG432" s="403">
        <f>BG451/BG397*(BJ3/BG3)</f>
        <v>0.039729601840067227</v>
      </c>
      <c r="BH432" s="825">
        <f>BH451/BH397*(BJ3/BH3)</f>
        <v>0.039973392068513885</v>
      </c>
      <c r="BI432" s="1247">
        <v>0.0275</v>
      </c>
      <c r="BJ432" s="1406">
        <f>BJ451/BJ397</f>
        <v>0.036000347806089995</v>
      </c>
      <c r="BK432" s="1247">
        <v>0.0275</v>
      </c>
      <c r="BL432" s="1247">
        <v>0.0275</v>
      </c>
      <c r="BM432" s="1247">
        <v>0.0275</v>
      </c>
      <c r="BN432" s="1247">
        <v>0.0275</v>
      </c>
      <c r="BO432" s="1406">
        <f>BO451/BO397</f>
        <v>0.0275</v>
      </c>
      <c r="BP432" s="1409">
        <v>0.0275</v>
      </c>
      <c r="BQ432" s="1409">
        <v>0.0275</v>
      </c>
      <c r="BR432" s="1410">
        <v>0.0275</v>
      </c>
      <c r="BS432" s="648"/>
    </row>
    <row r="433" spans="1:71" s="681" customFormat="1" ht="15" hidden="1" outlineLevel="1">
      <c r="A433" s="500" t="s">
        <v>528</v>
      </c>
      <c r="B433" s="405"/>
      <c r="C433" s="1408"/>
      <c r="D433" s="1408">
        <f>D452/D402</f>
        <v>0.0033198081888601988</v>
      </c>
      <c r="E433" s="1408">
        <f>E452/E402</f>
        <v>0.001816392946340725</v>
      </c>
      <c r="F433" s="1408">
        <f>F452/F402</f>
        <v>0.0017505223332768649</v>
      </c>
      <c r="G433" s="1408">
        <f>G452/G402</f>
        <v>0.0012260160608103966</v>
      </c>
      <c r="H433" s="406">
        <f>H452/H402*(L3/H3)</f>
        <v>0.00051572793585192254</v>
      </c>
      <c r="I433" s="406">
        <f>I452/I402*(L3/I3)</f>
        <v>0.00048212865746321946</v>
      </c>
      <c r="J433" s="406">
        <f>J452/J402*(L3/J3)</f>
        <v>0.00054819044586656908</v>
      </c>
      <c r="K433" s="406">
        <f>K452/K402*(L3/K3)</f>
        <v>0.00065847452199710823</v>
      </c>
      <c r="L433" s="1408">
        <f>L452/L402</f>
        <v>0.00055385611670174422</v>
      </c>
      <c r="M433" s="406">
        <f>M452/M402*(Q3/M3)</f>
        <v>0.00073470209339774554</v>
      </c>
      <c r="N433" s="406">
        <f>N452/N402*(Q3/N3)</f>
        <v>0.00081517953631359615</v>
      </c>
      <c r="O433" s="406">
        <f>O452/O402*(Q3/O3)</f>
        <v>0.0014611706063943799</v>
      </c>
      <c r="P433" s="406">
        <f>P452/P402*(Q3/P3)</f>
        <v>0.0012905083239049622</v>
      </c>
      <c r="Q433" s="1408">
        <f>Q452/Q402</f>
        <v>0.0010697175419489466</v>
      </c>
      <c r="R433" s="406">
        <f>R452/R402*(V3/R3)</f>
        <v>0.0034863534505135468</v>
      </c>
      <c r="S433" s="406">
        <f>S452/S402*(V3/S3)</f>
        <v>0.0031305356380690241</v>
      </c>
      <c r="T433" s="406">
        <f>T452/T402*(V3/T3)</f>
        <v>0.0038188076374577823</v>
      </c>
      <c r="U433" s="406">
        <f>U452/U402*(V3/U3)</f>
        <v>0.0069889333835796629</v>
      </c>
      <c r="V433" s="1408">
        <f>V452/V402</f>
        <v>0.0044376925549709295</v>
      </c>
      <c r="W433" s="406">
        <f>W452/W402*(AA3/W3)</f>
        <v>0.0085848734865170435</v>
      </c>
      <c r="X433" s="406">
        <f>X452/X402*(AA3/X3)</f>
        <v>0.010426616437989306</v>
      </c>
      <c r="Y433" s="406">
        <f>Y452/Y402*(AA3/Y3)</f>
        <v>0.010459719401603482</v>
      </c>
      <c r="Z433" s="406">
        <f>Z452/Z402*(AA3/Z3)</f>
        <v>0.017683522323056398</v>
      </c>
      <c r="AA433" s="1408">
        <f>AA452/AA402</f>
        <v>0.011394256170082211</v>
      </c>
      <c r="AB433" s="406">
        <f>AB452/AB402*(AF3/AB3)</f>
        <v>0.021244287698309789</v>
      </c>
      <c r="AC433" s="406">
        <f>AC452/AC402*(AF3/AC3)</f>
        <v>0.019022132619433529</v>
      </c>
      <c r="AD433" s="406">
        <f>AD452/AD402*(AF3/AD3)</f>
        <v>0.02062210712915654</v>
      </c>
      <c r="AE433" s="406">
        <f>AE452/AE402*(AF3/AE3)</f>
        <v>0.021018835293140307</v>
      </c>
      <c r="AF433" s="1408">
        <f>AF452/AF402</f>
        <v>0.020342471194361233</v>
      </c>
      <c r="AG433" s="406">
        <f>AG452/AG402*(AK3/AG3)</f>
        <v>0.029625571332186858</v>
      </c>
      <c r="AH433" s="406">
        <f>AH452/AH402*(AK3/AH3)</f>
        <v>0.022771227150789192</v>
      </c>
      <c r="AI433" s="406">
        <f>AI452/AI402*(AK3/AI3)</f>
        <v>0.019919017261867244</v>
      </c>
      <c r="AJ433" s="406">
        <f>AJ452/AJ402*(AK3/AJ3)</f>
        <v>0.017977279806609469</v>
      </c>
      <c r="AK433" s="1408">
        <f>AK452/AK402</f>
        <v>0.023166708980290374</v>
      </c>
      <c r="AL433" s="406">
        <f>AL452/AL402*(AP3/AL3)</f>
        <v>0.013025142796135163</v>
      </c>
      <c r="AM433" s="406">
        <f>AM452/AM402*(AP3/AM3)</f>
        <v>0.015253532714465346</v>
      </c>
      <c r="AN433" s="406">
        <f>AN452/AN402*(AP3/AN3)</f>
        <v>0.0052656762467692859</v>
      </c>
      <c r="AO433" s="406">
        <f>AO452/AO402*(AP3/AO3)</f>
        <v>0.0016900858412322026</v>
      </c>
      <c r="AP433" s="1408">
        <f>AP452/AP402</f>
        <v>0.0075216212062947053</v>
      </c>
      <c r="AQ433" s="406">
        <f>AQ452/AQ402*(AU3/AQ3)</f>
        <v>0.0016305707444337228</v>
      </c>
      <c r="AR433" s="406">
        <f>AR452/AR402*(AU3/AR3)</f>
        <v>0.0014202859638780421</v>
      </c>
      <c r="AS433" s="406">
        <f>AS452/AS402*(AU3/AS3)</f>
        <v>0.0011338238286279644</v>
      </c>
      <c r="AT433" s="406">
        <f>AT452/AT402*(AU3/AT3)</f>
        <v>0.0019531291804991018</v>
      </c>
      <c r="AU433" s="1408">
        <f>AU452/AU402</f>
        <v>0.0015334618242883139</v>
      </c>
      <c r="AV433" s="406">
        <f>AV452/AV402*(AZ3/AV3)</f>
        <v>0.0022033578570081116</v>
      </c>
      <c r="AW433" s="406">
        <f>AW452/AW402*(AZ3/AW3)</f>
        <v>0.0068647924415472118</v>
      </c>
      <c r="AX433" s="406">
        <f>AX452/AX402*(AZ3/AX3)</f>
        <v>0.022236830598193341</v>
      </c>
      <c r="AY433" s="406">
        <f>AY452/AY402*(AZ3/AY3)</f>
        <v>0.026824445031016528</v>
      </c>
      <c r="AZ433" s="1408">
        <f>AZ452/AZ402</f>
        <v>0.01892344058986117</v>
      </c>
      <c r="BA433" s="406">
        <f>BA452/BA402*(BE3/BA3)</f>
        <v>0.037198641695652353</v>
      </c>
      <c r="BB433" s="406">
        <f>BB452/BB402*(BE3/BB3)</f>
        <v>0.049508524523455839</v>
      </c>
      <c r="BC433" s="406">
        <f>BC452/BC402*(BE3/BC3)</f>
        <v>0.052102539701421528</v>
      </c>
      <c r="BD433" s="406">
        <f>BD452/BD402*(BE3/BD3)</f>
        <v>0.047142581675606664</v>
      </c>
      <c r="BE433" s="1408">
        <f>BE452/BE402</f>
        <v>0.045487785896925113</v>
      </c>
      <c r="BF433" s="406">
        <f>BF452/BF402*(BJ3/BF3)</f>
        <v>0.048780969399592249</v>
      </c>
      <c r="BG433" s="406">
        <f>BG452/BG402*(BJ3/BG3)</f>
        <v>0.067159867946237531</v>
      </c>
      <c r="BH433" s="826">
        <f>BH452/BH402*(BJ3/BH3)</f>
        <v>0.049130814148600571</v>
      </c>
      <c r="BI433" s="1250">
        <v>0.0225</v>
      </c>
      <c r="BJ433" s="1408">
        <f>BJ452/BJ402</f>
        <v>0.045395607742871921</v>
      </c>
      <c r="BK433" s="1250">
        <v>0.0225</v>
      </c>
      <c r="BL433" s="1250">
        <v>0.0225</v>
      </c>
      <c r="BM433" s="1250">
        <v>0.0225</v>
      </c>
      <c r="BN433" s="1250">
        <v>0.0225</v>
      </c>
      <c r="BO433" s="1408">
        <f>BO452/BO402</f>
        <v>0.022500000000000003</v>
      </c>
      <c r="BP433" s="1411">
        <v>0.0225</v>
      </c>
      <c r="BQ433" s="1411">
        <v>0.0225</v>
      </c>
      <c r="BR433" s="1411">
        <v>0.0225</v>
      </c>
      <c r="BS433" s="648"/>
    </row>
    <row r="434" spans="1:71" s="681" customFormat="1" ht="15" hidden="1" outlineLevel="1">
      <c r="A434" s="361" t="s">
        <v>529</v>
      </c>
      <c r="B434" s="402"/>
      <c r="C434" s="1404"/>
      <c r="D434" s="1404">
        <f>D453/D407</f>
        <v>0.033007325405946322</v>
      </c>
      <c r="E434" s="1404">
        <f>E453/E407</f>
        <v>0.029453106251357039</v>
      </c>
      <c r="F434" s="1404">
        <f>F453/F407</f>
        <v>0.026171551826025291</v>
      </c>
      <c r="G434" s="1404">
        <f>G453/G407</f>
        <v>0.023795276637587435</v>
      </c>
      <c r="H434" s="403">
        <f>H453/H407*(L3/H3)</f>
        <v>0.023061794876772217</v>
      </c>
      <c r="I434" s="403">
        <f>I453/I407*(L3/I3)</f>
        <v>0.021046847966078273</v>
      </c>
      <c r="J434" s="403">
        <f>J453/J407*(L3/J3)</f>
        <v>0.020064632267582441</v>
      </c>
      <c r="K434" s="403">
        <f>K453/K407*(L3/K3)</f>
        <v>0.020489834889879634</v>
      </c>
      <c r="L434" s="1404">
        <f>L453/L407</f>
        <v>0.021120326547232483</v>
      </c>
      <c r="M434" s="403">
        <f>M453/M407*(Q3/M3)</f>
        <v>0.020892064971605125</v>
      </c>
      <c r="N434" s="403">
        <f>N453/N407*(Q3/N3)</f>
        <v>0.02141881991104545</v>
      </c>
      <c r="O434" s="403">
        <f>O453/O407*(Q3/O3)</f>
        <v>0.021257686096801485</v>
      </c>
      <c r="P434" s="403">
        <f>P453/P407*(Q3/P3)</f>
        <v>0.020951896741180531</v>
      </c>
      <c r="Q434" s="1404">
        <f>Q453/Q407</f>
        <v>0.021132514799987463</v>
      </c>
      <c r="R434" s="403">
        <f>R453/R407*(V3/R3)</f>
        <v>0.021079847979770066</v>
      </c>
      <c r="S434" s="403">
        <f>S453/S407*(V3/S3)</f>
        <v>0.019455575341887493</v>
      </c>
      <c r="T434" s="403">
        <f>T453/T407*(V3/T3)</f>
        <v>0.019195219635765655</v>
      </c>
      <c r="U434" s="403">
        <f>U453/U407*(V3/U3)</f>
        <v>0.019926557481273297</v>
      </c>
      <c r="V434" s="1404">
        <f>V453/V407</f>
        <v>0.019893362784521865</v>
      </c>
      <c r="W434" s="403">
        <f>W453/W407*(AA3/W3)</f>
        <v>0.020995839511254149</v>
      </c>
      <c r="X434" s="403">
        <f>X453/X407*(AA3/X3)</f>
        <v>0.021375433134895892</v>
      </c>
      <c r="Y434" s="403">
        <f>Y453/Y407*(AA3/Y3)</f>
        <v>0.020607173841205358</v>
      </c>
      <c r="Z434" s="403">
        <f>Z453/Z407*(AA3/Z3)</f>
        <v>0.022662043696754529</v>
      </c>
      <c r="AA434" s="1404">
        <f>AA453/AA407</f>
        <v>0.021416232776074181</v>
      </c>
      <c r="AB434" s="403">
        <f>AB453/AB407*(AF3/AB3)</f>
        <v>0.024501914884461466</v>
      </c>
      <c r="AC434" s="403">
        <f>AC453/AC407*(AF3/AC3)</f>
        <v>0.025597391622130206</v>
      </c>
      <c r="AD434" s="403">
        <f>AD453/AD407*(AF3/AD3)</f>
        <v>0.02717744003641738</v>
      </c>
      <c r="AE434" s="403">
        <f>AE453/AE407*(AF3/AE3)</f>
        <v>0.029490408600202321</v>
      </c>
      <c r="AF434" s="1404">
        <f>AF453/AF407</f>
        <v>0.026852166335946191</v>
      </c>
      <c r="AG434" s="403">
        <f>AG453/AG407*(AK3/AG3)</f>
        <v>0.030150729699756452</v>
      </c>
      <c r="AH434" s="403">
        <f>AH453/AH407*(AK3/AH3)</f>
        <v>0.029485586123031187</v>
      </c>
      <c r="AI434" s="403">
        <f>AI453/AI407*(AK3/AI3)</f>
        <v>0.027664618876570221</v>
      </c>
      <c r="AJ434" s="403">
        <f>AJ453/AJ407*(AK3/AJ3)</f>
        <v>0.026961829177159835</v>
      </c>
      <c r="AK434" s="1404">
        <f>AK453/AK407</f>
        <v>0.028486470203536434</v>
      </c>
      <c r="AL434" s="403">
        <f>AL453/AL407*(AP3/AL3)</f>
        <v>0.023870537347755967</v>
      </c>
      <c r="AM434" s="403">
        <f>AM453/AM407*(AP3/AM3)</f>
        <v>0.022730164124958929</v>
      </c>
      <c r="AN434" s="403">
        <f>AN453/AN407*(AP3/AN3)</f>
        <v>0.019909066163812196</v>
      </c>
      <c r="AO434" s="403">
        <f>AO453/AO407*(AP3/AO3)</f>
        <v>0.018105942445031054</v>
      </c>
      <c r="AP434" s="1404">
        <f>AP453/AP407</f>
        <v>0.021019705033892083</v>
      </c>
      <c r="AQ434" s="403">
        <f>AQ453/AQ407*(AU3/AQ3)</f>
        <v>0.018301599125764866</v>
      </c>
      <c r="AR434" s="403">
        <f>AR453/AR407*(AU3/AR3)</f>
        <v>0.016532955000480978</v>
      </c>
      <c r="AS434" s="403">
        <f>AS453/AS407*(AU3/AS3)</f>
        <v>0.015358601400474995</v>
      </c>
      <c r="AT434" s="403">
        <f>AT453/AT407*(AU3/AT3)</f>
        <v>0.01614000185385938</v>
      </c>
      <c r="AU434" s="1404">
        <f>AU453/AU407</f>
        <v>0.01653805325208112</v>
      </c>
      <c r="AV434" s="403">
        <f>AV453/AV407*(AZ3/AV3)</f>
        <v>0.0181314685111242</v>
      </c>
      <c r="AW434" s="403">
        <f>AW453/AW407*(AZ3/AW3)</f>
        <v>0.021743890059213004</v>
      </c>
      <c r="AX434" s="403">
        <f>AX453/AX407*(AZ3/AX3)</f>
        <v>0.025141865368578774</v>
      </c>
      <c r="AY434" s="403">
        <f>AY453/AY407*(AZ3/AY3)</f>
        <v>0.029446215086551559</v>
      </c>
      <c r="AZ434" s="1404">
        <f>AZ453/AZ407</f>
        <v>0.023750271321031823</v>
      </c>
      <c r="BA434" s="403">
        <f>BA453/BA407*(BE3/BA3)</f>
        <v>0.031135942205270013</v>
      </c>
      <c r="BB434" s="403">
        <f>BB453/BB407*(BE3/BB3)</f>
        <v>0.031877507217888845</v>
      </c>
      <c r="BC434" s="403">
        <f>BC453/BC407*(BE3/BC3)</f>
        <v>0.033950657909169485</v>
      </c>
      <c r="BD434" s="403">
        <f>BD453/BD407*(BE3/BD3)</f>
        <v>0.032047109143146978</v>
      </c>
      <c r="BE434" s="1404">
        <f>BE453/BE407</f>
        <v>0.032290497194316849</v>
      </c>
      <c r="BF434" s="403">
        <f>BF453/BF407*(BJ3/BF3)</f>
        <v>0.03750380726966672</v>
      </c>
      <c r="BG434" s="403">
        <f>BG453/BG407*(BJ3/BG3)</f>
        <v>0.040153914029573773</v>
      </c>
      <c r="BH434" s="825">
        <f>BH453/BH407*(BJ3/BH3)</f>
        <v>0.040068543057060618</v>
      </c>
      <c r="BI434" s="404">
        <f>BI453/BI407*(BJ3/BI3)</f>
        <v>0.027408133355392432</v>
      </c>
      <c r="BJ434" s="1406">
        <f>BJ453/BJ407</f>
        <v>0.036159941033813488</v>
      </c>
      <c r="BK434" s="404">
        <f>BK453/BK407*(BO3/BK3)</f>
        <v>0.027380130448700468</v>
      </c>
      <c r="BL434" s="404">
        <f>BL453/BL407*(BO3/BL3)</f>
        <v>0.027422656202483745</v>
      </c>
      <c r="BM434" s="404">
        <f>BM453/BM407*(BO3/BM3)</f>
        <v>0.027448047066240606</v>
      </c>
      <c r="BN434" s="404">
        <f>BN453/BN407*(BO3/BN3)</f>
        <v>0.027408133355392428</v>
      </c>
      <c r="BO434" s="1406">
        <f>BO453/BO407</f>
        <v>0.027415600192138484</v>
      </c>
      <c r="BP434" s="1404">
        <f>BP453/BP407</f>
        <v>0.027362406941959433</v>
      </c>
      <c r="BQ434" s="1404">
        <f>BQ453/BQ407</f>
        <v>0.027362406941959422</v>
      </c>
      <c r="BR434" s="1406">
        <f>BR453/BR407</f>
        <v>0.027362406941959429</v>
      </c>
      <c r="BS434" s="648"/>
    </row>
    <row r="435" spans="1:71" s="681" customFormat="1" ht="15" hidden="1" outlineLevel="1">
      <c r="A435" s="359" t="s">
        <v>530</v>
      </c>
      <c r="B435" s="402"/>
      <c r="C435" s="1404"/>
      <c r="D435" s="1404">
        <f t="shared" si="863" ref="D435:G437">D454/D414</f>
        <v>0.058506671086434078</v>
      </c>
      <c r="E435" s="1404">
        <f t="shared" si="863"/>
        <v>0.058760629359947053</v>
      </c>
      <c r="F435" s="1404">
        <f t="shared" si="863"/>
        <v>0.054117501698894177</v>
      </c>
      <c r="G435" s="1404">
        <f t="shared" si="863"/>
        <v>0.047519033867156737</v>
      </c>
      <c r="H435" s="403">
        <f>H454/H414*(L3/H3)</f>
        <v>0.055413705058312057</v>
      </c>
      <c r="I435" s="403">
        <f>I454/I414*(L3/I3)</f>
        <v>0.04979934290394207</v>
      </c>
      <c r="J435" s="403">
        <f>J454/J414*(L3/J3)</f>
        <v>0.048957634736947253</v>
      </c>
      <c r="K435" s="403">
        <f>K454/K414*(L3/K3)</f>
        <v>0.049879196685288243</v>
      </c>
      <c r="L435" s="1404">
        <f>L454/L414</f>
        <v>0.05093068976218669</v>
      </c>
      <c r="M435" s="403">
        <f>M454/M414*(Q3/M3)</f>
        <v>0.051441572038334542</v>
      </c>
      <c r="N435" s="403">
        <f>N454/N414*(Q3/N3)</f>
        <v>0.054636066258160733</v>
      </c>
      <c r="O435" s="403">
        <f>O454/O414*(Q3/O3)</f>
        <v>0.056387756764424174</v>
      </c>
      <c r="P435" s="403">
        <f>P454/P414*(Q3/P3)</f>
        <v>0.057542705351213516</v>
      </c>
      <c r="Q435" s="1404">
        <f>Q454/Q414</f>
        <v>0.054963666537101198</v>
      </c>
      <c r="R435" s="403">
        <f>R454/R414*(V3/R3)</f>
        <v>0.05878045660062009</v>
      </c>
      <c r="S435" s="403">
        <f>S454/S414*(V3/S3)</f>
        <v>0.0599478595574887</v>
      </c>
      <c r="T435" s="403">
        <f>T454/T414*(V3/T3)</f>
        <v>0.05740769787339544</v>
      </c>
      <c r="U435" s="403">
        <f>U454/U414*(V3/U3)</f>
        <v>0.054789307027158694</v>
      </c>
      <c r="V435" s="1404">
        <f>V454/V414</f>
        <v>0.057699222577290987</v>
      </c>
      <c r="W435" s="403">
        <f>W454/W414*(AA3/W3)</f>
        <v>0.056079948161953816</v>
      </c>
      <c r="X435" s="403">
        <f>X454/X414*(AA3/X3)</f>
        <v>0.053382489191391186</v>
      </c>
      <c r="Y435" s="403">
        <f>Y454/Y414*(AA3/Y3)</f>
        <v>0.054164034590920965</v>
      </c>
      <c r="Z435" s="403">
        <f>Z454/Z414*(AA3/Z3)</f>
        <v>0.020903307691117066</v>
      </c>
      <c r="AA435" s="1404">
        <f>AA454/AA414</f>
        <v>0.03882423810462754</v>
      </c>
      <c r="AB435" s="403">
        <f>AB454/AB414*(AF3/AB3)</f>
        <v>0.021325978992959238</v>
      </c>
      <c r="AC435" s="403">
        <f>AC454/AC414*(AF3/AC3)</f>
        <v>0.055452689550396429</v>
      </c>
      <c r="AD435" s="403">
        <f>AD454/AD414*(AF3/AD3)</f>
        <v>0.055560841023689467</v>
      </c>
      <c r="AE435" s="403">
        <f>AE454/AE414*(AF3/AE3)</f>
        <v>0.05671329579502974</v>
      </c>
      <c r="AF435" s="1404">
        <f>AF454/AF414</f>
        <v>0.040386515843092476</v>
      </c>
      <c r="AG435" s="403">
        <f>AG454/AG414*(AK3/AG3)</f>
        <v>0.059043921580905559</v>
      </c>
      <c r="AH435" s="403">
        <f>AH454/AH414*(AK3/AH3)</f>
        <v>0.05731529187986454</v>
      </c>
      <c r="AI435" s="403">
        <f>AI454/AI414*(AK3/AI3)</f>
        <v>0.055861431692831906</v>
      </c>
      <c r="AJ435" s="403">
        <f>AJ454/AJ414*(AK3/AJ3)</f>
        <v>0.053084039783190436</v>
      </c>
      <c r="AK435" s="1404">
        <f>AK454/AK414</f>
        <v>0.056298818765574077</v>
      </c>
      <c r="AL435" s="403">
        <f>AL454/AL414*(AP3/AL3)</f>
        <v>0.056282813672663086</v>
      </c>
      <c r="AM435" s="403">
        <f>AM454/AM414*(AP3/AM3)</f>
        <v>0.05593479368313805</v>
      </c>
      <c r="AN435" s="403">
        <f>AN454/AN414*(AP3/AN3)</f>
        <v>0.050208899863511812</v>
      </c>
      <c r="AO435" s="403">
        <f>AO454/AO414*(AP3/AO3)</f>
        <v>0.046801380082936758</v>
      </c>
      <c r="AP435" s="1404">
        <f>AP454/AP414</f>
        <v>0.0517523249591288</v>
      </c>
      <c r="AQ435" s="403">
        <f>AQ454/AQ414*(AU3/AQ3)</f>
        <v>0.049131633071262851</v>
      </c>
      <c r="AR435" s="403">
        <f>AR454/AR414*(AU3/AR3)</f>
        <v>0.043786155475696413</v>
      </c>
      <c r="AS435" s="403">
        <f>AS454/AS414*(AU3/AS3)</f>
        <v>0.042431992559869805</v>
      </c>
      <c r="AT435" s="403">
        <f>AT454/AT414*(AU3/AT3)</f>
        <v>0.043962751092471317</v>
      </c>
      <c r="AU435" s="1404">
        <f>AU454/AU414</f>
        <v>0.044719279535014998</v>
      </c>
      <c r="AV435" s="403">
        <f>AV454/AV414*(AZ3/AV3)</f>
        <v>0.046606750717377722</v>
      </c>
      <c r="AW435" s="403">
        <f>AW454/AW414*(AZ3/AW3)</f>
        <v>0.050276247298407968</v>
      </c>
      <c r="AX435" s="403">
        <f>AX454/AX414*(AZ3/AX3)</f>
        <v>0.05249598039329794</v>
      </c>
      <c r="AY435" s="403">
        <f>AY454/AY414*(AZ3/AY3)</f>
        <v>0.05337874505768677</v>
      </c>
      <c r="AZ435" s="1404">
        <f>AZ454/AZ414</f>
        <v>0.050465599962184769</v>
      </c>
      <c r="BA435" s="403">
        <f>BA454/BA414*(BE3/BA3)</f>
        <v>0.053437075819274774</v>
      </c>
      <c r="BB435" s="403">
        <f>BB454/BB414*(BE3/BB3)</f>
        <v>0.051694514120019235</v>
      </c>
      <c r="BC435" s="403">
        <f>BC454/BC414*(BE3/BC3)</f>
        <v>0.05092983443553304</v>
      </c>
      <c r="BD435" s="403">
        <f>BD454/BD414*(BE3/BD3)</f>
        <v>0.049732403702157958</v>
      </c>
      <c r="BE435" s="1404">
        <f>BE454/BE414</f>
        <v>0.051569905176630564</v>
      </c>
      <c r="BF435" s="403">
        <f>BF454/BF414*(BJ3/BF3)</f>
        <v>0.049465293204112519</v>
      </c>
      <c r="BG435" s="403">
        <f>BG454/BG414*(BJ3/BG3)</f>
        <v>0.048499705987096554</v>
      </c>
      <c r="BH435" s="825">
        <f>BH454/BH414*(BJ3/BH3)</f>
        <v>0.046529366895499615</v>
      </c>
      <c r="BI435" s="404"/>
      <c r="BJ435" s="1406"/>
      <c r="BK435" s="404"/>
      <c r="BL435" s="404"/>
      <c r="BM435" s="404"/>
      <c r="BN435" s="404"/>
      <c r="BO435" s="1406"/>
      <c r="BP435" s="1404"/>
      <c r="BQ435" s="1404"/>
      <c r="BR435" s="1406"/>
      <c r="BS435" s="648"/>
    </row>
    <row r="436" spans="1:71" s="681" customFormat="1" ht="15" hidden="1" outlineLevel="1">
      <c r="A436" s="360" t="s">
        <v>531</v>
      </c>
      <c r="B436" s="405"/>
      <c r="C436" s="1408"/>
      <c r="D436" s="1408">
        <f t="shared" si="863"/>
        <v>0.024361948955916476</v>
      </c>
      <c r="E436" s="1408">
        <f t="shared" si="863"/>
        <v>0.021830856723536969</v>
      </c>
      <c r="F436" s="1408">
        <f t="shared" si="863"/>
        <v>0.023981199594082146</v>
      </c>
      <c r="G436" s="1408">
        <f t="shared" si="863"/>
        <v>0.02067953493622305</v>
      </c>
      <c r="H436" s="406">
        <f>H455/H415*(L3/H3)</f>
        <v>0.017540454868908668</v>
      </c>
      <c r="I436" s="406">
        <f>I455/I415*(L3/I3)</f>
        <v>0.019278635706410148</v>
      </c>
      <c r="J436" s="406">
        <f>J455/J415*(L3/J3)</f>
        <v>0.020832325010752904</v>
      </c>
      <c r="K436" s="406">
        <f>K455/K415*(L3/K3)</f>
        <v>0.020359378165464962</v>
      </c>
      <c r="L436" s="1408">
        <f>L455/L415</f>
        <v>0.019515334952631511</v>
      </c>
      <c r="M436" s="406">
        <f>M455/M415*(Q3/M3)</f>
        <v>0.018949680511182107</v>
      </c>
      <c r="N436" s="406">
        <f>N455/N415*(Q3/N3)</f>
        <v>0.019490435490435491</v>
      </c>
      <c r="O436" s="406">
        <f>O455/O415*(Q3/O3)</f>
        <v>0.020031355304517214</v>
      </c>
      <c r="P436" s="406">
        <f>P455/P415*(Q3/P3)</f>
        <v>0.022099445174576935</v>
      </c>
      <c r="Q436" s="1408">
        <f>Q455/Q415</f>
        <v>0.020161413696883568</v>
      </c>
      <c r="R436" s="406">
        <f>R455/R415*(V3/R3)</f>
        <v>0.021778986581526029</v>
      </c>
      <c r="S436" s="406">
        <f>S455/S415*(V3/S3)</f>
        <v>0.019998135821475981</v>
      </c>
      <c r="T436" s="406">
        <f>T455/T415*(V3/T3)</f>
        <v>0.019632131958304586</v>
      </c>
      <c r="U436" s="406">
        <f>U455/U415*(V3/U3)</f>
        <v>0.021290601090553949</v>
      </c>
      <c r="V436" s="1408">
        <f>V455/V415</f>
        <v>0.020666264730495876</v>
      </c>
      <c r="W436" s="406">
        <f>W455/W415*(AA3/W3)</f>
        <v>0.018630131729173261</v>
      </c>
      <c r="X436" s="406">
        <f>X455/X415*(AA3/X3)</f>
        <v>0.019340920655406418</v>
      </c>
      <c r="Y436" s="406">
        <f>Y455/Y415*(AA3/Y3)</f>
        <v>0.018805194984820299</v>
      </c>
      <c r="Z436" s="406">
        <f>Z455/Z415*(AA3/Z3)</f>
        <v>0.020232135819767162</v>
      </c>
      <c r="AA436" s="1408">
        <f>AA455/AA415</f>
        <v>0.019258621580643256</v>
      </c>
      <c r="AB436" s="406">
        <f>AB455/AB415*(AF3/AB3)</f>
        <v>0.020612385502433953</v>
      </c>
      <c r="AC436" s="406">
        <f>AC455/AC415*(AF3/AC3)</f>
        <v>0.018446106796658986</v>
      </c>
      <c r="AD436" s="406">
        <f>AD455/AD415*(AF3/AD3)</f>
        <v>0.021630426016123319</v>
      </c>
      <c r="AE436" s="406">
        <f>AE455/AE415*(AF3/AE3)</f>
        <v>0.019127022862921922</v>
      </c>
      <c r="AF436" s="1408">
        <f>AF455/AF415</f>
        <v>0.019965951681244366</v>
      </c>
      <c r="AG436" s="406">
        <f>AG455/AG415*(AK3/AG3)</f>
        <v>0.018994902364309448</v>
      </c>
      <c r="AH436" s="406">
        <f>AH455/AH415*(AK3/AH3)</f>
        <v>0.018273298455530801</v>
      </c>
      <c r="AI436" s="406">
        <f>AI455/AI415*(AK3/AI3)</f>
        <v>0.017757108018698009</v>
      </c>
      <c r="AJ436" s="406">
        <f>AJ455/AJ415*(AK3/AJ3)</f>
        <v>0.018637187571804232</v>
      </c>
      <c r="AK436" s="1408">
        <f>AK455/AK415</f>
        <v>0.018399770878353181</v>
      </c>
      <c r="AL436" s="406">
        <f>AL455/AL415*(AP3/AL3)</f>
        <v>0.019856918409603384</v>
      </c>
      <c r="AM436" s="406">
        <f>AM455/AM415*(AP3/AM3)</f>
        <v>0.019071073427740379</v>
      </c>
      <c r="AN436" s="406">
        <f>AN455/AN415*(AP3/AN3)</f>
        <v>0.016200573659657456</v>
      </c>
      <c r="AO436" s="406">
        <f>AO455/AO415*(AP3/AO3)</f>
        <v>0.016839087377831692</v>
      </c>
      <c r="AP436" s="1408">
        <f>AP455/AP415</f>
        <v>0.017857358029830673</v>
      </c>
      <c r="AQ436" s="406">
        <f>AQ455/AQ415*(AU3/AQ3)</f>
        <v>0.013374879844136069</v>
      </c>
      <c r="AR436" s="406">
        <f>AR455/AR415*(AU3/AR3)</f>
        <v>0.014108607772731589</v>
      </c>
      <c r="AS436" s="406">
        <f>AS455/AS415*(AU3/AS3)</f>
        <v>0.013661006783182744</v>
      </c>
      <c r="AT436" s="406">
        <f>AT455/AT415*(AU3/AT3)</f>
        <v>0.015064948773084593</v>
      </c>
      <c r="AU436" s="1408">
        <f>AU455/AU415</f>
        <v>0.014079725627708336</v>
      </c>
      <c r="AV436" s="406">
        <f>AV455/AV415*(AZ3/AV3)</f>
        <v>0.015694524644894917</v>
      </c>
      <c r="AW436" s="406">
        <f>AW455/AW415*(AZ3/AW3)</f>
        <v>0.018794994115173651</v>
      </c>
      <c r="AX436" s="406">
        <f>AX455/AX415*(AZ3/AX3)</f>
        <v>0.016743119266055043</v>
      </c>
      <c r="AY436" s="406">
        <f>AY455/AY415*(AZ3/AY3)</f>
        <v>0.017498518182769075</v>
      </c>
      <c r="AZ436" s="1408">
        <f>AZ455/AZ415</f>
        <v>0.01707890314036422</v>
      </c>
      <c r="BA436" s="406">
        <f>BA455/BA415*(BE3/BA3)</f>
        <v>0.016898749955482743</v>
      </c>
      <c r="BB436" s="406">
        <f>BB455/BB415*(BE3/BB3)</f>
        <v>0.015308005457758293</v>
      </c>
      <c r="BC436" s="406">
        <f>BC455/BC415*(BE3/BC3)</f>
        <v>0.015951259518476583</v>
      </c>
      <c r="BD436" s="406">
        <f>BD455/BD415*(BE3/BD3)</f>
        <v>0.013599457825796732</v>
      </c>
      <c r="BE436" s="1408">
        <f>BE455/BE415</f>
        <v>0.015431507876490504</v>
      </c>
      <c r="BF436" s="406">
        <f>BF455/BF415*(BJ3/BF3)</f>
        <v>0.018259923409107672</v>
      </c>
      <c r="BG436" s="406">
        <f>BG455/BG415*(BJ3/BG3)</f>
        <v>0.012145561856678104</v>
      </c>
      <c r="BH436" s="826">
        <f>BH455/BH415*(BJ3/BH3)</f>
        <v>0.009605081744967988</v>
      </c>
      <c r="BI436" s="406"/>
      <c r="BJ436" s="1408"/>
      <c r="BK436" s="406"/>
      <c r="BL436" s="406"/>
      <c r="BM436" s="406"/>
      <c r="BN436" s="406"/>
      <c r="BO436" s="1408"/>
      <c r="BP436" s="1408"/>
      <c r="BQ436" s="1408"/>
      <c r="BR436" s="1408"/>
      <c r="BS436" s="648"/>
    </row>
    <row r="437" spans="1:71" s="681" customFormat="1" ht="15" hidden="1" outlineLevel="1" collapsed="1">
      <c r="A437" s="503" t="s">
        <v>532</v>
      </c>
      <c r="B437" s="407"/>
      <c r="C437" s="1404"/>
      <c r="D437" s="1404">
        <f t="shared" si="863"/>
        <v>0.042065913290078624</v>
      </c>
      <c r="E437" s="1404">
        <f t="shared" si="863"/>
        <v>0.035686311968669407</v>
      </c>
      <c r="F437" s="1404">
        <f t="shared" si="863"/>
        <v>0.033076650569611996</v>
      </c>
      <c r="G437" s="1404">
        <f t="shared" si="863"/>
        <v>0.027548672120407854</v>
      </c>
      <c r="H437" s="403">
        <f>H456/H416*(L3/H3)</f>
        <v>0.026309949276250032</v>
      </c>
      <c r="I437" s="403">
        <f>I456/I416*(L3/I3)</f>
        <v>0.026703020126743436</v>
      </c>
      <c r="J437" s="403">
        <f>J456/J416*(L3/J3)</f>
        <v>0.02765040561538281</v>
      </c>
      <c r="K437" s="403">
        <f>K456/K416*(L3/K3)</f>
        <v>0.027625935581532254</v>
      </c>
      <c r="L437" s="1404">
        <f>L456/L416</f>
        <v>0.027084088046017342</v>
      </c>
      <c r="M437" s="403">
        <f>M456/M416*(Q3/M3)</f>
        <v>0.027022430317946253</v>
      </c>
      <c r="N437" s="403">
        <f>N456/N416*(Q3/N3)</f>
        <v>0.027932265246347707</v>
      </c>
      <c r="O437" s="403">
        <f>O456/O416*(Q3/O3)</f>
        <v>0.028585770198231684</v>
      </c>
      <c r="P437" s="403">
        <f>P456/P416*(Q3/P3)</f>
        <v>0.030351497890596883</v>
      </c>
      <c r="Q437" s="1404">
        <f>Q456/Q416</f>
        <v>0.028484156746216096</v>
      </c>
      <c r="R437" s="403">
        <f>R456/R416*(V3/R3)</f>
        <v>0.030351067236136748</v>
      </c>
      <c r="S437" s="403">
        <f>S456/S416*(V3/S3)</f>
        <v>0.029430066379697018</v>
      </c>
      <c r="T437" s="403">
        <f>T456/T416*(V3/T3)</f>
        <v>0.028462530160382266</v>
      </c>
      <c r="U437" s="403">
        <f>U456/U416*(V3/U3)</f>
        <v>0.029054109677646978</v>
      </c>
      <c r="V437" s="1404">
        <f>V456/V416</f>
        <v>0.029306709547839711</v>
      </c>
      <c r="W437" s="403">
        <f>W456/W416*(AA3/W3)</f>
        <v>0.026986980540872518</v>
      </c>
      <c r="X437" s="403">
        <f>X456/X416*(AA3/X3)</f>
        <v>0.026430521821775008</v>
      </c>
      <c r="Y437" s="403">
        <f>Y456/Y416*(AA3/Y3)</f>
        <v>0.02596684229741341</v>
      </c>
      <c r="Z437" s="403">
        <f>Z456/Z416*(AA3/Z3)</f>
        <v>0.020506899983609682</v>
      </c>
      <c r="AA437" s="1404">
        <f>AA456/AA416</f>
        <v>0.024597031607639701</v>
      </c>
      <c r="AB437" s="403">
        <f>AB456/AB416*(AF3/AB3)</f>
        <v>0.020906797943709657</v>
      </c>
      <c r="AC437" s="403">
        <f>AC456/AC416*(AF3/AC3)</f>
        <v>0.025695732931504234</v>
      </c>
      <c r="AD437" s="403">
        <f>AD456/AD416*(AF3/AD3)</f>
        <v>0.028589228273412978</v>
      </c>
      <c r="AE437" s="403">
        <f>AE456/AE416*(AF3/AE3)</f>
        <v>0.028450240625499744</v>
      </c>
      <c r="AF437" s="1404">
        <f>AF456/AF416</f>
        <v>0.025583204797299322</v>
      </c>
      <c r="AG437" s="403">
        <f>AG456/AG416*(AK3/AG3)</f>
        <v>0.029975777294182115</v>
      </c>
      <c r="AH437" s="403">
        <f>AH456/AH416*(AK3/AH3)</f>
        <v>0.02865197492141611</v>
      </c>
      <c r="AI437" s="403">
        <f>AI456/AI416*(AK3/AI3)</f>
        <v>0.02781174168555918</v>
      </c>
      <c r="AJ437" s="403">
        <f>AJ456/AJ416*(AK3/AJ3)</f>
        <v>0.027279604051287314</v>
      </c>
      <c r="AK437" s="1404">
        <f>AK456/AK416</f>
        <v>0.028380163994290775</v>
      </c>
      <c r="AL437" s="403">
        <f>AL456/AL416*(AP3/AL3)</f>
        <v>0.028966278880691747</v>
      </c>
      <c r="AM437" s="403">
        <f>AM456/AM416*(AP3/AM3)</f>
        <v>0.028944992289940026</v>
      </c>
      <c r="AN437" s="403">
        <f>AN456/AN416*(AP3/AN3)</f>
        <v>0.025522891061585479</v>
      </c>
      <c r="AO437" s="403">
        <f>AO456/AO416*(AP3/AO3)</f>
        <v>0.024912727661684772</v>
      </c>
      <c r="AP437" s="1404">
        <f>AP456/AP416</f>
        <v>0.026873397522432362</v>
      </c>
      <c r="AQ437" s="403">
        <f>AQ456/AQ416*(AU3/AQ3)</f>
        <v>0.022510216197211511</v>
      </c>
      <c r="AR437" s="403">
        <f>AR456/AR416*(AU3/AR3)</f>
        <v>0.021776640237702118</v>
      </c>
      <c r="AS437" s="403">
        <f>AS456/AS416*(AU3/AS3)</f>
        <v>0.021195045092920344</v>
      </c>
      <c r="AT437" s="403">
        <f>AT456/AT416*(AU3/AT3)</f>
        <v>0.022289062061247263</v>
      </c>
      <c r="AU437" s="1404">
        <f>AU456/AU416</f>
        <v>0.021934914349504408</v>
      </c>
      <c r="AV437" s="403">
        <f>AV456/AV416*(AZ3/AV3)</f>
        <v>0.023203930240782634</v>
      </c>
      <c r="AW437" s="403">
        <f>AW456/AW416*(AZ3/AW3)</f>
        <v>0.027465977224210184</v>
      </c>
      <c r="AX437" s="403">
        <f>AX456/AX416*(AZ3/AX3)</f>
        <v>0.028335346889661966</v>
      </c>
      <c r="AY437" s="403">
        <f>AY456/AY416*(AZ3/AY3)</f>
        <v>0.028629219157895663</v>
      </c>
      <c r="AZ437" s="1404">
        <f>AZ456/AZ416</f>
        <v>0.026492731485277584</v>
      </c>
      <c r="BA437" s="403">
        <f>BA456/BA416*(BE3/BA3)</f>
        <v>0.027489033331366212</v>
      </c>
      <c r="BB437" s="403">
        <f>BB456/BB416*(BE3/BB3)</f>
        <v>0.025233347464821233</v>
      </c>
      <c r="BC437" s="403">
        <f>BC456/BC416*(BE3/BC3)</f>
        <v>0.024987610700961702</v>
      </c>
      <c r="BD437" s="403">
        <f>BD456/BD416*(BE3/BD3)</f>
        <v>0.022348749878878638</v>
      </c>
      <c r="BE437" s="1404">
        <f>BE456/BE416</f>
        <v>0.025051207098015182</v>
      </c>
      <c r="BF437" s="403">
        <f>BF456/BF416*(BJ3/BF3)</f>
        <v>0.02531496132436464</v>
      </c>
      <c r="BG437" s="403">
        <f>BG456/BG416*(BJ3/BG3)</f>
        <v>0.019778454133445977</v>
      </c>
      <c r="BH437" s="825">
        <f>BH456/BH416*(BJ3/BH3)</f>
        <v>0.016548743486680242</v>
      </c>
      <c r="BI437" s="1252">
        <v>0.028500000000000001</v>
      </c>
      <c r="BJ437" s="1404">
        <f>BJ456/BJ416</f>
        <v>0.022524444366149594</v>
      </c>
      <c r="BK437" s="1252">
        <v>0.028500000000000001</v>
      </c>
      <c r="BL437" s="1252">
        <v>0.028500000000000001</v>
      </c>
      <c r="BM437" s="1252">
        <v>0.028500000000000001</v>
      </c>
      <c r="BN437" s="1252">
        <v>0.028500000000000001</v>
      </c>
      <c r="BO437" s="1404">
        <f>BO456/BO416</f>
        <v>0.028499999999999998</v>
      </c>
      <c r="BP437" s="1409">
        <v>0.028500000000000001</v>
      </c>
      <c r="BQ437" s="1409">
        <v>0.028500000000000001</v>
      </c>
      <c r="BR437" s="1409">
        <v>0.028500000000000001</v>
      </c>
      <c r="BS437" s="648"/>
    </row>
    <row r="438" spans="1:71" s="681" customFormat="1" ht="15" hidden="1" outlineLevel="1">
      <c r="A438" s="56" t="s">
        <v>533</v>
      </c>
      <c r="B438" s="492"/>
      <c r="C438" s="1412"/>
      <c r="D438" s="1412">
        <f>D457/D420</f>
        <v>0.034401788549052813</v>
      </c>
      <c r="E438" s="1412">
        <f>E457/E420</f>
        <v>0.030489354133848262</v>
      </c>
      <c r="F438" s="1412">
        <f>F457/F420</f>
        <v>0.027313223484439784</v>
      </c>
      <c r="G438" s="1412">
        <f>G457/G420</f>
        <v>0.024442372184348773</v>
      </c>
      <c r="H438" s="494">
        <f>H457/H420*(L3/H3)</f>
        <v>0.023635213644353174</v>
      </c>
      <c r="I438" s="494">
        <f>I457/I420*(L3/I3)</f>
        <v>0.022010300672390737</v>
      </c>
      <c r="J438" s="494">
        <f>J457/J420*(L3/J3)</f>
        <v>0.021324424225322606</v>
      </c>
      <c r="K438" s="494">
        <f>K457/K420*(L3/K3)</f>
        <v>0.021700218046310536</v>
      </c>
      <c r="L438" s="1412">
        <f>L457/L420</f>
        <v>0.02213723850817681</v>
      </c>
      <c r="M438" s="494">
        <f>M457/M420*(Q3/M3)</f>
        <v>0.021943590702825266</v>
      </c>
      <c r="N438" s="494">
        <f>N457/N420*(Q3/N3)</f>
        <v>0.022492825922839785</v>
      </c>
      <c r="O438" s="494">
        <f>O457/O420*(Q3/O3)</f>
        <v>0.022416795857799508</v>
      </c>
      <c r="P438" s="494">
        <f>P457/P420*(Q3/P3)</f>
        <v>0.02245145385801435</v>
      </c>
      <c r="Q438" s="1412">
        <f>Q457/Q420</f>
        <v>0.022333268153302572</v>
      </c>
      <c r="R438" s="494">
        <f>R457/R420*(V3/R3)</f>
        <v>0.022608746564097913</v>
      </c>
      <c r="S438" s="494">
        <f>S457/S420*(V3/S3)</f>
        <v>0.02108970569036046</v>
      </c>
      <c r="T438" s="494">
        <f>T457/T420*(V3/T3)</f>
        <v>0.020679572198389159</v>
      </c>
      <c r="U438" s="494">
        <f>U457/U420*(V3/U3)</f>
        <v>0.021362380136888095</v>
      </c>
      <c r="V438" s="1412">
        <f>V457/V420</f>
        <v>0.02141283211951938</v>
      </c>
      <c r="W438" s="494">
        <f>W457/W420*(AA3/W3)</f>
        <v>0.021930363028936656</v>
      </c>
      <c r="X438" s="494">
        <f>X457/X420*(AA3/X3)</f>
        <v>0.022144382404836564</v>
      </c>
      <c r="Y438" s="494">
        <f>Y457/Y420*(AA3/Y3)</f>
        <v>0.021404834430731989</v>
      </c>
      <c r="Z438" s="494">
        <f>Z457/Z420*(AA3/Z3)</f>
        <v>0.022253312419954499</v>
      </c>
      <c r="AA438" s="1412">
        <f>AA457/AA420</f>
        <v>0.021931990793987867</v>
      </c>
      <c r="AB438" s="494">
        <f>AB457/AB420*(AF3/AB3)</f>
        <v>0.023862835136525436</v>
      </c>
      <c r="AC438" s="494">
        <f>AC457/AC420*(AF3/AC3)</f>
        <v>0.025609942997865776</v>
      </c>
      <c r="AD438" s="494">
        <f>AD457/AD420*(AF3/AD3)</f>
        <v>0.027351459685934679</v>
      </c>
      <c r="AE438" s="494">
        <f>AE457/AE420*(AF3/AE3)</f>
        <v>0.029371142275580867</v>
      </c>
      <c r="AF438" s="1412">
        <f>AF457/AF420</f>
        <v>0.026681674730987346</v>
      </c>
      <c r="AG438" s="494">
        <f>AG457/AG420*(AK3/AG3)</f>
        <v>0.030130772812533502</v>
      </c>
      <c r="AH438" s="494">
        <f>AH457/AH420*(AK3/AH3)</f>
        <v>0.029387748235142841</v>
      </c>
      <c r="AI438" s="494">
        <f>AI457/AI420*(AK3/AI3)</f>
        <v>0.027681322248770117</v>
      </c>
      <c r="AJ438" s="494">
        <f>AJ457/AJ420*(AK3/AJ3)</f>
        <v>0.026997101747219615</v>
      </c>
      <c r="AK438" s="1412">
        <f>AK457/AK420</f>
        <v>0.028474361023281217</v>
      </c>
      <c r="AL438" s="494">
        <f>AL457/AL420*(AP3/AL3)</f>
        <v>0.024375440631913894</v>
      </c>
      <c r="AM438" s="494">
        <f>AM457/AM420*(AP3/AM3)</f>
        <v>0.023313264632234394</v>
      </c>
      <c r="AN438" s="494">
        <f>AN457/AN420*(AP3/AN3)</f>
        <v>0.020481719913845824</v>
      </c>
      <c r="AO438" s="494">
        <f>AO457/AO420*(AP3/AO3)</f>
        <v>0.018856257023683463</v>
      </c>
      <c r="AP438" s="1412">
        <f>AP457/AP420</f>
        <v>0.021614381470935799</v>
      </c>
      <c r="AQ438" s="494">
        <f>AQ457/AQ420*(AU3/AQ3)</f>
        <v>0.018814386745165869</v>
      </c>
      <c r="AR438" s="494">
        <f>AR457/AR420*(AU3/AR3)</f>
        <v>0.017187027998124625</v>
      </c>
      <c r="AS438" s="494">
        <f>AS457/AS420*(AU3/AS3)</f>
        <v>0.016057084912714712</v>
      </c>
      <c r="AT438" s="494">
        <f>AT457/AT420*(AU3/AT3)</f>
        <v>0.016901301376016812</v>
      </c>
      <c r="AU438" s="1412">
        <f>AU457/AU420</f>
        <v>0.017199176655615715</v>
      </c>
      <c r="AV438" s="494">
        <f>AV457/AV420*(AZ3/AV3)</f>
        <v>0.018763149279240412</v>
      </c>
      <c r="AW438" s="494">
        <f>AW457/AW420*(AZ3/AW3)</f>
        <v>0.022314667653764789</v>
      </c>
      <c r="AX438" s="494">
        <f>AX457/AX420*(AZ3/AX3)</f>
        <v>0.025388893316230593</v>
      </c>
      <c r="AY438" s="494">
        <f>AY457/AY420*(AZ3/AY3)</f>
        <v>0.029384836240618429</v>
      </c>
      <c r="AZ438" s="1412">
        <f>AZ457/AZ420</f>
        <v>0.02400800508476959</v>
      </c>
      <c r="BA438" s="494">
        <f>BA457/BA420*(BE3/BA3)</f>
        <v>0.030874327432489249</v>
      </c>
      <c r="BB438" s="494">
        <f>BB457/BB420*(BE3/BB3)</f>
        <v>0.031443951039990786</v>
      </c>
      <c r="BC438" s="494">
        <f>BC457/BC420*(BE3/BC3)</f>
        <v>0.033419650186497021</v>
      </c>
      <c r="BD438" s="494">
        <f>BD457/BD420*(BE3/BD3)</f>
        <v>0.03149237911202192</v>
      </c>
      <c r="BE438" s="1412">
        <f>BE457/BE420</f>
        <v>0.03183436458033026</v>
      </c>
      <c r="BF438" s="494">
        <f>BF457/BF420*(BJ3/BF3)</f>
        <v>0.036789635200732633</v>
      </c>
      <c r="BG438" s="494">
        <f>BG457/BG420*(BJ3/BG3)</f>
        <v>0.038970036742211549</v>
      </c>
      <c r="BH438" s="983">
        <f>BH457/BH420*(BJ3/BH3)</f>
        <v>0.038771968447123752</v>
      </c>
      <c r="BI438" s="494">
        <f>BI457/BI420*(BJ3/BI3)</f>
        <v>0.027468837031119981</v>
      </c>
      <c r="BJ438" s="1412">
        <f>BJ457/BJ420</f>
        <v>0.035385802093083833</v>
      </c>
      <c r="BK438" s="494">
        <f>BK457/BK420*(BO3/BK3)</f>
        <v>0.027445772541047138</v>
      </c>
      <c r="BL438" s="494">
        <f>BL457/BL420*(BO3/BL3)</f>
        <v>0.027485253211781309</v>
      </c>
      <c r="BM438" s="494">
        <f>BM457/BM420*(BO3/BM3)</f>
        <v>0.02750603801385389</v>
      </c>
      <c r="BN438" s="494">
        <f>BN457/BN420*(BO3/BN3)</f>
        <v>0.027468837031119988</v>
      </c>
      <c r="BO438" s="1412">
        <f>BO457/BO420</f>
        <v>0.027477176848593819</v>
      </c>
      <c r="BP438" s="1412">
        <f>BP457/BP420</f>
        <v>0.027428513322456057</v>
      </c>
      <c r="BQ438" s="1412">
        <f>BQ457/BQ420</f>
        <v>0.027428513322456053</v>
      </c>
      <c r="BR438" s="1412">
        <f>BR457/BR420</f>
        <v>0.02742851332245606</v>
      </c>
      <c r="BS438" s="648"/>
    </row>
    <row r="439" spans="1:71" s="681" customFormat="1" ht="15" hidden="1" outlineLevel="1">
      <c r="A439" s="1001" t="s">
        <v>534</v>
      </c>
      <c r="B439" s="405"/>
      <c r="C439" s="1408"/>
      <c r="D439" s="1408">
        <f>D458/D420</f>
        <v>-0.00078712033019367133</v>
      </c>
      <c r="E439" s="1408">
        <f>E458/E420</f>
        <v>-0.00085751308501448239</v>
      </c>
      <c r="F439" s="1408">
        <f>F458/F420</f>
        <v>-0.00094948903309339215</v>
      </c>
      <c r="G439" s="1408">
        <f>G458/G420</f>
        <v>-0.0010889018887814148</v>
      </c>
      <c r="H439" s="406">
        <f>H458/H420*(L3/H3)</f>
        <v>-0.00093808689198303982</v>
      </c>
      <c r="I439" s="406">
        <f>I458/I420*(L3/I3)</f>
        <v>-0.0013312681858300851</v>
      </c>
      <c r="J439" s="406">
        <f>J458/J420*(L3/J3)</f>
        <v>-0.00081775078150204668</v>
      </c>
      <c r="K439" s="406">
        <f>K458/K420*(L3/K3)</f>
        <v>-0.0010204517123504951</v>
      </c>
      <c r="L439" s="1408">
        <f>L458/L420</f>
        <v>-0.0010244706361521587</v>
      </c>
      <c r="M439" s="406">
        <f>M458/M420*(Q3/M3)</f>
        <v>-0.0011065749831110742</v>
      </c>
      <c r="N439" s="406">
        <f>N458/N420*(Q3/N3)</f>
        <v>-0.0011315896536644903</v>
      </c>
      <c r="O439" s="406">
        <f>O458/O420*(Q3/O3)</f>
        <v>-0.00093482808258057504</v>
      </c>
      <c r="P439" s="406">
        <f>P458/P420*(Q3/P3)</f>
        <v>-0.0013050971492864277</v>
      </c>
      <c r="Q439" s="1408">
        <f>Q458/Q420</f>
        <v>-0.0011201023182914622</v>
      </c>
      <c r="R439" s="406">
        <f>R458/R420*(V3/R3)</f>
        <v>-0.00091348470966052197</v>
      </c>
      <c r="S439" s="406">
        <f>S458/S420*(V3/S3)</f>
        <v>-0.00097535288096780453</v>
      </c>
      <c r="T439" s="406">
        <f>T458/T420*(V3/T3)</f>
        <v>-0.00083203643379939623</v>
      </c>
      <c r="U439" s="406">
        <f>U458/U420*(V3/U3)</f>
        <v>-0.0012695550794505602</v>
      </c>
      <c r="V439" s="1408">
        <f>V458/V420</f>
        <v>-0.0010015607422786262</v>
      </c>
      <c r="W439" s="406">
        <f>W458/W420*(AA3/W3)</f>
        <v>-0.00095054205078982392</v>
      </c>
      <c r="X439" s="406">
        <f>X458/X420*(AA3/X3)</f>
        <v>-0.0010529749558495774</v>
      </c>
      <c r="Y439" s="406">
        <f>Y458/Y420*(AA3/Y3)</f>
        <v>-0.00086877564519416048</v>
      </c>
      <c r="Z439" s="406">
        <f>Z458/Z420*(AA3/Z3)</f>
        <v>-0.00086264483099692164</v>
      </c>
      <c r="AA439" s="1408">
        <f>AA458/AA420</f>
        <v>-0.0009308729887698632</v>
      </c>
      <c r="AB439" s="406">
        <f>AB458/AB420*(AF3/AB3)</f>
        <v>-0.00086095616848558395</v>
      </c>
      <c r="AC439" s="406">
        <f>AC458/AC420*(AF3/AC3)</f>
        <v>-0.00082655724407479348</v>
      </c>
      <c r="AD439" s="406">
        <f>AD458/AD420*(AF3/AD3)</f>
        <v>-0.00072736573213398039</v>
      </c>
      <c r="AE439" s="406">
        <f>AE458/AE420*(AF3/AE3)</f>
        <v>-0.00075835326367278458</v>
      </c>
      <c r="AF439" s="1408">
        <f>AF458/AF420</f>
        <v>-0.00079020682018646259</v>
      </c>
      <c r="AG439" s="406">
        <f>AG458/AG420*(AK3/AG3)</f>
        <v>-0.0007386745410743684</v>
      </c>
      <c r="AH439" s="406">
        <f>AH458/AH420*(AK3/AH3)</f>
        <v>-0.00069729827423607206</v>
      </c>
      <c r="AI439" s="406">
        <f>AI458/AI420*(AK3/AI3)</f>
        <v>-0.00062098783751993799</v>
      </c>
      <c r="AJ439" s="406">
        <f>AJ458/AJ420*(AK3/AJ3)</f>
        <v>-0.00064230264730922844</v>
      </c>
      <c r="AK439" s="1408">
        <f>AK458/AK420</f>
        <v>-0.00067223539459953748</v>
      </c>
      <c r="AL439" s="406">
        <f>AL458/AL420*(AP3/AL3)</f>
        <v>-0.00053561291604122571</v>
      </c>
      <c r="AM439" s="406">
        <f>AM458/AM420*(AP3/AM3)</f>
        <v>-0.00043031046285912537</v>
      </c>
      <c r="AN439" s="406">
        <f>AN458/AN420*(AP3/AN3)</f>
        <v>-0.00041763159911095601</v>
      </c>
      <c r="AO439" s="406">
        <f>AO458/AO420*(AP3/AO3)</f>
        <v>-0.00046906111999212594</v>
      </c>
      <c r="AP439" s="1408">
        <f>AP458/AP420</f>
        <v>-0.00046154989261020288</v>
      </c>
      <c r="AQ439" s="406">
        <f>AQ458/AQ420*(AU3/AQ3)</f>
        <v>-0.00047847668380076686</v>
      </c>
      <c r="AR439" s="406">
        <f>AR458/AR420*(AU3/AR3)</f>
        <v>-0.00051389784712000536</v>
      </c>
      <c r="AS439" s="406">
        <f>AS458/AS420*(AU3/AS3)</f>
        <v>-0.00050730857072243702</v>
      </c>
      <c r="AT439" s="406">
        <f>AT458/AT420*(AU3/AT3)</f>
        <v>-0.00053509321407561134</v>
      </c>
      <c r="AU439" s="1408">
        <f>AU458/AU420</f>
        <v>-0.00050944244943454604</v>
      </c>
      <c r="AV439" s="406">
        <f>AV458/AV420*(AZ3/AV3)</f>
        <v>-0.00044157700615883718</v>
      </c>
      <c r="AW439" s="406">
        <f>AW458/AW420*(AZ3/AW3)</f>
        <v>-0.00045026176182357122</v>
      </c>
      <c r="AX439" s="406">
        <f>AX458/AX420*(AZ3/AX3)</f>
        <v>-0.00044141361281216254</v>
      </c>
      <c r="AY439" s="406">
        <f>AY458/AY420*(AZ3/AY3)</f>
        <v>-0.00051710117332381326</v>
      </c>
      <c r="AZ439" s="1408">
        <f>AZ458/AZ420</f>
        <v>-0.00046290131203673818</v>
      </c>
      <c r="BA439" s="406">
        <f>BA458/BA420*(BE3/BA3)</f>
        <v>-0.00040469208979668941</v>
      </c>
      <c r="BB439" s="406">
        <f>BB458/BB420*(BE3/BB3)</f>
        <v>-0.00042202002495917221</v>
      </c>
      <c r="BC439" s="406">
        <f>BC458/BC420*(BE3/BC3)</f>
        <v>-0.00047162187640685716</v>
      </c>
      <c r="BD439" s="406">
        <f>BD458/BD420*(BE3/BD3)</f>
        <v>-0.00045919922252012264</v>
      </c>
      <c r="BE439" s="1408">
        <f>BE458/BE420</f>
        <v>-0.00044088188603692396</v>
      </c>
      <c r="BF439" s="406">
        <f>BF458/BF420*(BJ3/BF3)</f>
        <v>-0.00033954164612075136</v>
      </c>
      <c r="BG439" s="406">
        <f>BG458/BG420*(BJ3/BG3)</f>
        <v>-0.00041530112148634212</v>
      </c>
      <c r="BH439" s="826">
        <f>BH458/BH420*(BJ3/BH3)</f>
        <v>-0.00037749583883609335</v>
      </c>
      <c r="BI439" s="1250">
        <v>-0.00050000000000000001</v>
      </c>
      <c r="BJ439" s="1408">
        <f>BJ458/BJ420</f>
        <v>-0.00041012036738792155</v>
      </c>
      <c r="BK439" s="1250">
        <v>-0.00050000000000000001</v>
      </c>
      <c r="BL439" s="1250">
        <v>-0.00050000000000000001</v>
      </c>
      <c r="BM439" s="1250">
        <v>-0.00050000000000000001</v>
      </c>
      <c r="BN439" s="1250">
        <v>-0.00050000000000000001</v>
      </c>
      <c r="BO439" s="1408">
        <f>BO458/BO420</f>
        <v>-0.00050000000000000001</v>
      </c>
      <c r="BP439" s="1411">
        <v>-0.00050000000000000012</v>
      </c>
      <c r="BQ439" s="1411">
        <v>-0.00050000000000000012</v>
      </c>
      <c r="BR439" s="1411">
        <v>-0.00050000000000000012</v>
      </c>
      <c r="BS439" s="648"/>
    </row>
    <row r="440" spans="1:71" s="682" customFormat="1" ht="15" hidden="1" outlineLevel="1">
      <c r="A440" s="104" t="s">
        <v>46</v>
      </c>
      <c r="B440" s="109"/>
      <c r="C440" s="1413"/>
      <c r="D440" s="1413">
        <f>D459/D420*(D3/D3)</f>
        <v>0.033614668218859139</v>
      </c>
      <c r="E440" s="1413">
        <f>E459/E420*(E3/E3)</f>
        <v>0.02963184104883378</v>
      </c>
      <c r="F440" s="1413">
        <f>F459/F420*(F3/F3)</f>
        <v>0.026363734451346394</v>
      </c>
      <c r="G440" s="1413">
        <f>G459/G420*(G3/G3)</f>
        <v>0.023353470295567356</v>
      </c>
      <c r="H440" s="203">
        <f>H459/H420*(L3/H3)</f>
        <v>0.022697126752370136</v>
      </c>
      <c r="I440" s="203">
        <f>I459/I420*(L3/I3)</f>
        <v>0.020679032486560653</v>
      </c>
      <c r="J440" s="203">
        <f>J459/J420*(L3/J3)</f>
        <v>0.020506673443820556</v>
      </c>
      <c r="K440" s="203">
        <f>K459/K420*(L3/K3)</f>
        <v>0.020679766333960035</v>
      </c>
      <c r="L440" s="1413">
        <f>L459/L420*(L3/L3)</f>
        <v>0.021112767872024651</v>
      </c>
      <c r="M440" s="203">
        <f>M459/M420*(Q3/M3)</f>
        <v>0.020837015719714191</v>
      </c>
      <c r="N440" s="203">
        <f>N459/N420*(Q3/N3)</f>
        <v>0.021361236269175295</v>
      </c>
      <c r="O440" s="203">
        <f>O459/O420*(Q3/O3)</f>
        <v>0.021481967775218932</v>
      </c>
      <c r="P440" s="203">
        <f>P459/P420*(Q3/P3)</f>
        <v>0.021146356708727922</v>
      </c>
      <c r="Q440" s="1413">
        <f>Q459/Q420*(Q3/Q3)</f>
        <v>0.021213165835011108</v>
      </c>
      <c r="R440" s="203">
        <f>R459/R420*(V3/R3)</f>
        <v>0.021695261854437393</v>
      </c>
      <c r="S440" s="203">
        <f>S459/S420*(V3/S3)</f>
        <v>0.020114352809392652</v>
      </c>
      <c r="T440" s="203">
        <f>T459/T420*(V3/T3)</f>
        <v>0.019847535764589763</v>
      </c>
      <c r="U440" s="203">
        <f>U459/U420*(V3/U3)</f>
        <v>0.020092825057437536</v>
      </c>
      <c r="V440" s="1413">
        <f>V459/V420*(V3/V3)</f>
        <v>0.020411271377240758</v>
      </c>
      <c r="W440" s="203">
        <f>W459/W420*(AA3/W3)</f>
        <v>0.020979820978146834</v>
      </c>
      <c r="X440" s="203">
        <f>X459/X420*(AA3/X3)</f>
        <v>0.021091407448986989</v>
      </c>
      <c r="Y440" s="203">
        <f>Y459/Y420*(AA3/Y3)</f>
        <v>0.020536058785537829</v>
      </c>
      <c r="Z440" s="203">
        <f>Z459/Z420*(AA3/Z3)</f>
        <v>0.021390667588957572</v>
      </c>
      <c r="AA440" s="1413">
        <f>AA459/AA420*(AA3/AA3)</f>
        <v>0.021001117805218003</v>
      </c>
      <c r="AB440" s="203">
        <f>AB459/AB420*(AF3/AB3)</f>
        <v>0.02300187896803985</v>
      </c>
      <c r="AC440" s="203">
        <f>AC459/AC420*(AF3/AC3)</f>
        <v>0.024783385753790986</v>
      </c>
      <c r="AD440" s="203">
        <f>AD459/AD420*(AF3/AD3)</f>
        <v>0.026624093953800696</v>
      </c>
      <c r="AE440" s="203">
        <f>AE459/AE420*(AF3/AE3)</f>
        <v>0.028612789011908082</v>
      </c>
      <c r="AF440" s="1413">
        <f>AF459/AF420*(AF3/AF3)</f>
        <v>0.025891467910800884</v>
      </c>
      <c r="AG440" s="203">
        <f>AG459/AG420*(AK3/AG3)</f>
        <v>0.029392098271459135</v>
      </c>
      <c r="AH440" s="203">
        <f>AH459/AH420*(AK3/AH3)</f>
        <v>0.028690449960906774</v>
      </c>
      <c r="AI440" s="203">
        <f>AI459/AI420*(AK3/AI3)</f>
        <v>0.027060334411250178</v>
      </c>
      <c r="AJ440" s="203">
        <f>AJ459/AJ420*(AK3/AJ3)</f>
        <v>0.026354799099910387</v>
      </c>
      <c r="AK440" s="1413">
        <f>AK459/AK420*(AK3/AK3)</f>
        <v>0.02780212562868168</v>
      </c>
      <c r="AL440" s="203">
        <f>AL459/AL420*(AP3/AL3)</f>
        <v>0.023839827715872668</v>
      </c>
      <c r="AM440" s="203">
        <f>AM459/AM420*(AP3/AM3)</f>
        <v>0.022882954169375271</v>
      </c>
      <c r="AN440" s="203">
        <f>AN459/AN420*(AP3/AN3)</f>
        <v>0.020064088314734871</v>
      </c>
      <c r="AO440" s="203">
        <f>AO459/AO420*(AP3/AO3)</f>
        <v>0.018387195903691336</v>
      </c>
      <c r="AP440" s="1413">
        <f>AP459/AP420*(AP3/AP3)</f>
        <v>0.021152831578325596</v>
      </c>
      <c r="AQ440" s="203">
        <f>AQ459/AQ420*(AU3/AQ3)</f>
        <v>0.018335910061365101</v>
      </c>
      <c r="AR440" s="203">
        <f>AR459/AR420*(AU3/AR3)</f>
        <v>0.01667313015100462</v>
      </c>
      <c r="AS440" s="203">
        <f>AS459/AS420*(AU3/AS3)</f>
        <v>0.015549776341992274</v>
      </c>
      <c r="AT440" s="203">
        <f>AT459/AT420*(AU3/AT3)</f>
        <v>0.016366208161941197</v>
      </c>
      <c r="AU440" s="1413">
        <f>AU459/AU420*(AU3/AU3)</f>
        <v>0.016689734206181167</v>
      </c>
      <c r="AV440" s="203">
        <f>AV459/AV420*(AZ3/AV3)</f>
        <v>0.018321572273081576</v>
      </c>
      <c r="AW440" s="203">
        <f>AW459/AW420*(AZ3/AW3)</f>
        <v>0.021864405891941219</v>
      </c>
      <c r="AX440" s="203">
        <f>AX459/AX420*(AZ3/AX3)</f>
        <v>0.024947479703418429</v>
      </c>
      <c r="AY440" s="203">
        <f>AY459/AY420*(AZ3/AY3)</f>
        <v>0.028867735067294616</v>
      </c>
      <c r="AZ440" s="1413">
        <f>AZ459/AZ420*(AZ3/AZ3)</f>
        <v>0.023545103772732855</v>
      </c>
      <c r="BA440" s="203">
        <f>BA459/BA420*(BE3/BA3)</f>
        <v>0.03046963534269256</v>
      </c>
      <c r="BB440" s="203">
        <f>BB459/BB420*(BE3/BB3)</f>
        <v>0.03102193101503161</v>
      </c>
      <c r="BC440" s="203">
        <f>BC459/BC420*(BE3/BC3)</f>
        <v>0.032948028310090159</v>
      </c>
      <c r="BD440" s="203">
        <f>BD459/BD420*(BE3/BD3)</f>
        <v>0.031033179889501803</v>
      </c>
      <c r="BE440" s="1413">
        <f>BE459/BE420*(BE3/BE3)</f>
        <v>0.031393482694293331</v>
      </c>
      <c r="BF440" s="203">
        <f>BF459/BF420*(BJ3/BF3)</f>
        <v>0.03645009355461188</v>
      </c>
      <c r="BG440" s="203">
        <f>BG459/BG420*(BJ3/BG3)</f>
        <v>0.038554735620725214</v>
      </c>
      <c r="BH440" s="827">
        <f>BH459/BH420*(BJ3/BH3)</f>
        <v>0.038394472608287655</v>
      </c>
      <c r="BI440" s="105">
        <f>BI459/BI420*(BJ3/BI3)</f>
        <v>0.026968837031119984</v>
      </c>
      <c r="BJ440" s="1414">
        <f>BJ459/BJ420*(BJ3/BJ3)</f>
        <v>0.034975681725695908</v>
      </c>
      <c r="BK440" s="105">
        <f>BK459/BK420*(BO3/BK3)</f>
        <v>0.026945772541047141</v>
      </c>
      <c r="BL440" s="105">
        <f>BL459/BL420*(BO3/BL3)</f>
        <v>0.026985253211781305</v>
      </c>
      <c r="BM440" s="105">
        <f>BM459/BM420*(BO3/BM3)</f>
        <v>0.02700603801385389</v>
      </c>
      <c r="BN440" s="105">
        <f>BN459/BN420*(BO3/BN3)</f>
        <v>0.026968837031119988</v>
      </c>
      <c r="BO440" s="1414">
        <f>BO459/BO420*(BO3/BO3)</f>
        <v>0.026977176848593819</v>
      </c>
      <c r="BP440" s="1413">
        <f>BP459/BP420*(BP3/BP3)</f>
        <v>0.026928513322456056</v>
      </c>
      <c r="BQ440" s="1413">
        <f>BQ459/BQ420*(BQ3/BQ3)</f>
        <v>0.026928513322456053</v>
      </c>
      <c r="BR440" s="1414">
        <f>BR459/BR420*(BR3/BR3)</f>
        <v>0.026928513322456056</v>
      </c>
      <c r="BS440" s="648"/>
    </row>
    <row r="441" spans="1:71" s="665" customFormat="1" ht="15" hidden="1" outlineLevel="1">
      <c r="A441" s="999"/>
      <c r="B441" s="308"/>
      <c r="C441" s="1351"/>
      <c r="D441" s="1351"/>
      <c r="E441" s="1351"/>
      <c r="F441" s="1351"/>
      <c r="G441" s="1351"/>
      <c r="H441" s="1047"/>
      <c r="I441" s="1047"/>
      <c r="J441" s="1047"/>
      <c r="K441" s="1047"/>
      <c r="L441" s="1351"/>
      <c r="M441" s="1047"/>
      <c r="N441" s="1047"/>
      <c r="O441" s="1047"/>
      <c r="P441" s="1047"/>
      <c r="Q441" s="1351"/>
      <c r="R441" s="1047"/>
      <c r="S441" s="1047"/>
      <c r="T441" s="1047"/>
      <c r="U441" s="1047"/>
      <c r="V441" s="1351"/>
      <c r="W441" s="1047"/>
      <c r="X441" s="1047"/>
      <c r="Y441" s="1047"/>
      <c r="Z441" s="1047"/>
      <c r="AA441" s="1351"/>
      <c r="AB441" s="1047"/>
      <c r="AC441" s="1047"/>
      <c r="AD441" s="1047"/>
      <c r="AE441" s="1047"/>
      <c r="AF441" s="1351"/>
      <c r="AG441" s="1047"/>
      <c r="AH441" s="1047"/>
      <c r="AI441" s="1047"/>
      <c r="AJ441" s="1047"/>
      <c r="AK441" s="1351"/>
      <c r="AL441" s="1047"/>
      <c r="AM441" s="1047"/>
      <c r="AN441" s="1047"/>
      <c r="AO441" s="1047"/>
      <c r="AP441" s="1351"/>
      <c r="AQ441" s="1047"/>
      <c r="AR441" s="1047"/>
      <c r="AS441" s="1047"/>
      <c r="AT441" s="1047"/>
      <c r="AU441" s="1351"/>
      <c r="AV441" s="1047"/>
      <c r="AW441" s="1047"/>
      <c r="AX441" s="1047"/>
      <c r="AY441" s="1047"/>
      <c r="AZ441" s="1351"/>
      <c r="BA441" s="1047"/>
      <c r="BB441" s="1047"/>
      <c r="BC441" s="1047"/>
      <c r="BD441" s="1047"/>
      <c r="BE441" s="1351"/>
      <c r="BF441" s="1047"/>
      <c r="BG441" s="1047"/>
      <c r="BH441" s="1048"/>
      <c r="BI441" s="1044"/>
      <c r="BJ441" s="1350"/>
      <c r="BK441" s="1044"/>
      <c r="BL441" s="1044"/>
      <c r="BM441" s="1044"/>
      <c r="BN441" s="1044"/>
      <c r="BO441" s="1350"/>
      <c r="BP441" s="1351"/>
      <c r="BQ441" s="1351"/>
      <c r="BR441" s="1350"/>
      <c r="BS441" s="648"/>
    </row>
    <row r="442" spans="1:71" s="683" customFormat="1" ht="15" hidden="1" outlineLevel="1">
      <c r="A442" s="27" t="s">
        <v>383</v>
      </c>
      <c r="B442" s="408"/>
      <c r="C442" s="1415">
        <v>79.599999999999994</v>
      </c>
      <c r="D442" s="1415">
        <v>80.80</v>
      </c>
      <c r="E442" s="1415">
        <v>58</v>
      </c>
      <c r="F442" s="1415">
        <v>49.80</v>
      </c>
      <c r="G442" s="1415">
        <v>50.20</v>
      </c>
      <c r="H442" s="1254">
        <v>13</v>
      </c>
      <c r="I442" s="1254">
        <v>12</v>
      </c>
      <c r="J442" s="1254">
        <v>11.30</v>
      </c>
      <c r="K442" s="1102">
        <f>L442-J442-I442-H442</f>
        <v>9.9000000000000057</v>
      </c>
      <c r="L442" s="1415">
        <v>46.20</v>
      </c>
      <c r="M442" s="1254">
        <v>9.10</v>
      </c>
      <c r="N442" s="1254">
        <v>7.20</v>
      </c>
      <c r="O442" s="1254">
        <v>6.20</v>
      </c>
      <c r="P442" s="1102">
        <f t="shared" si="864" ref="P442:P450">Q442-O442-N442-M442</f>
        <v>5.8000000000000025</v>
      </c>
      <c r="Q442" s="1415">
        <v>28.30</v>
      </c>
      <c r="R442" s="1254">
        <v>4.80</v>
      </c>
      <c r="S442" s="1254">
        <v>4.30</v>
      </c>
      <c r="T442" s="1254">
        <v>3.30</v>
      </c>
      <c r="U442" s="1102">
        <f t="shared" si="865" ref="U442:U450">V442-T442-S442-R442</f>
        <v>5.799999999999998</v>
      </c>
      <c r="V442" s="1415">
        <v>18.20</v>
      </c>
      <c r="W442" s="1254">
        <v>12.70</v>
      </c>
      <c r="X442" s="1254">
        <v>17</v>
      </c>
      <c r="Y442" s="1254">
        <v>18.40</v>
      </c>
      <c r="Z442" s="1102">
        <f>AA442-Y442-X442-W442</f>
        <v>24.600000000000005</v>
      </c>
      <c r="AA442" s="1415">
        <v>72.70</v>
      </c>
      <c r="AB442" s="1254">
        <v>39.799999999999997</v>
      </c>
      <c r="AC442" s="1254">
        <v>45.90</v>
      </c>
      <c r="AD442" s="1254">
        <v>47.70</v>
      </c>
      <c r="AE442" s="1102">
        <f>AF442-AD442-AC442-AB442</f>
        <v>63.40000000000002</v>
      </c>
      <c r="AF442" s="1415">
        <v>196.80</v>
      </c>
      <c r="AG442" s="1254">
        <v>53.70</v>
      </c>
      <c r="AH442" s="1254">
        <v>69.20</v>
      </c>
      <c r="AI442" s="1254">
        <v>75.80</v>
      </c>
      <c r="AJ442" s="1102">
        <f>AK442-AI442-AH442-AG442</f>
        <v>69.900000000000006</v>
      </c>
      <c r="AK442" s="1415">
        <v>268.60000000000002</v>
      </c>
      <c r="AL442" s="1254">
        <v>62.60</v>
      </c>
      <c r="AM442" s="1254">
        <v>35.700000000000003</v>
      </c>
      <c r="AN442" s="1254">
        <v>36.700000000000003</v>
      </c>
      <c r="AO442" s="1102">
        <f>AP442-AN442-AM442-AL442</f>
        <v>31.300000000000018</v>
      </c>
      <c r="AP442" s="1415">
        <v>166.30</v>
      </c>
      <c r="AQ442" s="1254">
        <v>30.40</v>
      </c>
      <c r="AR442" s="1254">
        <v>37.40</v>
      </c>
      <c r="AS442" s="1254">
        <v>39</v>
      </c>
      <c r="AT442" s="1103">
        <f>AU442-SUM(AQ442,AR442,AS442)</f>
        <v>42.70</v>
      </c>
      <c r="AU442" s="1415">
        <v>149.50</v>
      </c>
      <c r="AV442" s="1254">
        <v>51.40</v>
      </c>
      <c r="AW442" s="1254">
        <v>67.900000000000006</v>
      </c>
      <c r="AX442" s="1254">
        <v>86.10</v>
      </c>
      <c r="AY442" s="1103">
        <f>AZ442-SUM(AV442,AW442,AX442)</f>
        <v>133.70000000000002</v>
      </c>
      <c r="AZ442" s="1415">
        <v>339.10</v>
      </c>
      <c r="BA442" s="1254">
        <v>163.19999999999999</v>
      </c>
      <c r="BB442" s="1254">
        <v>191.50</v>
      </c>
      <c r="BC442" s="1254">
        <v>237</v>
      </c>
      <c r="BD442" s="1103">
        <f t="shared" si="866" ref="BD442:BD450">BE442-SUM(BA442,BB442,BC442)</f>
        <v>272.29999999999995</v>
      </c>
      <c r="BE442" s="1415">
        <v>864</v>
      </c>
      <c r="BF442" s="1254">
        <v>306.89999999999998</v>
      </c>
      <c r="BG442" s="1254">
        <v>361.30</v>
      </c>
      <c r="BH442" s="1255">
        <v>396</v>
      </c>
      <c r="BI442" s="1106"/>
      <c r="BJ442" s="1416"/>
      <c r="BK442" s="1106"/>
      <c r="BL442" s="1106"/>
      <c r="BM442" s="1106"/>
      <c r="BN442" s="1106"/>
      <c r="BO442" s="1416"/>
      <c r="BP442" s="1417"/>
      <c r="BQ442" s="1417"/>
      <c r="BR442" s="1416"/>
      <c r="BS442" s="648"/>
    </row>
    <row r="443" spans="1:71" s="683" customFormat="1" ht="15" hidden="1" outlineLevel="1">
      <c r="A443" s="27" t="s">
        <v>384</v>
      </c>
      <c r="B443" s="408"/>
      <c r="C443" s="1415">
        <v>91.90</v>
      </c>
      <c r="D443" s="1415">
        <v>65.400000000000006</v>
      </c>
      <c r="E443" s="1415">
        <v>60</v>
      </c>
      <c r="F443" s="1415">
        <v>51.10</v>
      </c>
      <c r="G443" s="1415">
        <v>48</v>
      </c>
      <c r="H443" s="1254">
        <v>12.80</v>
      </c>
      <c r="I443" s="1254">
        <v>12.60</v>
      </c>
      <c r="J443" s="1254">
        <v>12.80</v>
      </c>
      <c r="K443" s="1102">
        <f>L443-J443-I443-H443</f>
        <v>11.899999999999995</v>
      </c>
      <c r="L443" s="1415">
        <v>50.10</v>
      </c>
      <c r="M443" s="1254">
        <v>11.90</v>
      </c>
      <c r="N443" s="1254">
        <v>16.20</v>
      </c>
      <c r="O443" s="1254">
        <v>16.90</v>
      </c>
      <c r="P443" s="1102">
        <f t="shared" si="864"/>
        <v>15.700000000000005</v>
      </c>
      <c r="Q443" s="1415">
        <v>60.70</v>
      </c>
      <c r="R443" s="1254">
        <v>13.50</v>
      </c>
      <c r="S443" s="1254">
        <v>13.20</v>
      </c>
      <c r="T443" s="1254">
        <v>12.60</v>
      </c>
      <c r="U443" s="1102">
        <f t="shared" si="865"/>
        <v>12.999999999999996</v>
      </c>
      <c r="V443" s="1415">
        <v>52.30</v>
      </c>
      <c r="W443" s="1254">
        <v>13.30</v>
      </c>
      <c r="X443" s="1254">
        <v>13.10</v>
      </c>
      <c r="Y443" s="1254">
        <v>12.90</v>
      </c>
      <c r="Z443" s="1102">
        <f>AA443-Y443-X443-W443</f>
        <v>12.20</v>
      </c>
      <c r="AA443" s="1415">
        <v>51.50</v>
      </c>
      <c r="AB443" s="1254">
        <v>10</v>
      </c>
      <c r="AC443" s="1254">
        <v>9.10</v>
      </c>
      <c r="AD443" s="1254">
        <v>9</v>
      </c>
      <c r="AE443" s="1102">
        <f>AF443-AD443-AC443-AB443</f>
        <v>9.6000000000000014</v>
      </c>
      <c r="AF443" s="1415">
        <v>37.700000000000003</v>
      </c>
      <c r="AG443" s="1254">
        <v>9.3000000000000007</v>
      </c>
      <c r="AH443" s="1254">
        <v>8.90</v>
      </c>
      <c r="AI443" s="1254">
        <v>8.6999999999999993</v>
      </c>
      <c r="AJ443" s="1102">
        <f>AK443-AI443-AH443-AG443</f>
        <v>9.5999999999999979</v>
      </c>
      <c r="AK443" s="1415">
        <v>36.50</v>
      </c>
      <c r="AL443" s="1254">
        <v>9.60</v>
      </c>
      <c r="AM443" s="1254">
        <v>16.10</v>
      </c>
      <c r="AN443" s="1254">
        <v>18.50</v>
      </c>
      <c r="AO443" s="1102">
        <f>AP443-AN443-AM443-AL443</f>
        <v>18.50</v>
      </c>
      <c r="AP443" s="1415">
        <v>62.70</v>
      </c>
      <c r="AQ443" s="1254">
        <v>13.40</v>
      </c>
      <c r="AR443" s="1254">
        <v>11.50</v>
      </c>
      <c r="AS443" s="1254">
        <v>9.6999999999999993</v>
      </c>
      <c r="AT443" s="1103">
        <f>AU443-SUM(AQ443,AR443,AS443)</f>
        <v>9.5000000000000071</v>
      </c>
      <c r="AU443" s="1415">
        <v>44.10</v>
      </c>
      <c r="AV443" s="1254">
        <v>9.1999999999999993</v>
      </c>
      <c r="AW443" s="1254">
        <v>10.30</v>
      </c>
      <c r="AX443" s="1254">
        <v>9.8000000000000007</v>
      </c>
      <c r="AY443" s="1103">
        <f>AZ443-SUM(AV443,AW443,AX443)</f>
        <v>10.400000000000002</v>
      </c>
      <c r="AZ443" s="1415">
        <v>39.700000000000003</v>
      </c>
      <c r="BA443" s="1254">
        <v>10.60</v>
      </c>
      <c r="BB443" s="1254">
        <v>11.60</v>
      </c>
      <c r="BC443" s="1254">
        <v>12.30</v>
      </c>
      <c r="BD443" s="1103">
        <f t="shared" si="866"/>
        <v>13.10</v>
      </c>
      <c r="BE443" s="1415">
        <v>47.60</v>
      </c>
      <c r="BF443" s="1254">
        <v>12.40</v>
      </c>
      <c r="BG443" s="1254">
        <v>13.40</v>
      </c>
      <c r="BH443" s="1255">
        <v>16.20</v>
      </c>
      <c r="BI443" s="1106"/>
      <c r="BJ443" s="1416"/>
      <c r="BK443" s="1106"/>
      <c r="BL443" s="1106"/>
      <c r="BM443" s="1106"/>
      <c r="BN443" s="1106"/>
      <c r="BO443" s="1416"/>
      <c r="BP443" s="1417"/>
      <c r="BQ443" s="1417"/>
      <c r="BR443" s="1416"/>
      <c r="BS443" s="648"/>
    </row>
    <row r="444" spans="1:71" s="683" customFormat="1" ht="15" hidden="1" outlineLevel="1">
      <c r="A444" s="27" t="s">
        <v>447</v>
      </c>
      <c r="B444" s="408"/>
      <c r="C444" s="1417"/>
      <c r="D444" s="1417"/>
      <c r="E444" s="1415">
        <v>0</v>
      </c>
      <c r="F444" s="1415">
        <v>0</v>
      </c>
      <c r="G444" s="1415">
        <v>0.20</v>
      </c>
      <c r="H444" s="1254">
        <v>0.10000000000000001</v>
      </c>
      <c r="I444" s="1254">
        <v>0.10000000000000001</v>
      </c>
      <c r="J444" s="1254">
        <v>0.10000000000000001</v>
      </c>
      <c r="K444" s="1102">
        <f>L444-J444-I444-H444</f>
        <v>0.10000000000000003</v>
      </c>
      <c r="L444" s="1415">
        <v>0.40</v>
      </c>
      <c r="M444" s="1254">
        <v>0.10000000000000001</v>
      </c>
      <c r="N444" s="1254">
        <v>0.10000000000000001</v>
      </c>
      <c r="O444" s="1254">
        <v>0.10000000000000001</v>
      </c>
      <c r="P444" s="1102">
        <f t="shared" si="864"/>
        <v>0.10000000000000003</v>
      </c>
      <c r="Q444" s="1415">
        <v>0.40</v>
      </c>
      <c r="R444" s="1254">
        <v>0.10000000000000001</v>
      </c>
      <c r="S444" s="1254">
        <v>0.10000000000000001</v>
      </c>
      <c r="T444" s="1254">
        <v>0.10000000000000001</v>
      </c>
      <c r="U444" s="1102">
        <f t="shared" si="865"/>
        <v>0.10000000000000003</v>
      </c>
      <c r="V444" s="1415">
        <v>0.40</v>
      </c>
      <c r="W444" s="1254">
        <v>0.10000000000000001</v>
      </c>
      <c r="X444" s="1254">
        <v>0.10000000000000001</v>
      </c>
      <c r="Y444" s="1254">
        <v>0.10000000000000001</v>
      </c>
      <c r="Z444" s="1102">
        <f>AA444-Y444-X444-W444</f>
        <v>0</v>
      </c>
      <c r="AA444" s="1415">
        <v>0.30</v>
      </c>
      <c r="AB444" s="1103"/>
      <c r="AC444" s="1103"/>
      <c r="AD444" s="1103"/>
      <c r="AE444" s="1103"/>
      <c r="AF444" s="1417"/>
      <c r="AG444" s="1103"/>
      <c r="AH444" s="1103"/>
      <c r="AI444" s="1103"/>
      <c r="AJ444" s="1103"/>
      <c r="AK444" s="1417"/>
      <c r="AL444" s="1103"/>
      <c r="AM444" s="1103"/>
      <c r="AN444" s="1103"/>
      <c r="AO444" s="1103"/>
      <c r="AP444" s="1417"/>
      <c r="AQ444" s="1103"/>
      <c r="AR444" s="1103"/>
      <c r="AS444" s="1103"/>
      <c r="AT444" s="1103">
        <f>AU444-SUM(AQ444,AR444,AS444)</f>
        <v>0.10000000000000001</v>
      </c>
      <c r="AU444" s="1415">
        <v>0.10000000000000001</v>
      </c>
      <c r="AV444" s="1254">
        <v>0.10000000000000001</v>
      </c>
      <c r="AW444" s="1254">
        <v>0</v>
      </c>
      <c r="AX444" s="1254">
        <v>0.10000000000000001</v>
      </c>
      <c r="AY444" s="1103">
        <f>AZ444-SUM(AV444,AW444,AX444)</f>
        <v>0</v>
      </c>
      <c r="AZ444" s="1415">
        <v>0.20</v>
      </c>
      <c r="BA444" s="1254">
        <v>0.10000000000000001</v>
      </c>
      <c r="BB444" s="1254">
        <v>0</v>
      </c>
      <c r="BC444" s="1254">
        <v>0.10000000000000001</v>
      </c>
      <c r="BD444" s="1103">
        <f t="shared" si="866"/>
        <v>0</v>
      </c>
      <c r="BE444" s="1415">
        <v>0.20</v>
      </c>
      <c r="BF444" s="1254">
        <v>0.10000000000000001</v>
      </c>
      <c r="BG444" s="1254">
        <v>0</v>
      </c>
      <c r="BH444" s="1255">
        <v>0.10000000000000001</v>
      </c>
      <c r="BI444" s="1106"/>
      <c r="BJ444" s="1416"/>
      <c r="BK444" s="1106"/>
      <c r="BL444" s="1106"/>
      <c r="BM444" s="1106"/>
      <c r="BN444" s="1106"/>
      <c r="BO444" s="1416"/>
      <c r="BP444" s="1417"/>
      <c r="BQ444" s="1417"/>
      <c r="BR444" s="1416"/>
      <c r="BS444" s="648"/>
    </row>
    <row r="445" spans="1:71" s="683" customFormat="1" ht="15" hidden="1" outlineLevel="1">
      <c r="A445" s="27" t="s">
        <v>385</v>
      </c>
      <c r="B445" s="408"/>
      <c r="C445" s="1415">
        <v>48.20</v>
      </c>
      <c r="D445" s="1415">
        <v>84.30</v>
      </c>
      <c r="E445" s="1415">
        <v>106.70</v>
      </c>
      <c r="F445" s="1415">
        <v>107.50</v>
      </c>
      <c r="G445" s="1415">
        <v>98.80</v>
      </c>
      <c r="H445" s="1254">
        <v>22</v>
      </c>
      <c r="I445" s="1254">
        <v>18.80</v>
      </c>
      <c r="J445" s="1254">
        <v>19.50</v>
      </c>
      <c r="K445" s="1102">
        <f>L445-J445-I445-H445</f>
        <v>21.799999999999997</v>
      </c>
      <c r="L445" s="1415">
        <v>82.10</v>
      </c>
      <c r="M445" s="1254">
        <v>22.90</v>
      </c>
      <c r="N445" s="1254">
        <v>24.20</v>
      </c>
      <c r="O445" s="1254">
        <v>28</v>
      </c>
      <c r="P445" s="1102">
        <f t="shared" si="864"/>
        <v>27.300000000000004</v>
      </c>
      <c r="Q445" s="1415">
        <v>102.40000000000001</v>
      </c>
      <c r="R445" s="1254">
        <v>28.20</v>
      </c>
      <c r="S445" s="1254">
        <v>26.40</v>
      </c>
      <c r="T445" s="1254">
        <v>27.30</v>
      </c>
      <c r="U445" s="1102">
        <f t="shared" si="865"/>
        <v>28.800000000000008</v>
      </c>
      <c r="V445" s="1415">
        <v>110.70</v>
      </c>
      <c r="W445" s="1254">
        <v>29.60</v>
      </c>
      <c r="X445" s="1254">
        <v>31.30</v>
      </c>
      <c r="Y445" s="1254">
        <v>32.200000000000003</v>
      </c>
      <c r="Z445" s="1102">
        <f>AA445-Y445-X445-W445</f>
        <v>32.10</v>
      </c>
      <c r="AA445" s="1415">
        <v>125.20</v>
      </c>
      <c r="AB445" s="1254">
        <v>36.200000000000003</v>
      </c>
      <c r="AC445" s="1254">
        <v>51.80</v>
      </c>
      <c r="AD445" s="1254">
        <v>62.10</v>
      </c>
      <c r="AE445" s="1102">
        <f>AF445-AD445-AC445-AB445</f>
        <v>67.800000000000011</v>
      </c>
      <c r="AF445" s="1415">
        <v>217.90</v>
      </c>
      <c r="AG445" s="1254">
        <v>77.20</v>
      </c>
      <c r="AH445" s="1254">
        <v>67.50</v>
      </c>
      <c r="AI445" s="1254">
        <v>65.099999999999994</v>
      </c>
      <c r="AJ445" s="1102">
        <f>AK445-AI445-AH445-AG445</f>
        <v>59.09999999999998</v>
      </c>
      <c r="AK445" s="1415">
        <v>268.89999999999998</v>
      </c>
      <c r="AL445" s="1254">
        <v>58</v>
      </c>
      <c r="AM445" s="1254">
        <v>76.599999999999994</v>
      </c>
      <c r="AN445" s="1254">
        <v>76.599999999999994</v>
      </c>
      <c r="AO445" s="1102">
        <f>AP445-AN445-AM445-AL445</f>
        <v>72.800000000000011</v>
      </c>
      <c r="AP445" s="1415">
        <v>284</v>
      </c>
      <c r="AQ445" s="1254">
        <v>85.20</v>
      </c>
      <c r="AR445" s="1254">
        <v>73.20</v>
      </c>
      <c r="AS445" s="1254">
        <v>70.20</v>
      </c>
      <c r="AT445" s="1103">
        <f>AU445-SUM(AQ445,AR445,AS445)</f>
        <v>72.50</v>
      </c>
      <c r="AU445" s="1415">
        <v>301.10000000000002</v>
      </c>
      <c r="AV445" s="1254">
        <v>68.099999999999994</v>
      </c>
      <c r="AW445" s="1254">
        <v>75.50</v>
      </c>
      <c r="AX445" s="1254">
        <v>71.80</v>
      </c>
      <c r="AY445" s="1103">
        <f>AZ445-SUM(AV445,AW445,AX445)</f>
        <v>73.400000000000034</v>
      </c>
      <c r="AZ445" s="1415">
        <v>288.80</v>
      </c>
      <c r="BA445" s="1254">
        <v>83.60</v>
      </c>
      <c r="BB445" s="1254">
        <v>83.50</v>
      </c>
      <c r="BC445" s="1254">
        <v>94.80</v>
      </c>
      <c r="BD445" s="1103">
        <f t="shared" si="866"/>
        <v>103.50</v>
      </c>
      <c r="BE445" s="1415">
        <v>365.40</v>
      </c>
      <c r="BF445" s="1254">
        <v>121.50</v>
      </c>
      <c r="BG445" s="1254">
        <v>134.80000000000001</v>
      </c>
      <c r="BH445" s="1255">
        <v>155</v>
      </c>
      <c r="BI445" s="1106"/>
      <c r="BJ445" s="1416"/>
      <c r="BK445" s="1106"/>
      <c r="BL445" s="1106"/>
      <c r="BM445" s="1106"/>
      <c r="BN445" s="1106"/>
      <c r="BO445" s="1416"/>
      <c r="BP445" s="1417"/>
      <c r="BQ445" s="1417"/>
      <c r="BR445" s="1416"/>
      <c r="BS445" s="648"/>
    </row>
    <row r="446" spans="1:71" s="683" customFormat="1" ht="15" hidden="1" outlineLevel="1">
      <c r="A446" s="27" t="s">
        <v>386</v>
      </c>
      <c r="B446" s="408"/>
      <c r="C446" s="1415">
        <v>33.40</v>
      </c>
      <c r="D446" s="1415">
        <v>21.70</v>
      </c>
      <c r="E446" s="1415">
        <v>18.60</v>
      </c>
      <c r="F446" s="1415">
        <v>16.10</v>
      </c>
      <c r="G446" s="1415">
        <v>28.10</v>
      </c>
      <c r="H446" s="1254">
        <v>9.90</v>
      </c>
      <c r="I446" s="1254">
        <v>11.30</v>
      </c>
      <c r="J446" s="1254">
        <v>11.30</v>
      </c>
      <c r="K446" s="1102">
        <f>L446-J446-I446-H446</f>
        <v>12.399999999999993</v>
      </c>
      <c r="L446" s="1415">
        <v>44.90</v>
      </c>
      <c r="M446" s="1254">
        <v>12.80</v>
      </c>
      <c r="N446" s="1254">
        <v>13.20</v>
      </c>
      <c r="O446" s="1254">
        <v>13.50</v>
      </c>
      <c r="P446" s="1102">
        <f t="shared" si="864"/>
        <v>12.700000000000003</v>
      </c>
      <c r="Q446" s="1415">
        <v>52.20</v>
      </c>
      <c r="R446" s="1254">
        <v>12.20</v>
      </c>
      <c r="S446" s="1254">
        <v>11.60</v>
      </c>
      <c r="T446" s="1254">
        <v>11.10</v>
      </c>
      <c r="U446" s="1102">
        <f t="shared" si="865"/>
        <v>11.20</v>
      </c>
      <c r="V446" s="1415">
        <v>46.10</v>
      </c>
      <c r="W446" s="1254">
        <v>9.40</v>
      </c>
      <c r="X446" s="1254">
        <v>10.10</v>
      </c>
      <c r="Y446" s="1254">
        <v>7.80</v>
      </c>
      <c r="Z446" s="1102">
        <f>AA446-Y446-X446-W446</f>
        <v>7.4000000000000039</v>
      </c>
      <c r="AA446" s="1415">
        <v>34.700000000000003</v>
      </c>
      <c r="AB446" s="1254">
        <v>6.90</v>
      </c>
      <c r="AC446" s="1254">
        <v>6.60</v>
      </c>
      <c r="AD446" s="1254">
        <v>6.90</v>
      </c>
      <c r="AE446" s="1102">
        <f>AF446-AD446-AC446-AB446</f>
        <v>7.2000000000000028</v>
      </c>
      <c r="AF446" s="1415">
        <v>27.60</v>
      </c>
      <c r="AG446" s="1254">
        <v>6.60</v>
      </c>
      <c r="AH446" s="1254">
        <v>4.5999999999999996</v>
      </c>
      <c r="AI446" s="1254">
        <v>5.40</v>
      </c>
      <c r="AJ446" s="1102">
        <f>AK446-AI446-AH446-AG446</f>
        <v>5.0000000000000036</v>
      </c>
      <c r="AK446" s="1415">
        <v>21.60</v>
      </c>
      <c r="AL446" s="1254">
        <v>4.20</v>
      </c>
      <c r="AM446" s="1254">
        <v>3.80</v>
      </c>
      <c r="AN446" s="1254">
        <v>0.80</v>
      </c>
      <c r="AO446" s="1102">
        <f>AP446-AN446-AM446-AL446</f>
        <v>3</v>
      </c>
      <c r="AP446" s="1415">
        <v>11.80</v>
      </c>
      <c r="AQ446" s="1254">
        <v>3.40</v>
      </c>
      <c r="AR446" s="1254">
        <v>2.80</v>
      </c>
      <c r="AS446" s="1254">
        <v>3.20</v>
      </c>
      <c r="AT446" s="1103">
        <f>AU446-SUM(AQ446,AR446,AS446)</f>
        <v>2.5000000000000018</v>
      </c>
      <c r="AU446" s="1415">
        <v>11.90</v>
      </c>
      <c r="AV446" s="1254">
        <v>4.80</v>
      </c>
      <c r="AW446" s="1254">
        <v>9.60</v>
      </c>
      <c r="AX446" s="1254">
        <v>8.8000000000000007</v>
      </c>
      <c r="AY446" s="1103">
        <f>AZ446-SUM(AV446,AW446,AX446)</f>
        <v>8.4000000000000021</v>
      </c>
      <c r="AZ446" s="1415">
        <v>31.60</v>
      </c>
      <c r="BA446" s="1254">
        <v>9.1999999999999993</v>
      </c>
      <c r="BB446" s="1254">
        <v>5.80</v>
      </c>
      <c r="BC446" s="1254">
        <v>7.60</v>
      </c>
      <c r="BD446" s="1103">
        <f t="shared" si="866"/>
        <v>6.0999999999999979</v>
      </c>
      <c r="BE446" s="1415">
        <v>28.70</v>
      </c>
      <c r="BF446" s="1254">
        <v>5.40</v>
      </c>
      <c r="BG446" s="1254">
        <v>8</v>
      </c>
      <c r="BH446" s="1255">
        <v>13.80</v>
      </c>
      <c r="BI446" s="1106"/>
      <c r="BJ446" s="1416"/>
      <c r="BK446" s="1106"/>
      <c r="BL446" s="1106"/>
      <c r="BM446" s="1106"/>
      <c r="BN446" s="1106"/>
      <c r="BO446" s="1416"/>
      <c r="BP446" s="1417"/>
      <c r="BQ446" s="1417"/>
      <c r="BR446" s="1416"/>
      <c r="BS446" s="648"/>
    </row>
    <row r="447" spans="1:71" s="683" customFormat="1" ht="15" hidden="1" outlineLevel="1">
      <c r="A447" s="27" t="s">
        <v>448</v>
      </c>
      <c r="B447" s="408"/>
      <c r="C447" s="1417"/>
      <c r="D447" s="1417"/>
      <c r="E447" s="1417"/>
      <c r="F447" s="1417"/>
      <c r="G447" s="1417"/>
      <c r="H447" s="1103"/>
      <c r="I447" s="1103"/>
      <c r="J447" s="1103"/>
      <c r="K447" s="1103"/>
      <c r="L447" s="1417"/>
      <c r="M447" s="1103"/>
      <c r="N447" s="1254">
        <v>0.70</v>
      </c>
      <c r="O447" s="1254">
        <v>0.70</v>
      </c>
      <c r="P447" s="1102">
        <f t="shared" si="864"/>
        <v>0.70000000000000018</v>
      </c>
      <c r="Q447" s="1415">
        <v>2.10</v>
      </c>
      <c r="R447" s="1254">
        <v>0.40</v>
      </c>
      <c r="S447" s="1254">
        <v>0.20</v>
      </c>
      <c r="T447" s="1254">
        <v>0.30</v>
      </c>
      <c r="U447" s="1102">
        <f t="shared" si="865"/>
        <v>0.29999999999999993</v>
      </c>
      <c r="V447" s="1415">
        <v>1.20</v>
      </c>
      <c r="W447" s="1254">
        <v>0.20</v>
      </c>
      <c r="X447" s="1254">
        <v>0.20</v>
      </c>
      <c r="Y447" s="1254">
        <v>0.20</v>
      </c>
      <c r="Z447" s="1103">
        <f>AA447-SUM(W447,X447,Y447)</f>
        <v>-0.60000000000000009</v>
      </c>
      <c r="AA447" s="1417"/>
      <c r="AB447" s="1103"/>
      <c r="AC447" s="1103"/>
      <c r="AD447" s="1103"/>
      <c r="AE447" s="1103"/>
      <c r="AF447" s="1417"/>
      <c r="AG447" s="1103"/>
      <c r="AH447" s="1103"/>
      <c r="AI447" s="1103"/>
      <c r="AJ447" s="1103"/>
      <c r="AK447" s="1417"/>
      <c r="AL447" s="1103"/>
      <c r="AM447" s="1103"/>
      <c r="AN447" s="1103"/>
      <c r="AO447" s="1103"/>
      <c r="AP447" s="1417"/>
      <c r="AQ447" s="1103"/>
      <c r="AR447" s="1103"/>
      <c r="AS447" s="1103"/>
      <c r="AT447" s="1103"/>
      <c r="AU447" s="1417"/>
      <c r="AV447" s="1103"/>
      <c r="AW447" s="1103"/>
      <c r="AX447" s="1103"/>
      <c r="AY447" s="1103"/>
      <c r="AZ447" s="1417"/>
      <c r="BA447" s="1103"/>
      <c r="BB447" s="1103"/>
      <c r="BC447" s="1103"/>
      <c r="BD447" s="1103">
        <f t="shared" si="866"/>
        <v>0</v>
      </c>
      <c r="BE447" s="1417"/>
      <c r="BF447" s="1103"/>
      <c r="BG447" s="1103"/>
      <c r="BH447" s="1105"/>
      <c r="BI447" s="1106"/>
      <c r="BJ447" s="1416"/>
      <c r="BK447" s="1106"/>
      <c r="BL447" s="1106"/>
      <c r="BM447" s="1106"/>
      <c r="BN447" s="1106"/>
      <c r="BO447" s="1416"/>
      <c r="BP447" s="1417"/>
      <c r="BQ447" s="1417"/>
      <c r="BR447" s="1416"/>
      <c r="BS447" s="648"/>
    </row>
    <row r="448" spans="1:71" s="683" customFormat="1" ht="15" hidden="1" outlineLevel="1">
      <c r="A448" s="27" t="s">
        <v>387</v>
      </c>
      <c r="B448" s="408"/>
      <c r="C448" s="1415">
        <v>90.70</v>
      </c>
      <c r="D448" s="1415">
        <v>99.10</v>
      </c>
      <c r="E448" s="1415">
        <v>83.40</v>
      </c>
      <c r="F448" s="1415">
        <v>82.20</v>
      </c>
      <c r="G448" s="1415">
        <v>74.80</v>
      </c>
      <c r="H448" s="1254">
        <v>16.70</v>
      </c>
      <c r="I448" s="1254">
        <v>16</v>
      </c>
      <c r="J448" s="1254">
        <v>16.50</v>
      </c>
      <c r="K448" s="1102">
        <f>L448-J448-I448-H448</f>
        <v>16.80</v>
      </c>
      <c r="L448" s="1415">
        <v>66</v>
      </c>
      <c r="M448" s="1254">
        <v>16.90</v>
      </c>
      <c r="N448" s="1254">
        <v>18.80</v>
      </c>
      <c r="O448" s="1254">
        <v>18.30</v>
      </c>
      <c r="P448" s="1102">
        <f t="shared" si="864"/>
        <v>20.60</v>
      </c>
      <c r="Q448" s="1415">
        <v>74.599999999999994</v>
      </c>
      <c r="R448" s="1254">
        <v>20.90</v>
      </c>
      <c r="S448" s="1254">
        <v>19.30</v>
      </c>
      <c r="T448" s="1254">
        <v>22.40</v>
      </c>
      <c r="U448" s="1102">
        <f t="shared" si="865"/>
        <v>18.999999999999993</v>
      </c>
      <c r="V448" s="1415">
        <v>81.599999999999994</v>
      </c>
      <c r="W448" s="1254">
        <v>18.80</v>
      </c>
      <c r="X448" s="1254">
        <v>18.30</v>
      </c>
      <c r="Y448" s="1254">
        <v>20</v>
      </c>
      <c r="Z448" s="1102">
        <f>AA448-Y448-X448-W448</f>
        <v>22.499999999999996</v>
      </c>
      <c r="AA448" s="1415">
        <v>79.599999999999994</v>
      </c>
      <c r="AB448" s="1254">
        <v>21.20</v>
      </c>
      <c r="AC448" s="1254">
        <v>20.20</v>
      </c>
      <c r="AD448" s="1254">
        <v>24.10</v>
      </c>
      <c r="AE448" s="1102">
        <f>AF448-AD448-AC448-AB448</f>
        <v>28.400000000000009</v>
      </c>
      <c r="AF448" s="1415">
        <v>93.90</v>
      </c>
      <c r="AG448" s="1254">
        <v>31.70</v>
      </c>
      <c r="AH448" s="1254">
        <v>33.40</v>
      </c>
      <c r="AI448" s="1254">
        <v>35.60</v>
      </c>
      <c r="AJ448" s="1102">
        <f>AK448-AI448-AH448-AG448</f>
        <v>49.399999999999991</v>
      </c>
      <c r="AK448" s="1415">
        <v>150.09999999999999</v>
      </c>
      <c r="AL448" s="1254">
        <v>34.299999999999997</v>
      </c>
      <c r="AM448" s="1254">
        <v>42.60</v>
      </c>
      <c r="AN448" s="1254">
        <v>37.299999999999997</v>
      </c>
      <c r="AO448" s="1102">
        <f>AP448-AN448-AM448-AL448</f>
        <v>38.700000000000003</v>
      </c>
      <c r="AP448" s="1415">
        <v>152.90000000000001</v>
      </c>
      <c r="AQ448" s="1254">
        <v>35.799999999999997</v>
      </c>
      <c r="AR448" s="1254">
        <v>34.40</v>
      </c>
      <c r="AS448" s="1254">
        <v>35</v>
      </c>
      <c r="AT448" s="1103">
        <f>AU448-SUM(AQ448,AR448,AS448)</f>
        <v>37.800000000000011</v>
      </c>
      <c r="AU448" s="1415">
        <v>143</v>
      </c>
      <c r="AV448" s="1254">
        <v>43.30</v>
      </c>
      <c r="AW448" s="1254">
        <v>46.50</v>
      </c>
      <c r="AX448" s="1254">
        <v>48.30</v>
      </c>
      <c r="AY448" s="1103">
        <f>AZ448-SUM(AV448,AW448,AX448)</f>
        <v>52.50</v>
      </c>
      <c r="AZ448" s="1415">
        <v>190.60</v>
      </c>
      <c r="BA448" s="1254">
        <v>50</v>
      </c>
      <c r="BB448" s="1254">
        <v>49.20</v>
      </c>
      <c r="BC448" s="1254">
        <v>48.70</v>
      </c>
      <c r="BD448" s="1103">
        <f t="shared" si="866"/>
        <v>48.199999999999989</v>
      </c>
      <c r="BE448" s="1415">
        <v>196.10</v>
      </c>
      <c r="BF448" s="1254">
        <v>46.40</v>
      </c>
      <c r="BG448" s="1254">
        <v>46.10</v>
      </c>
      <c r="BH448" s="1255">
        <v>48.70</v>
      </c>
      <c r="BI448" s="1106"/>
      <c r="BJ448" s="1416"/>
      <c r="BK448" s="1106"/>
      <c r="BL448" s="1106"/>
      <c r="BM448" s="1106"/>
      <c r="BN448" s="1106"/>
      <c r="BO448" s="1416"/>
      <c r="BP448" s="1417"/>
      <c r="BQ448" s="1417"/>
      <c r="BR448" s="1416"/>
      <c r="BS448" s="648"/>
    </row>
    <row r="449" spans="1:71" s="683" customFormat="1" ht="15" hidden="1" outlineLevel="1">
      <c r="A449" s="27" t="s">
        <v>388</v>
      </c>
      <c r="B449" s="408"/>
      <c r="C449" s="1415">
        <v>10</v>
      </c>
      <c r="D449" s="1415">
        <v>21.80</v>
      </c>
      <c r="E449" s="1415">
        <v>24.50</v>
      </c>
      <c r="F449" s="1415">
        <v>20.30</v>
      </c>
      <c r="G449" s="1415">
        <v>16.70</v>
      </c>
      <c r="H449" s="1254">
        <v>4.20</v>
      </c>
      <c r="I449" s="1254">
        <v>3.70</v>
      </c>
      <c r="J449" s="1254">
        <v>4.20</v>
      </c>
      <c r="K449" s="1102">
        <f>L449-J449-I449-H449</f>
        <v>4.6000000000000005</v>
      </c>
      <c r="L449" s="1415">
        <v>16.70</v>
      </c>
      <c r="M449" s="1254">
        <v>5</v>
      </c>
      <c r="N449" s="1254">
        <v>5.50</v>
      </c>
      <c r="O449" s="1254">
        <v>5.70</v>
      </c>
      <c r="P449" s="1102">
        <f t="shared" si="864"/>
        <v>5.8000000000000007</v>
      </c>
      <c r="Q449" s="1415">
        <v>22</v>
      </c>
      <c r="R449" s="1254">
        <v>6</v>
      </c>
      <c r="S449" s="1254">
        <v>5.90</v>
      </c>
      <c r="T449" s="1254">
        <v>6.80</v>
      </c>
      <c r="U449" s="1102">
        <f t="shared" si="865"/>
        <v>9.2999999999999989</v>
      </c>
      <c r="V449" s="1415">
        <v>28</v>
      </c>
      <c r="W449" s="1254">
        <v>9.90</v>
      </c>
      <c r="X449" s="1254">
        <v>11.80</v>
      </c>
      <c r="Y449" s="1254">
        <v>12.10</v>
      </c>
      <c r="Z449" s="1102">
        <f>AA449-Y449-X449-W449</f>
        <v>13.30</v>
      </c>
      <c r="AA449" s="1415">
        <v>47.10</v>
      </c>
      <c r="AB449" s="1254">
        <v>13.60</v>
      </c>
      <c r="AC449" s="1254">
        <v>16.10</v>
      </c>
      <c r="AD449" s="1254">
        <v>21.20</v>
      </c>
      <c r="AE449" s="1102">
        <f>AF449-AD449-AC449-AB449</f>
        <v>24.799999999999997</v>
      </c>
      <c r="AF449" s="1415">
        <v>75.70</v>
      </c>
      <c r="AG449" s="1254">
        <v>26</v>
      </c>
      <c r="AH449" s="1254">
        <v>28.10</v>
      </c>
      <c r="AI449" s="1254">
        <v>31.40</v>
      </c>
      <c r="AJ449" s="1102">
        <f>AK449-AI449-AH449-AG449</f>
        <v>31.800000000000004</v>
      </c>
      <c r="AK449" s="1415">
        <v>117.30</v>
      </c>
      <c r="AL449" s="1254">
        <v>29.20</v>
      </c>
      <c r="AM449" s="1254">
        <v>24.80</v>
      </c>
      <c r="AN449" s="1254">
        <v>22.60</v>
      </c>
      <c r="AO449" s="1102">
        <f>AP449-AN449-AM449-AL449</f>
        <v>20.099999999999998</v>
      </c>
      <c r="AP449" s="1415">
        <v>96.70</v>
      </c>
      <c r="AQ449" s="1254">
        <v>15.90</v>
      </c>
      <c r="AR449" s="1254">
        <v>15.10</v>
      </c>
      <c r="AS449" s="1254">
        <v>16.10</v>
      </c>
      <c r="AT449" s="1103">
        <f>AU449-SUM(AQ449,AR449,AS449)</f>
        <v>16.999999999999993</v>
      </c>
      <c r="AU449" s="1415">
        <v>64.099999999999994</v>
      </c>
      <c r="AV449" s="1254">
        <v>25.10</v>
      </c>
      <c r="AW449" s="1254">
        <v>39.299999999999997</v>
      </c>
      <c r="AX449" s="1254">
        <v>52.10</v>
      </c>
      <c r="AY449" s="1103">
        <f>AZ449-SUM(AV449,AW449,AX449)</f>
        <v>58.099999999999994</v>
      </c>
      <c r="AZ449" s="1415">
        <v>174.60</v>
      </c>
      <c r="BA449" s="1254">
        <v>48.50</v>
      </c>
      <c r="BB449" s="1254">
        <v>61.60</v>
      </c>
      <c r="BC449" s="1254">
        <v>62.90</v>
      </c>
      <c r="BD449" s="1103">
        <f t="shared" si="866"/>
        <v>19.50</v>
      </c>
      <c r="BE449" s="1415">
        <v>192.50</v>
      </c>
      <c r="BF449" s="1254">
        <v>78.20</v>
      </c>
      <c r="BG449" s="1254">
        <v>81.30</v>
      </c>
      <c r="BH449" s="1255">
        <v>83.10</v>
      </c>
      <c r="BI449" s="1106"/>
      <c r="BJ449" s="1416"/>
      <c r="BK449" s="1106"/>
      <c r="BL449" s="1106"/>
      <c r="BM449" s="1106"/>
      <c r="BN449" s="1106"/>
      <c r="BO449" s="1416"/>
      <c r="BP449" s="1417"/>
      <c r="BQ449" s="1417"/>
      <c r="BR449" s="1416"/>
      <c r="BS449" s="648"/>
    </row>
    <row r="450" spans="1:71" s="683" customFormat="1" ht="15" hidden="1" outlineLevel="1">
      <c r="A450" s="40" t="s">
        <v>389</v>
      </c>
      <c r="B450" s="409"/>
      <c r="C450" s="1418">
        <v>47.50</v>
      </c>
      <c r="D450" s="1418">
        <v>45.50</v>
      </c>
      <c r="E450" s="1418">
        <v>33</v>
      </c>
      <c r="F450" s="1418">
        <v>24.20</v>
      </c>
      <c r="G450" s="1418">
        <v>21.20</v>
      </c>
      <c r="H450" s="1257">
        <v>4.0999999999999996</v>
      </c>
      <c r="I450" s="1257">
        <v>3.90</v>
      </c>
      <c r="J450" s="1257">
        <v>3.70</v>
      </c>
      <c r="K450" s="1109">
        <f>L450-J450-I450-H450</f>
        <v>3.8000000000000007</v>
      </c>
      <c r="L450" s="1418">
        <v>15.50</v>
      </c>
      <c r="M450" s="1257">
        <v>3.80</v>
      </c>
      <c r="N450" s="1257">
        <v>3.80</v>
      </c>
      <c r="O450" s="1257">
        <v>3.70</v>
      </c>
      <c r="P450" s="1109">
        <f t="shared" si="864"/>
        <v>3.7000000000000011</v>
      </c>
      <c r="Q450" s="1418">
        <v>15</v>
      </c>
      <c r="R450" s="1257">
        <v>3.80</v>
      </c>
      <c r="S450" s="1257">
        <v>3.90</v>
      </c>
      <c r="T450" s="1257">
        <v>3.80</v>
      </c>
      <c r="U450" s="1109">
        <f t="shared" si="865"/>
        <v>3.4000000000000012</v>
      </c>
      <c r="V450" s="1418">
        <v>14.90</v>
      </c>
      <c r="W450" s="1257">
        <v>3.40</v>
      </c>
      <c r="X450" s="1257">
        <v>2.90</v>
      </c>
      <c r="Y450" s="1257">
        <v>2.80</v>
      </c>
      <c r="Z450" s="1109">
        <f>AA450-Y450-X450-W450</f>
        <v>2.6999999999999997</v>
      </c>
      <c r="AA450" s="1418">
        <v>11.80</v>
      </c>
      <c r="AB450" s="1257">
        <v>2.60</v>
      </c>
      <c r="AC450" s="1257">
        <v>2.90</v>
      </c>
      <c r="AD450" s="1257">
        <v>3.30</v>
      </c>
      <c r="AE450" s="1109">
        <f>AF450-AD450-AC450-AB450</f>
        <v>3.4999999999999996</v>
      </c>
      <c r="AF450" s="1418">
        <v>12.30</v>
      </c>
      <c r="AG450" s="1257">
        <v>3.70</v>
      </c>
      <c r="AH450" s="1257">
        <v>8.50</v>
      </c>
      <c r="AI450" s="1257">
        <v>3.90</v>
      </c>
      <c r="AJ450" s="1109">
        <f>AK450-AI450-AH450-AG450</f>
        <v>2.8999999999999995</v>
      </c>
      <c r="AK450" s="1418">
        <v>19</v>
      </c>
      <c r="AL450" s="1257">
        <v>7.90</v>
      </c>
      <c r="AM450" s="1257">
        <v>2.10</v>
      </c>
      <c r="AN450" s="1257">
        <v>2.50</v>
      </c>
      <c r="AO450" s="1109">
        <f>AP450-AN450-AM450-AL450</f>
        <v>2.4000000000000004</v>
      </c>
      <c r="AP450" s="1418">
        <v>14.90</v>
      </c>
      <c r="AQ450" s="1257">
        <v>2.50</v>
      </c>
      <c r="AR450" s="1257">
        <v>2.2999999999999998</v>
      </c>
      <c r="AS450" s="1257">
        <v>2.2999999999999998</v>
      </c>
      <c r="AT450" s="1110">
        <f>AU450-SUM(AQ450,AR450,AS450)</f>
        <v>2.4000000000000004</v>
      </c>
      <c r="AU450" s="1418">
        <v>9.50</v>
      </c>
      <c r="AV450" s="1257">
        <v>2.50</v>
      </c>
      <c r="AW450" s="1257">
        <v>3</v>
      </c>
      <c r="AX450" s="1257">
        <v>3</v>
      </c>
      <c r="AY450" s="1110">
        <f>AZ450-SUM(AV450,AW450,AX450)</f>
        <v>2.9000000000000004</v>
      </c>
      <c r="AZ450" s="1418">
        <v>11.40</v>
      </c>
      <c r="BA450" s="1257">
        <v>2.90</v>
      </c>
      <c r="BB450" s="1257">
        <v>2.70</v>
      </c>
      <c r="BC450" s="1257">
        <v>2.60</v>
      </c>
      <c r="BD450" s="1110">
        <f t="shared" si="866"/>
        <v>2.9000000000000004</v>
      </c>
      <c r="BE450" s="1418">
        <v>11.10</v>
      </c>
      <c r="BF450" s="1257">
        <v>2.90</v>
      </c>
      <c r="BG450" s="1257">
        <v>2.70</v>
      </c>
      <c r="BH450" s="1112"/>
      <c r="BI450" s="1110"/>
      <c r="BJ450" s="1419"/>
      <c r="BK450" s="1110"/>
      <c r="BL450" s="1110"/>
      <c r="BM450" s="1110"/>
      <c r="BN450" s="1110"/>
      <c r="BO450" s="1419"/>
      <c r="BP450" s="1419"/>
      <c r="BQ450" s="1419"/>
      <c r="BR450" s="1419"/>
      <c r="BS450" s="648"/>
    </row>
    <row r="451" spans="1:71" s="683" customFormat="1" ht="15" hidden="1" outlineLevel="1" collapsed="1">
      <c r="A451" s="71" t="s">
        <v>390</v>
      </c>
      <c r="B451" s="408"/>
      <c r="C451" s="1420">
        <f t="shared" si="867" ref="C451:AO451">SUM(C442:C450)</f>
        <v>401.30</v>
      </c>
      <c r="D451" s="1420">
        <f t="shared" si="867"/>
        <v>418.60</v>
      </c>
      <c r="E451" s="1420">
        <f t="shared" si="867"/>
        <v>384.20</v>
      </c>
      <c r="F451" s="1420">
        <f t="shared" si="867"/>
        <v>351.20</v>
      </c>
      <c r="G451" s="1420">
        <f t="shared" si="867"/>
        <v>337.99999999999994</v>
      </c>
      <c r="H451" s="1102">
        <f t="shared" si="867"/>
        <v>82.80</v>
      </c>
      <c r="I451" s="1102">
        <f t="shared" si="867"/>
        <v>78.400000000000006</v>
      </c>
      <c r="J451" s="1102">
        <f t="shared" si="867"/>
        <v>79.400000000000006</v>
      </c>
      <c r="K451" s="1102">
        <f t="shared" si="867"/>
        <v>81.299999999999983</v>
      </c>
      <c r="L451" s="1420">
        <f t="shared" si="867"/>
        <v>321.90000000000003</v>
      </c>
      <c r="M451" s="1102">
        <f t="shared" si="867"/>
        <v>82.499999999999986</v>
      </c>
      <c r="N451" s="1102">
        <f t="shared" si="867"/>
        <v>89.70</v>
      </c>
      <c r="O451" s="1102">
        <f t="shared" si="867"/>
        <v>93.10</v>
      </c>
      <c r="P451" s="1102">
        <f t="shared" si="867"/>
        <v>92.40000000000002</v>
      </c>
      <c r="Q451" s="1420">
        <f t="shared" si="867"/>
        <v>357.70</v>
      </c>
      <c r="R451" s="1102">
        <f t="shared" si="867"/>
        <v>89.90</v>
      </c>
      <c r="S451" s="1102">
        <f t="shared" si="867"/>
        <v>84.90000000000002</v>
      </c>
      <c r="T451" s="1102">
        <f t="shared" si="867"/>
        <v>87.699999999999989</v>
      </c>
      <c r="U451" s="1102">
        <f t="shared" si="867"/>
        <v>90.90</v>
      </c>
      <c r="V451" s="1420">
        <f t="shared" si="867"/>
        <v>353.40</v>
      </c>
      <c r="W451" s="1102">
        <f t="shared" si="867"/>
        <v>97.40000000000002</v>
      </c>
      <c r="X451" s="1102">
        <f t="shared" si="867"/>
        <v>104.80</v>
      </c>
      <c r="Y451" s="1102">
        <f t="shared" si="867"/>
        <v>106.50</v>
      </c>
      <c r="Z451" s="1102">
        <f t="shared" si="867"/>
        <v>114.20000000000002</v>
      </c>
      <c r="AA451" s="1420">
        <f t="shared" si="867"/>
        <v>422.90</v>
      </c>
      <c r="AB451" s="1102">
        <f t="shared" si="867"/>
        <v>130.30000000000001</v>
      </c>
      <c r="AC451" s="1102">
        <f t="shared" si="867"/>
        <v>152.59999999999999</v>
      </c>
      <c r="AD451" s="1102">
        <f t="shared" si="867"/>
        <v>174.30</v>
      </c>
      <c r="AE451" s="1102">
        <f t="shared" si="867"/>
        <v>204.70000000000005</v>
      </c>
      <c r="AF451" s="1420">
        <f t="shared" si="867"/>
        <v>661.90</v>
      </c>
      <c r="AG451" s="1102">
        <f t="shared" si="867"/>
        <v>208.19999999999996</v>
      </c>
      <c r="AH451" s="1102">
        <f t="shared" si="867"/>
        <v>220.20000000000002</v>
      </c>
      <c r="AI451" s="1102">
        <f t="shared" si="867"/>
        <v>225.90</v>
      </c>
      <c r="AJ451" s="1102">
        <f t="shared" si="867"/>
        <v>227.69999999999996</v>
      </c>
      <c r="AK451" s="1420">
        <f t="shared" si="867"/>
        <v>882</v>
      </c>
      <c r="AL451" s="1102">
        <f t="shared" si="867"/>
        <v>205.79999999999998</v>
      </c>
      <c r="AM451" s="1102">
        <f t="shared" si="867"/>
        <v>201.70000000000002</v>
      </c>
      <c r="AN451" s="1102">
        <f t="shared" si="867"/>
        <v>195.00000000000003</v>
      </c>
      <c r="AO451" s="1102">
        <f t="shared" si="867"/>
        <v>186.80</v>
      </c>
      <c r="AP451" s="1420">
        <f t="shared" si="868" ref="AP451:AU451">SUM(AP442:AP450)</f>
        <v>789.30</v>
      </c>
      <c r="AQ451" s="1102">
        <f t="shared" si="868"/>
        <v>186.60</v>
      </c>
      <c r="AR451" s="1102">
        <f t="shared" si="868"/>
        <v>176.70</v>
      </c>
      <c r="AS451" s="1102">
        <f t="shared" si="868"/>
        <v>175.50000000000003</v>
      </c>
      <c r="AT451" s="1103">
        <f t="shared" si="868"/>
        <v>184.50000000000003</v>
      </c>
      <c r="AU451" s="1417">
        <f t="shared" si="868"/>
        <v>723.30</v>
      </c>
      <c r="AV451" s="1102">
        <f>SUM(AV442:AV450)</f>
        <v>204.49999999999997</v>
      </c>
      <c r="AW451" s="1102">
        <f>SUM(AW442:AW450)</f>
        <v>252.09999999999997</v>
      </c>
      <c r="AX451" s="1102">
        <f>SUM(AX442:AX450)</f>
        <v>280</v>
      </c>
      <c r="AY451" s="1103">
        <f t="shared" si="869" ref="AY451:AZ451">SUM(AY442:AY450)</f>
        <v>339.40000000000009</v>
      </c>
      <c r="AZ451" s="1417">
        <f t="shared" si="869"/>
        <v>1076</v>
      </c>
      <c r="BA451" s="1102">
        <f>SUM(BA442:BA450)</f>
        <v>368.10</v>
      </c>
      <c r="BB451" s="1102">
        <f>SUM(BB442:BB450)</f>
        <v>405.90</v>
      </c>
      <c r="BC451" s="1102">
        <f>SUM(BC442:BC450)</f>
        <v>466</v>
      </c>
      <c r="BD451" s="1103">
        <f t="shared" si="870" ref="BD451:BE451">SUM(BD442:BD450)</f>
        <v>465.60</v>
      </c>
      <c r="BE451" s="1417">
        <f t="shared" si="870"/>
        <v>1705.60</v>
      </c>
      <c r="BF451" s="1102">
        <f>SUM(BF442:BF450)</f>
        <v>573.79999999999995</v>
      </c>
      <c r="BG451" s="1103">
        <f>SUM(BG442:BG450)</f>
        <v>647.60</v>
      </c>
      <c r="BH451" s="1113">
        <f>SUM(BH442:BH450)</f>
        <v>712.90</v>
      </c>
      <c r="BI451" s="1106">
        <f>BI432*BI397/(BJ$3/BI$3)</f>
        <v>486.73888879781424</v>
      </c>
      <c r="BJ451" s="1416">
        <f>SUM(BF451,BG451,BH451,BI451)</f>
        <v>2421.0388887978143</v>
      </c>
      <c r="BK451" s="1106">
        <f>BK432*BK397/(BO$3/BK$3)</f>
        <v>451.69497585616449</v>
      </c>
      <c r="BL451" s="1106">
        <f>BL432*BL397/(BO$3/BL$3)</f>
        <v>471.95744486301379</v>
      </c>
      <c r="BM451" s="1106">
        <f>BM432*BM397/(BO$3/BM$3)</f>
        <v>516.37811198630141</v>
      </c>
      <c r="BN451" s="1106">
        <f>BN432*BN397/(BO$3/BN$3)</f>
        <v>512.47604100000001</v>
      </c>
      <c r="BO451" s="1416">
        <f>SUM(BK451,BL451,BM451,BN451)</f>
        <v>1952.5065737054797</v>
      </c>
      <c r="BP451" s="1417">
        <f>BP432*BP397/(BP$3/BP$3)</f>
        <v>1965.7066419375005</v>
      </c>
      <c r="BQ451" s="1417">
        <f>BQ432*BQ397/(BQ$3/BQ$3)</f>
        <v>2063.9919740343753</v>
      </c>
      <c r="BR451" s="1416">
        <f>BR432*BR397/(BR$3/BR$3)</f>
        <v>2167.1915727360943</v>
      </c>
      <c r="BS451" s="648"/>
    </row>
    <row r="452" spans="1:71" s="683" customFormat="1" ht="15" hidden="1" outlineLevel="1">
      <c r="A452" s="73" t="s">
        <v>391</v>
      </c>
      <c r="B452" s="409"/>
      <c r="C452" s="1418">
        <v>2.70</v>
      </c>
      <c r="D452" s="1418">
        <v>3.60</v>
      </c>
      <c r="E452" s="1418">
        <v>2.40</v>
      </c>
      <c r="F452" s="1418">
        <v>3.10</v>
      </c>
      <c r="G452" s="1418">
        <v>2</v>
      </c>
      <c r="H452" s="1257">
        <v>0.20</v>
      </c>
      <c r="I452" s="1257">
        <v>0.30</v>
      </c>
      <c r="J452" s="1257">
        <v>0.40</v>
      </c>
      <c r="K452" s="1109">
        <f>L452-J452-I452-H452</f>
        <v>0.40000000000000008</v>
      </c>
      <c r="L452" s="1418">
        <v>1.30</v>
      </c>
      <c r="M452" s="1257">
        <v>0.40</v>
      </c>
      <c r="N452" s="1257">
        <v>0.40</v>
      </c>
      <c r="O452" s="1257">
        <v>0.70</v>
      </c>
      <c r="P452" s="1109">
        <f>Q452-O452-N452-M452</f>
        <v>0.70</v>
      </c>
      <c r="Q452" s="1418">
        <v>2.2000000000000002</v>
      </c>
      <c r="R452" s="1257">
        <v>2.60</v>
      </c>
      <c r="S452" s="1257">
        <v>3.50</v>
      </c>
      <c r="T452" s="1257">
        <v>5.30</v>
      </c>
      <c r="U452" s="1109">
        <f>V452-T452-S452-R452</f>
        <v>8.2999999999999989</v>
      </c>
      <c r="V452" s="1418">
        <v>19.70</v>
      </c>
      <c r="W452" s="1257">
        <v>7</v>
      </c>
      <c r="X452" s="1257">
        <v>8.8000000000000007</v>
      </c>
      <c r="Y452" s="1257">
        <v>10.60</v>
      </c>
      <c r="Z452" s="1109">
        <f>AA452-Y452-X452-W452</f>
        <v>11.399999999999995</v>
      </c>
      <c r="AA452" s="1418">
        <v>37.799999999999997</v>
      </c>
      <c r="AB452" s="1257">
        <v>10.10</v>
      </c>
      <c r="AC452" s="1257">
        <v>14.90</v>
      </c>
      <c r="AD452" s="1257">
        <v>15.70</v>
      </c>
      <c r="AE452" s="1109">
        <f>AF452-AD452-AC452-AB452</f>
        <v>12.200000000000005</v>
      </c>
      <c r="AF452" s="1418">
        <v>52.90</v>
      </c>
      <c r="AG452" s="1257">
        <v>16</v>
      </c>
      <c r="AH452" s="1257">
        <v>11.20</v>
      </c>
      <c r="AI452" s="1257">
        <v>7.10</v>
      </c>
      <c r="AJ452" s="1109">
        <f>AK452-AI452-AH452-AG452</f>
        <v>7.4000000000000021</v>
      </c>
      <c r="AK452" s="1418">
        <v>41.70</v>
      </c>
      <c r="AL452" s="1257">
        <v>7</v>
      </c>
      <c r="AM452" s="1257">
        <v>13.70</v>
      </c>
      <c r="AN452" s="1257">
        <v>6.20</v>
      </c>
      <c r="AO452" s="1109">
        <f>AP452-AN452-AM452-AL452</f>
        <v>2.1000000000000014</v>
      </c>
      <c r="AP452" s="1418">
        <v>29</v>
      </c>
      <c r="AQ452" s="1257">
        <v>1.50</v>
      </c>
      <c r="AR452" s="1257">
        <v>0.70</v>
      </c>
      <c r="AS452" s="1257">
        <v>0.40</v>
      </c>
      <c r="AT452" s="1110">
        <f>AU452-SUM(AQ452,AR452,AS452)</f>
        <v>0.50</v>
      </c>
      <c r="AU452" s="1418">
        <v>3.10</v>
      </c>
      <c r="AV452" s="1257">
        <v>0.40</v>
      </c>
      <c r="AW452" s="1257">
        <v>4.4000000000000004</v>
      </c>
      <c r="AX452" s="1257">
        <v>24.80</v>
      </c>
      <c r="AY452" s="1110">
        <f>AZ452-SUM(AV452,AW452,AX452)</f>
        <v>24</v>
      </c>
      <c r="AZ452" s="1418">
        <v>53.60</v>
      </c>
      <c r="BA452" s="1257">
        <v>24.70</v>
      </c>
      <c r="BB452" s="1257">
        <v>24.80</v>
      </c>
      <c r="BC452" s="1257">
        <v>21.60</v>
      </c>
      <c r="BD452" s="1110">
        <f>BE452-SUM(BA452,BB452,BC452)</f>
        <v>21.300000000000011</v>
      </c>
      <c r="BE452" s="1418">
        <v>92.40</v>
      </c>
      <c r="BF452" s="1257">
        <v>18.90</v>
      </c>
      <c r="BG452" s="1257">
        <v>17.20</v>
      </c>
      <c r="BH452" s="1258">
        <v>9.1999999999999993</v>
      </c>
      <c r="BI452" s="1110">
        <f>BI433*BI402/(BJ$3/BI$3)</f>
        <v>7.4539653688524599</v>
      </c>
      <c r="BJ452" s="1419">
        <f>SUM(BF452,BG452,BH452,BI452)</f>
        <v>52.753965368852455</v>
      </c>
      <c r="BK452" s="1110">
        <f>BK433*BK402/(BO$3/BK$3)</f>
        <v>9.077631164383563</v>
      </c>
      <c r="BL452" s="1110">
        <f>BL433*BL402/(BO$3/BL$3)</f>
        <v>6.0670650513698634</v>
      </c>
      <c r="BM452" s="1110">
        <f>BM433*BM402/(BO$3/BM$3)</f>
        <v>4.4360241780821914</v>
      </c>
      <c r="BN452" s="1110">
        <f>BN433*BN402/(BO$3/BN$3)</f>
        <v>7.848106551369864</v>
      </c>
      <c r="BO452" s="1419">
        <f>SUM(BK452,BL452,BM452,BN452)</f>
        <v>27.428826945205483</v>
      </c>
      <c r="BP452" s="1419">
        <f>BP433*BP402/(BP$3/BP$3)</f>
        <v>45.510724546875011</v>
      </c>
      <c r="BQ452" s="1419">
        <f>BQ433*BQ402/(BQ$3/BQ$3)</f>
        <v>47.786260774218768</v>
      </c>
      <c r="BR452" s="1419">
        <f>BR433*BR402/(BR$3/BR$3)</f>
        <v>50.175573812929706</v>
      </c>
      <c r="BS452" s="648"/>
    </row>
    <row r="453" spans="1:71" s="683" customFormat="1" ht="15" hidden="1" outlineLevel="1">
      <c r="A453" s="31" t="s">
        <v>392</v>
      </c>
      <c r="B453" s="408"/>
      <c r="C453" s="1420">
        <f t="shared" si="871" ref="C453:AU453">C451+C452</f>
        <v>404</v>
      </c>
      <c r="D453" s="1420">
        <f t="shared" si="871"/>
        <v>422.20</v>
      </c>
      <c r="E453" s="1420">
        <f t="shared" si="871"/>
        <v>386.60</v>
      </c>
      <c r="F453" s="1420">
        <f t="shared" si="871"/>
        <v>354.30</v>
      </c>
      <c r="G453" s="1420">
        <f t="shared" si="871"/>
        <v>339.99999999999994</v>
      </c>
      <c r="H453" s="1102">
        <f t="shared" si="871"/>
        <v>83</v>
      </c>
      <c r="I453" s="1102">
        <f t="shared" si="871"/>
        <v>78.70</v>
      </c>
      <c r="J453" s="1102">
        <f t="shared" si="871"/>
        <v>79.800000000000011</v>
      </c>
      <c r="K453" s="1102">
        <f t="shared" si="871"/>
        <v>81.699999999999989</v>
      </c>
      <c r="L453" s="1420">
        <f t="shared" si="871"/>
        <v>323.20000000000005</v>
      </c>
      <c r="M453" s="1102">
        <f t="shared" si="871"/>
        <v>82.90</v>
      </c>
      <c r="N453" s="1102">
        <f t="shared" si="871"/>
        <v>90.10</v>
      </c>
      <c r="O453" s="1102">
        <f t="shared" si="871"/>
        <v>93.800000000000011</v>
      </c>
      <c r="P453" s="1102">
        <f t="shared" si="871"/>
        <v>93.100000000000023</v>
      </c>
      <c r="Q453" s="1420">
        <f t="shared" si="871"/>
        <v>359.90</v>
      </c>
      <c r="R453" s="1102">
        <f t="shared" si="871"/>
        <v>92.499999999999986</v>
      </c>
      <c r="S453" s="1102">
        <f t="shared" si="871"/>
        <v>88.40000000000002</v>
      </c>
      <c r="T453" s="1102">
        <f t="shared" si="871"/>
        <v>92.999999999999986</v>
      </c>
      <c r="U453" s="1102">
        <f t="shared" si="871"/>
        <v>99.199999999999989</v>
      </c>
      <c r="V453" s="1420">
        <f t="shared" si="871"/>
        <v>373.10</v>
      </c>
      <c r="W453" s="1102">
        <f t="shared" si="871"/>
        <v>104.40000000000002</v>
      </c>
      <c r="X453" s="1102">
        <f t="shared" si="871"/>
        <v>113.59999999999999</v>
      </c>
      <c r="Y453" s="1102">
        <f t="shared" si="871"/>
        <v>117.09999999999999</v>
      </c>
      <c r="Z453" s="1102">
        <f t="shared" si="871"/>
        <v>125.60000000000001</v>
      </c>
      <c r="AA453" s="1420">
        <f t="shared" si="871"/>
        <v>460.70000000000005</v>
      </c>
      <c r="AB453" s="1102">
        <f t="shared" si="871"/>
        <v>140.40000000000001</v>
      </c>
      <c r="AC453" s="1102">
        <f t="shared" si="871"/>
        <v>167.50</v>
      </c>
      <c r="AD453" s="1102">
        <f t="shared" si="871"/>
        <v>190</v>
      </c>
      <c r="AE453" s="1102">
        <f t="shared" si="871"/>
        <v>216.90000000000006</v>
      </c>
      <c r="AF453" s="1420">
        <f t="shared" si="871"/>
        <v>714.80</v>
      </c>
      <c r="AG453" s="1102">
        <f t="shared" si="871"/>
        <v>224.19999999999996</v>
      </c>
      <c r="AH453" s="1102">
        <f t="shared" si="871"/>
        <v>231.40</v>
      </c>
      <c r="AI453" s="1102">
        <f t="shared" si="871"/>
        <v>233</v>
      </c>
      <c r="AJ453" s="1102">
        <f t="shared" si="871"/>
        <v>235.09999999999997</v>
      </c>
      <c r="AK453" s="1420">
        <f t="shared" si="871"/>
        <v>923.70</v>
      </c>
      <c r="AL453" s="1102">
        <f t="shared" si="871"/>
        <v>212.79999999999998</v>
      </c>
      <c r="AM453" s="1102">
        <f t="shared" si="871"/>
        <v>215.40</v>
      </c>
      <c r="AN453" s="1102">
        <f t="shared" si="871"/>
        <v>201.20000000000002</v>
      </c>
      <c r="AO453" s="1102">
        <f t="shared" si="871"/>
        <v>188.90</v>
      </c>
      <c r="AP453" s="1420">
        <f t="shared" si="871"/>
        <v>818.30</v>
      </c>
      <c r="AQ453" s="1102">
        <f t="shared" si="871"/>
        <v>188.10</v>
      </c>
      <c r="AR453" s="1102">
        <f t="shared" si="871"/>
        <v>177.39999999999998</v>
      </c>
      <c r="AS453" s="1102">
        <f t="shared" si="871"/>
        <v>175.90000000000003</v>
      </c>
      <c r="AT453" s="1103">
        <f t="shared" si="871"/>
        <v>185.00000000000003</v>
      </c>
      <c r="AU453" s="1417">
        <f t="shared" si="871"/>
        <v>726.40000000000009</v>
      </c>
      <c r="AV453" s="1102">
        <f t="shared" si="872" ref="AV453:AZ453">AV451+AV452</f>
        <v>204.89999999999998</v>
      </c>
      <c r="AW453" s="1102">
        <f t="shared" si="872"/>
        <v>256.49999999999994</v>
      </c>
      <c r="AX453" s="1102">
        <f t="shared" si="872"/>
        <v>304.80</v>
      </c>
      <c r="AY453" s="1103">
        <f t="shared" si="872"/>
        <v>363.40000000000009</v>
      </c>
      <c r="AZ453" s="1417">
        <f t="shared" si="872"/>
        <v>1129.5999999999999</v>
      </c>
      <c r="BA453" s="1102">
        <f t="shared" si="873" ref="BA453:BR453">BA451+BA452</f>
        <v>392.79999999999995</v>
      </c>
      <c r="BB453" s="1102">
        <f t="shared" si="873"/>
        <v>430.70000000000005</v>
      </c>
      <c r="BC453" s="1102">
        <f t="shared" si="873"/>
        <v>487.60</v>
      </c>
      <c r="BD453" s="1103">
        <f t="shared" si="873"/>
        <v>486.90</v>
      </c>
      <c r="BE453" s="1417">
        <f t="shared" si="873"/>
        <v>1798</v>
      </c>
      <c r="BF453" s="1102">
        <f>BF451+BF452</f>
        <v>592.69999999999993</v>
      </c>
      <c r="BG453" s="1103">
        <f>BG451+BG452</f>
        <v>664.80</v>
      </c>
      <c r="BH453" s="1113">
        <f>BH451+BH452</f>
        <v>722.10</v>
      </c>
      <c r="BI453" s="1106">
        <f t="shared" si="873"/>
        <v>494.19285416666668</v>
      </c>
      <c r="BJ453" s="1416">
        <f t="shared" si="873"/>
        <v>2473.7928541666665</v>
      </c>
      <c r="BK453" s="1106">
        <f t="shared" si="873"/>
        <v>460.77260702054804</v>
      </c>
      <c r="BL453" s="1106">
        <f t="shared" si="873"/>
        <v>478.02450991438366</v>
      </c>
      <c r="BM453" s="1106">
        <f t="shared" si="873"/>
        <v>520.81413616438363</v>
      </c>
      <c r="BN453" s="1106">
        <f t="shared" si="873"/>
        <v>520.32414755136983</v>
      </c>
      <c r="BO453" s="1416">
        <f t="shared" si="873"/>
        <v>1979.9354006506851</v>
      </c>
      <c r="BP453" s="1417">
        <f t="shared" si="873"/>
        <v>2011.2173664843756</v>
      </c>
      <c r="BQ453" s="1417">
        <f t="shared" si="873"/>
        <v>2111.7782348085939</v>
      </c>
      <c r="BR453" s="1416">
        <f t="shared" si="873"/>
        <v>2217.3671465490238</v>
      </c>
      <c r="BS453" s="648"/>
    </row>
    <row r="454" spans="1:71" s="683" customFormat="1" ht="15" hidden="1" outlineLevel="1">
      <c r="A454" s="71" t="s">
        <v>393</v>
      </c>
      <c r="B454" s="408"/>
      <c r="C454" s="1415">
        <v>89.70</v>
      </c>
      <c r="D454" s="1415">
        <v>70.599999999999994</v>
      </c>
      <c r="E454" s="1415">
        <v>57.70</v>
      </c>
      <c r="F454" s="1415">
        <v>43.80</v>
      </c>
      <c r="G454" s="1415">
        <v>36.200000000000003</v>
      </c>
      <c r="H454" s="1254">
        <v>9.90</v>
      </c>
      <c r="I454" s="1254">
        <v>9.3000000000000007</v>
      </c>
      <c r="J454" s="1254">
        <v>9.40</v>
      </c>
      <c r="K454" s="1102">
        <f>L454-J454-I454-H454</f>
        <v>10.000000000000002</v>
      </c>
      <c r="L454" s="1415">
        <v>38.60</v>
      </c>
      <c r="M454" s="1254">
        <v>10.50</v>
      </c>
      <c r="N454" s="1254">
        <v>10.90</v>
      </c>
      <c r="O454" s="1254">
        <v>11</v>
      </c>
      <c r="P454" s="1102">
        <f>Q454-O454-N454-M454</f>
        <v>11.300000000000004</v>
      </c>
      <c r="Q454" s="1415">
        <v>43.70</v>
      </c>
      <c r="R454" s="1254">
        <v>11.80</v>
      </c>
      <c r="S454" s="1254">
        <v>12.60</v>
      </c>
      <c r="T454" s="1254">
        <v>12.40</v>
      </c>
      <c r="U454" s="1102">
        <f>V454-T454-S454-R454</f>
        <v>11.80</v>
      </c>
      <c r="V454" s="1415">
        <v>48.60</v>
      </c>
      <c r="W454" s="1254">
        <v>11.50</v>
      </c>
      <c r="X454" s="1254">
        <v>10.60</v>
      </c>
      <c r="Y454" s="1254">
        <v>10.90</v>
      </c>
      <c r="Z454" s="1102">
        <f>AA454-Y454-X454-W454</f>
        <v>11.10</v>
      </c>
      <c r="AA454" s="1415">
        <v>44.10</v>
      </c>
      <c r="AB454" s="1254">
        <v>10.90</v>
      </c>
      <c r="AC454" s="1254">
        <v>10.40</v>
      </c>
      <c r="AD454" s="1254">
        <v>11.20</v>
      </c>
      <c r="AE454" s="1102">
        <f>AF454-AD454-AC454-AB454</f>
        <v>13.400000000000004</v>
      </c>
      <c r="AF454" s="1415">
        <v>45.90</v>
      </c>
      <c r="AG454" s="1254">
        <v>15.50</v>
      </c>
      <c r="AH454" s="1254">
        <v>15.90</v>
      </c>
      <c r="AI454" s="1254">
        <v>15.90</v>
      </c>
      <c r="AJ454" s="1102">
        <f>AK454-AI454-AH454-AG454</f>
        <v>14.50</v>
      </c>
      <c r="AK454" s="1415">
        <v>61.80</v>
      </c>
      <c r="AL454" s="1254">
        <v>13.80</v>
      </c>
      <c r="AM454" s="1254">
        <v>14.70</v>
      </c>
      <c r="AN454" s="1254">
        <v>15.80</v>
      </c>
      <c r="AO454" s="1102">
        <f>AP454-AN454-AM454-AL454</f>
        <v>16.299999999999997</v>
      </c>
      <c r="AP454" s="1415">
        <v>60.60</v>
      </c>
      <c r="AQ454" s="1254">
        <v>17.90</v>
      </c>
      <c r="AR454" s="1254">
        <v>17.30</v>
      </c>
      <c r="AS454" s="1254">
        <v>17.30</v>
      </c>
      <c r="AT454" s="1103">
        <f>AU454-SUM(AQ454,AR454,AS454)</f>
        <v>17.799999999999997</v>
      </c>
      <c r="AU454" s="1415">
        <v>70.30</v>
      </c>
      <c r="AV454" s="1254">
        <v>18.20</v>
      </c>
      <c r="AW454" s="1254">
        <v>18.10</v>
      </c>
      <c r="AX454" s="1254">
        <v>17.30</v>
      </c>
      <c r="AY454" s="1103">
        <f>AZ454-SUM(AV454,AW454,AX454)</f>
        <v>16.600000000000009</v>
      </c>
      <c r="AZ454" s="1415">
        <v>70.20</v>
      </c>
      <c r="BA454" s="1254">
        <v>15.10</v>
      </c>
      <c r="BB454" s="1254">
        <v>13.30</v>
      </c>
      <c r="BC454" s="1254">
        <v>11.90</v>
      </c>
      <c r="BD454" s="1103">
        <f>BE454-SUM(BA454,BB454,BC454)</f>
        <v>11.10</v>
      </c>
      <c r="BE454" s="1415">
        <v>51.40</v>
      </c>
      <c r="BF454" s="1254">
        <v>11</v>
      </c>
      <c r="BG454" s="1254">
        <v>10.40</v>
      </c>
      <c r="BH454" s="1255">
        <v>9.1999999999999993</v>
      </c>
      <c r="BI454" s="1106"/>
      <c r="BJ454" s="1416"/>
      <c r="BK454" s="1106"/>
      <c r="BL454" s="1106"/>
      <c r="BM454" s="1106"/>
      <c r="BN454" s="1106"/>
      <c r="BO454" s="1416"/>
      <c r="BP454" s="1417"/>
      <c r="BQ454" s="1417"/>
      <c r="BR454" s="1416"/>
      <c r="BS454" s="648"/>
    </row>
    <row r="455" spans="1:71" s="683" customFormat="1" ht="15" hidden="1" outlineLevel="1">
      <c r="A455" s="495" t="s">
        <v>394</v>
      </c>
      <c r="B455" s="496"/>
      <c r="C455" s="1415">
        <v>13.30</v>
      </c>
      <c r="D455" s="1415">
        <v>27.30</v>
      </c>
      <c r="E455" s="1415">
        <v>35.700000000000003</v>
      </c>
      <c r="F455" s="1415">
        <v>44.90</v>
      </c>
      <c r="G455" s="1415">
        <v>45.80</v>
      </c>
      <c r="H455" s="1254">
        <v>10.40</v>
      </c>
      <c r="I455" s="1254">
        <v>11.20</v>
      </c>
      <c r="J455" s="1254">
        <v>12.50</v>
      </c>
      <c r="K455" s="1102">
        <f>L455-J455-I455-H455</f>
        <v>12.500000000000002</v>
      </c>
      <c r="L455" s="1415">
        <v>46.60</v>
      </c>
      <c r="M455" s="1254">
        <v>11.70</v>
      </c>
      <c r="N455" s="1254">
        <v>12.30</v>
      </c>
      <c r="O455" s="1254">
        <v>12.70</v>
      </c>
      <c r="P455" s="1102">
        <f>Q455-O455-N455-M455</f>
        <v>14.299999999999997</v>
      </c>
      <c r="Q455" s="1415">
        <v>51</v>
      </c>
      <c r="R455" s="1254">
        <v>14.50</v>
      </c>
      <c r="S455" s="1254">
        <v>13.60</v>
      </c>
      <c r="T455" s="1254">
        <v>13.90</v>
      </c>
      <c r="U455" s="1102">
        <f>V455-T455-S455-R455</f>
        <v>15.200000000000003</v>
      </c>
      <c r="V455" s="1415">
        <v>57.20</v>
      </c>
      <c r="W455" s="1254">
        <v>13.30</v>
      </c>
      <c r="X455" s="1254">
        <v>14.60</v>
      </c>
      <c r="Y455" s="1254">
        <v>14.90</v>
      </c>
      <c r="Z455" s="1102">
        <f>AA455-Y455-X455-W455</f>
        <v>15.499999999999996</v>
      </c>
      <c r="AA455" s="1415">
        <v>58.30</v>
      </c>
      <c r="AB455" s="1254">
        <v>15</v>
      </c>
      <c r="AC455" s="1254">
        <v>14.20</v>
      </c>
      <c r="AD455" s="1254">
        <v>16.90</v>
      </c>
      <c r="AE455" s="1102">
        <f>AF455-AD455-AC455-AB455</f>
        <v>13.70</v>
      </c>
      <c r="AF455" s="1415">
        <v>59.80</v>
      </c>
      <c r="AG455" s="1254">
        <v>13.20</v>
      </c>
      <c r="AH455" s="1254">
        <v>14</v>
      </c>
      <c r="AI455" s="1254">
        <v>14.10</v>
      </c>
      <c r="AJ455" s="1102">
        <f>AK455-AI455-AH455-AG455</f>
        <v>15.20</v>
      </c>
      <c r="AK455" s="1415">
        <v>56.50</v>
      </c>
      <c r="AL455" s="1254">
        <v>14.60</v>
      </c>
      <c r="AM455" s="1254">
        <v>13.70</v>
      </c>
      <c r="AN455" s="1254">
        <v>13.50</v>
      </c>
      <c r="AO455" s="1102">
        <f>AP455-AN455-AM455-AL455</f>
        <v>15.900000000000004</v>
      </c>
      <c r="AP455" s="1415">
        <v>57.70</v>
      </c>
      <c r="AQ455" s="1254">
        <v>14.20</v>
      </c>
      <c r="AR455" s="1254">
        <v>16</v>
      </c>
      <c r="AS455" s="1254">
        <v>15.70</v>
      </c>
      <c r="AT455" s="1103">
        <f>AU455-SUM(AQ455,AR455,AS455)</f>
        <v>18.300000000000004</v>
      </c>
      <c r="AU455" s="1415">
        <v>64.20</v>
      </c>
      <c r="AV455" s="1254">
        <v>19.10</v>
      </c>
      <c r="AW455" s="1254">
        <v>17.80</v>
      </c>
      <c r="AX455" s="1254">
        <v>11.50</v>
      </c>
      <c r="AY455" s="1103">
        <f>AZ455-SUM(AV455,AW455,AX455)</f>
        <v>12.099999999999994</v>
      </c>
      <c r="AZ455" s="1415">
        <v>60.50</v>
      </c>
      <c r="BA455" s="1254">
        <v>11.70</v>
      </c>
      <c r="BB455" s="1254">
        <v>10.50</v>
      </c>
      <c r="BC455" s="1254">
        <v>10.70</v>
      </c>
      <c r="BD455" s="1103">
        <f>BE455-SUM(BA455,BB455,BC455)</f>
        <v>9.50</v>
      </c>
      <c r="BE455" s="1415">
        <v>42.40</v>
      </c>
      <c r="BF455" s="1254">
        <v>13.90</v>
      </c>
      <c r="BG455" s="1254">
        <v>9.8000000000000007</v>
      </c>
      <c r="BH455" s="1255">
        <v>8.1999999999999993</v>
      </c>
      <c r="BI455" s="1103"/>
      <c r="BJ455" s="1417"/>
      <c r="BK455" s="1103"/>
      <c r="BL455" s="1103"/>
      <c r="BM455" s="1103"/>
      <c r="BN455" s="1103"/>
      <c r="BO455" s="1417"/>
      <c r="BP455" s="1417"/>
      <c r="BQ455" s="1417"/>
      <c r="BR455" s="1417"/>
      <c r="BS455" s="648"/>
    </row>
    <row r="456" spans="1:71" s="683" customFormat="1" ht="15" hidden="1" outlineLevel="1" collapsed="1">
      <c r="A456" s="586" t="s">
        <v>395</v>
      </c>
      <c r="B456" s="587"/>
      <c r="C456" s="1421">
        <f t="shared" si="874" ref="C456:AO456">SUM(C454:C455)</f>
        <v>103</v>
      </c>
      <c r="D456" s="1421">
        <f t="shared" si="874"/>
        <v>97.90</v>
      </c>
      <c r="E456" s="1421">
        <f t="shared" si="874"/>
        <v>93.40</v>
      </c>
      <c r="F456" s="1421">
        <f t="shared" si="874"/>
        <v>88.699999999999989</v>
      </c>
      <c r="G456" s="1421">
        <f t="shared" si="874"/>
        <v>82</v>
      </c>
      <c r="H456" s="1115">
        <f t="shared" si="874"/>
        <v>20.30</v>
      </c>
      <c r="I456" s="1115">
        <f t="shared" si="874"/>
        <v>20.50</v>
      </c>
      <c r="J456" s="1115">
        <f t="shared" si="874"/>
        <v>21.90</v>
      </c>
      <c r="K456" s="1115">
        <f t="shared" si="874"/>
        <v>22.500000000000004</v>
      </c>
      <c r="L456" s="1421">
        <f t="shared" si="874"/>
        <v>85.20</v>
      </c>
      <c r="M456" s="1115">
        <f t="shared" si="874"/>
        <v>22.20</v>
      </c>
      <c r="N456" s="1115">
        <f t="shared" si="874"/>
        <v>23.200000000000003</v>
      </c>
      <c r="O456" s="1115">
        <f t="shared" si="874"/>
        <v>23.70</v>
      </c>
      <c r="P456" s="1115">
        <f t="shared" si="874"/>
        <v>25.60</v>
      </c>
      <c r="Q456" s="1421">
        <f t="shared" si="874"/>
        <v>94.70</v>
      </c>
      <c r="R456" s="1115">
        <f t="shared" si="874"/>
        <v>26.30</v>
      </c>
      <c r="S456" s="1115">
        <f t="shared" si="874"/>
        <v>26.20</v>
      </c>
      <c r="T456" s="1115">
        <f t="shared" si="874"/>
        <v>26.30</v>
      </c>
      <c r="U456" s="1115">
        <f t="shared" si="874"/>
        <v>27.000000000000004</v>
      </c>
      <c r="V456" s="1421">
        <f t="shared" si="874"/>
        <v>105.80000000000001</v>
      </c>
      <c r="W456" s="1115">
        <f t="shared" si="874"/>
        <v>24.80</v>
      </c>
      <c r="X456" s="1115">
        <f t="shared" si="874"/>
        <v>25.20</v>
      </c>
      <c r="Y456" s="1115">
        <f t="shared" si="874"/>
        <v>25.80</v>
      </c>
      <c r="Z456" s="1115">
        <f t="shared" si="874"/>
        <v>26.60</v>
      </c>
      <c r="AA456" s="1421">
        <f t="shared" si="874"/>
        <v>102.40000000000001</v>
      </c>
      <c r="AB456" s="1115">
        <f t="shared" si="874"/>
        <v>25.90</v>
      </c>
      <c r="AC456" s="1115">
        <f t="shared" si="874"/>
        <v>24.60</v>
      </c>
      <c r="AD456" s="1115">
        <f t="shared" si="874"/>
        <v>28.10</v>
      </c>
      <c r="AE456" s="1115">
        <f t="shared" si="874"/>
        <v>27.10</v>
      </c>
      <c r="AF456" s="1421">
        <f t="shared" si="874"/>
        <v>105.69999999999999</v>
      </c>
      <c r="AG456" s="1115">
        <f t="shared" si="874"/>
        <v>28.70</v>
      </c>
      <c r="AH456" s="1115">
        <f t="shared" si="874"/>
        <v>29.90</v>
      </c>
      <c r="AI456" s="1115">
        <f t="shared" si="874"/>
        <v>30</v>
      </c>
      <c r="AJ456" s="1115">
        <f t="shared" si="874"/>
        <v>29.70</v>
      </c>
      <c r="AK456" s="1421">
        <f t="shared" si="874"/>
        <v>118.30</v>
      </c>
      <c r="AL456" s="1115">
        <f t="shared" si="874"/>
        <v>28.40</v>
      </c>
      <c r="AM456" s="1115">
        <f t="shared" si="874"/>
        <v>28.40</v>
      </c>
      <c r="AN456" s="1115">
        <f t="shared" si="874"/>
        <v>29.30</v>
      </c>
      <c r="AO456" s="1115">
        <f t="shared" si="874"/>
        <v>32.200000000000003</v>
      </c>
      <c r="AP456" s="1421">
        <f t="shared" si="875" ref="AP456:AU456">SUM(AP454:AP455)</f>
        <v>118.30000000000001</v>
      </c>
      <c r="AQ456" s="1115">
        <f t="shared" si="875"/>
        <v>32.099999999999994</v>
      </c>
      <c r="AR456" s="1115">
        <f t="shared" si="875"/>
        <v>33.299999999999997</v>
      </c>
      <c r="AS456" s="1115">
        <f t="shared" si="875"/>
        <v>33</v>
      </c>
      <c r="AT456" s="1116">
        <f t="shared" si="875"/>
        <v>36.10</v>
      </c>
      <c r="AU456" s="1422">
        <f t="shared" si="875"/>
        <v>134.50</v>
      </c>
      <c r="AV456" s="1115">
        <f>SUM(AV454:AV455)</f>
        <v>37.299999999999997</v>
      </c>
      <c r="AW456" s="1115">
        <f>SUM(AW454:AW455)</f>
        <v>35.900000000000006</v>
      </c>
      <c r="AX456" s="1115">
        <f>SUM(AX454:AX455)</f>
        <v>28.80</v>
      </c>
      <c r="AY456" s="1116">
        <f t="shared" si="876" ref="AY456:AZ456">SUM(AY454:AY455)</f>
        <v>28.700000000000003</v>
      </c>
      <c r="AZ456" s="1422">
        <f t="shared" si="876"/>
        <v>130.69999999999999</v>
      </c>
      <c r="BA456" s="1115">
        <f>SUM(BA454:BA455)</f>
        <v>26.799999999999997</v>
      </c>
      <c r="BB456" s="1115">
        <f>SUM(BB454:BB455)</f>
        <v>23.80</v>
      </c>
      <c r="BC456" s="1115">
        <f>SUM(BC454:BC455)</f>
        <v>22.60</v>
      </c>
      <c r="BD456" s="1116">
        <f t="shared" si="877" ref="BD456:BE456">SUM(BD454:BD455)</f>
        <v>20.60</v>
      </c>
      <c r="BE456" s="1422">
        <f t="shared" si="877"/>
        <v>93.80</v>
      </c>
      <c r="BF456" s="1115">
        <f>SUM(BF454:BF455)</f>
        <v>24.90</v>
      </c>
      <c r="BG456" s="1116">
        <f>SUM(BG454:BG455)</f>
        <v>20.200000000000003</v>
      </c>
      <c r="BH456" s="1118">
        <f>SUM(BH454:BH455)</f>
        <v>17.40</v>
      </c>
      <c r="BI456" s="1116">
        <f>BI437*BI416/(BJ$3/BI$3)</f>
        <v>30.251683196721313</v>
      </c>
      <c r="BJ456" s="1422">
        <f>SUM(BF456,BG456,BH456,BI456)</f>
        <v>92.751683196721316</v>
      </c>
      <c r="BK456" s="1116">
        <f>BK437*BK416/(BO$3/BK$3)</f>
        <v>29.863732808219176</v>
      </c>
      <c r="BL456" s="1116">
        <f>BL437*BL416/(BO$3/BL$3)</f>
        <v>30.64653684246576</v>
      </c>
      <c r="BM456" s="1116">
        <f>BM437*BM416/(BO$3/BM$3)</f>
        <v>31.550526000000001</v>
      </c>
      <c r="BN456" s="1116">
        <f>BN437*BN416/(BO$3/BN$3)</f>
        <v>31.851292746575339</v>
      </c>
      <c r="BO456" s="1422">
        <f>SUM(BK456,BL456,BM456,BN456)</f>
        <v>123.91208839726028</v>
      </c>
      <c r="BP456" s="1422">
        <f>BP437*BP416/(BP$3/BP$3)</f>
        <v>129.24274584375001</v>
      </c>
      <c r="BQ456" s="1422">
        <f>BQ437*BQ416/(BQ$3/BQ$3)</f>
        <v>135.70488313593751</v>
      </c>
      <c r="BR456" s="1422">
        <f>BR437*BR416/(BR$3/BR$3)</f>
        <v>142.49012729273437</v>
      </c>
      <c r="BS456" s="648"/>
    </row>
    <row r="457" spans="1:71" s="665" customFormat="1" ht="15" hidden="1" outlineLevel="1">
      <c r="A457" s="371" t="s">
        <v>396</v>
      </c>
      <c r="B457" s="308"/>
      <c r="C457" s="1349">
        <f t="shared" si="878" ref="C457:AO457">C453+C456</f>
        <v>507</v>
      </c>
      <c r="D457" s="1349">
        <f t="shared" si="878"/>
        <v>520.10</v>
      </c>
      <c r="E457" s="1349">
        <f t="shared" si="878"/>
        <v>480</v>
      </c>
      <c r="F457" s="1349">
        <f t="shared" si="878"/>
        <v>443</v>
      </c>
      <c r="G457" s="1349">
        <f t="shared" si="878"/>
        <v>421.99999999999994</v>
      </c>
      <c r="H457" s="1042">
        <f t="shared" si="878"/>
        <v>103.30</v>
      </c>
      <c r="I457" s="1042">
        <f t="shared" si="878"/>
        <v>99.20</v>
      </c>
      <c r="J457" s="1042">
        <f t="shared" si="878"/>
        <v>101.70000000000002</v>
      </c>
      <c r="K457" s="1042">
        <f t="shared" si="878"/>
        <v>104.19999999999999</v>
      </c>
      <c r="L457" s="1349">
        <f t="shared" si="878"/>
        <v>408.40</v>
      </c>
      <c r="M457" s="1042">
        <f t="shared" si="878"/>
        <v>105.09999999999999</v>
      </c>
      <c r="N457" s="1042">
        <f t="shared" si="878"/>
        <v>113.30000000000001</v>
      </c>
      <c r="O457" s="1042">
        <f t="shared" si="878"/>
        <v>117.50000000000001</v>
      </c>
      <c r="P457" s="1042">
        <f t="shared" si="878"/>
        <v>118.70000000000002</v>
      </c>
      <c r="Q457" s="1349">
        <f t="shared" si="878"/>
        <v>454.60</v>
      </c>
      <c r="R457" s="1042">
        <f t="shared" si="878"/>
        <v>118.79999999999998</v>
      </c>
      <c r="S457" s="1042">
        <f t="shared" si="878"/>
        <v>114.60000000000002</v>
      </c>
      <c r="T457" s="1042">
        <f t="shared" si="878"/>
        <v>119.29999999999998</v>
      </c>
      <c r="U457" s="1042">
        <f t="shared" si="878"/>
        <v>126.19999999999999</v>
      </c>
      <c r="V457" s="1349">
        <f t="shared" si="878"/>
        <v>478.90</v>
      </c>
      <c r="W457" s="1042">
        <f t="shared" si="878"/>
        <v>129.20000000000002</v>
      </c>
      <c r="X457" s="1042">
        <f t="shared" si="878"/>
        <v>138.79999999999998</v>
      </c>
      <c r="Y457" s="1042">
        <f t="shared" si="878"/>
        <v>142.90000000000001</v>
      </c>
      <c r="Z457" s="1042">
        <f t="shared" si="878"/>
        <v>152.20000000000002</v>
      </c>
      <c r="AA457" s="1349">
        <f t="shared" si="878"/>
        <v>563.10</v>
      </c>
      <c r="AB457" s="1042">
        <f t="shared" si="878"/>
        <v>166.30</v>
      </c>
      <c r="AC457" s="1042">
        <f t="shared" si="878"/>
        <v>192.10</v>
      </c>
      <c r="AD457" s="1042">
        <f t="shared" si="878"/>
        <v>218.10</v>
      </c>
      <c r="AE457" s="1042">
        <f t="shared" si="878"/>
        <v>244.00000000000006</v>
      </c>
      <c r="AF457" s="1349">
        <f t="shared" si="878"/>
        <v>820.50</v>
      </c>
      <c r="AG457" s="1042">
        <f t="shared" si="878"/>
        <v>252.89999999999995</v>
      </c>
      <c r="AH457" s="1042">
        <f t="shared" si="878"/>
        <v>261.30</v>
      </c>
      <c r="AI457" s="1042">
        <f t="shared" si="878"/>
        <v>263</v>
      </c>
      <c r="AJ457" s="1042">
        <f t="shared" si="878"/>
        <v>264.79999999999995</v>
      </c>
      <c r="AK457" s="1349">
        <f t="shared" si="878"/>
        <v>1042</v>
      </c>
      <c r="AL457" s="1042">
        <f t="shared" si="878"/>
        <v>241.20</v>
      </c>
      <c r="AM457" s="1042">
        <f t="shared" si="878"/>
        <v>243.80</v>
      </c>
      <c r="AN457" s="1042">
        <f t="shared" si="878"/>
        <v>230.50000000000003</v>
      </c>
      <c r="AO457" s="1042">
        <f t="shared" si="878"/>
        <v>221.10000000000002</v>
      </c>
      <c r="AP457" s="1349">
        <f t="shared" si="879" ref="AP457:AT457">AP453+AP456</f>
        <v>936.59999999999991</v>
      </c>
      <c r="AQ457" s="1042">
        <f t="shared" si="879"/>
        <v>220.20</v>
      </c>
      <c r="AR457" s="1042">
        <f t="shared" si="879"/>
        <v>210.70</v>
      </c>
      <c r="AS457" s="1042">
        <f t="shared" si="879"/>
        <v>208.90000000000003</v>
      </c>
      <c r="AT457" s="1047">
        <f t="shared" si="879"/>
        <v>221.10000000000002</v>
      </c>
      <c r="AU457" s="1351">
        <f>AU453+AU456</f>
        <v>860.90000000000009</v>
      </c>
      <c r="AV457" s="1042">
        <f>AV453+AV456</f>
        <v>242.20</v>
      </c>
      <c r="AW457" s="1042">
        <f>AW572</f>
        <v>292.40000000000003</v>
      </c>
      <c r="AX457" s="1042">
        <f t="shared" si="880" ref="AX457:AY457">AX453+AX456</f>
        <v>333.60</v>
      </c>
      <c r="AY457" s="1047">
        <f t="shared" si="880"/>
        <v>392.10000000000008</v>
      </c>
      <c r="AZ457" s="1351">
        <f t="shared" si="881" ref="AZ457:BE457">AZ572</f>
        <v>1260.30</v>
      </c>
      <c r="BA457" s="1042">
        <f t="shared" si="881"/>
        <v>419.60</v>
      </c>
      <c r="BB457" s="1042">
        <f t="shared" si="881"/>
        <v>454.50</v>
      </c>
      <c r="BC457" s="1042">
        <f t="shared" si="881"/>
        <v>510.20</v>
      </c>
      <c r="BD457" s="1047">
        <f t="shared" si="881"/>
        <v>507.49999999999989</v>
      </c>
      <c r="BE457" s="1351">
        <f t="shared" si="881"/>
        <v>1891.80</v>
      </c>
      <c r="BF457" s="1042">
        <f>BF572</f>
        <v>617.60</v>
      </c>
      <c r="BG457" s="1042">
        <f>BG572</f>
        <v>684.99999999999989</v>
      </c>
      <c r="BH457" s="1043">
        <f>BH572</f>
        <v>739.49999999999989</v>
      </c>
      <c r="BI457" s="1044">
        <f>BI453+BI456</f>
        <v>524.44453736338801</v>
      </c>
      <c r="BJ457" s="1350">
        <f>BJ453+BJ456</f>
        <v>2566.5445373633879</v>
      </c>
      <c r="BK457" s="1044">
        <f t="shared" si="882" ref="BK457:BR457">BK453+BK456</f>
        <v>490.63633982876723</v>
      </c>
      <c r="BL457" s="1044">
        <f t="shared" si="882"/>
        <v>508.67104675684942</v>
      </c>
      <c r="BM457" s="1044">
        <f t="shared" si="882"/>
        <v>552.36466216438362</v>
      </c>
      <c r="BN457" s="1044">
        <f t="shared" si="882"/>
        <v>552.17544029794522</v>
      </c>
      <c r="BO457" s="1350">
        <f t="shared" si="882"/>
        <v>2103.8474890479456</v>
      </c>
      <c r="BP457" s="1351">
        <f t="shared" si="882"/>
        <v>2140.4601123281254</v>
      </c>
      <c r="BQ457" s="1351">
        <f t="shared" si="882"/>
        <v>2247.4831179445314</v>
      </c>
      <c r="BR457" s="1350">
        <f t="shared" si="882"/>
        <v>2359.8572738417583</v>
      </c>
      <c r="BS457" s="648"/>
    </row>
    <row r="458" spans="1:71" s="665" customFormat="1" ht="15" hidden="1" outlineLevel="1">
      <c r="A458" s="1000" t="s">
        <v>397</v>
      </c>
      <c r="B458" s="260"/>
      <c r="C458" s="1365">
        <v>-11.10</v>
      </c>
      <c r="D458" s="1365">
        <v>-11.90</v>
      </c>
      <c r="E458" s="1365">
        <v>-13.50</v>
      </c>
      <c r="F458" s="1365">
        <v>-15.40</v>
      </c>
      <c r="G458" s="1365">
        <v>-18.80</v>
      </c>
      <c r="H458" s="1228">
        <v>-4.0999999999999996</v>
      </c>
      <c r="I458" s="1228">
        <v>-6</v>
      </c>
      <c r="J458" s="1228">
        <v>-3.90</v>
      </c>
      <c r="K458" s="1109">
        <f>L458-J458-I458-H458</f>
        <v>-4.8999999999999986</v>
      </c>
      <c r="L458" s="1365">
        <v>-18.90</v>
      </c>
      <c r="M458" s="1228">
        <v>-5.30</v>
      </c>
      <c r="N458" s="1228">
        <v>-5.70</v>
      </c>
      <c r="O458" s="1228">
        <v>-4.9000000000000004</v>
      </c>
      <c r="P458" s="1109">
        <f>Q458-O458-N458-M458</f>
        <v>-6.90</v>
      </c>
      <c r="Q458" s="1365">
        <v>-22.80</v>
      </c>
      <c r="R458" s="1228">
        <v>-4.80</v>
      </c>
      <c r="S458" s="1228">
        <v>-5.30</v>
      </c>
      <c r="T458" s="1228">
        <v>-4.80</v>
      </c>
      <c r="U458" s="1109">
        <f>V458-T458-S458-R458</f>
        <v>-7.4999999999999973</v>
      </c>
      <c r="V458" s="1365">
        <v>-22.40</v>
      </c>
      <c r="W458" s="1228">
        <v>-5.60</v>
      </c>
      <c r="X458" s="1228">
        <v>-6.60</v>
      </c>
      <c r="Y458" s="1228">
        <v>-5.80</v>
      </c>
      <c r="Z458" s="1109">
        <f>AA458-Y458-X458-W458</f>
        <v>-5.8999999999999986</v>
      </c>
      <c r="AA458" s="1365">
        <v>-23.90</v>
      </c>
      <c r="AB458" s="1228">
        <v>-6</v>
      </c>
      <c r="AC458" s="1228">
        <v>-6.20</v>
      </c>
      <c r="AD458" s="1228">
        <v>-5.80</v>
      </c>
      <c r="AE458" s="1109">
        <f>AF458-AD458-AC458-AB458</f>
        <v>-6.3000000000000007</v>
      </c>
      <c r="AF458" s="1365">
        <v>-24.30</v>
      </c>
      <c r="AG458" s="1228">
        <v>-6.20</v>
      </c>
      <c r="AH458" s="1228">
        <v>-6.20</v>
      </c>
      <c r="AI458" s="1228">
        <v>-5.90</v>
      </c>
      <c r="AJ458" s="1109">
        <f>AK458-AI458-AH458-AG458</f>
        <v>-6.3000000000000034</v>
      </c>
      <c r="AK458" s="1365">
        <v>-24.60</v>
      </c>
      <c r="AL458" s="1228">
        <v>-5.30</v>
      </c>
      <c r="AM458" s="1228">
        <v>-4.50</v>
      </c>
      <c r="AN458" s="1228">
        <v>-4.70</v>
      </c>
      <c r="AO458" s="1109">
        <f>AP458-AN458-AM458-AL458</f>
        <v>-5.5000000000000009</v>
      </c>
      <c r="AP458" s="1365">
        <v>-20</v>
      </c>
      <c r="AQ458" s="1228">
        <v>-5.60</v>
      </c>
      <c r="AR458" s="1228">
        <v>-6.30</v>
      </c>
      <c r="AS458" s="1228">
        <v>-6.60</v>
      </c>
      <c r="AT458" s="1110">
        <f>AU458-SUM(AQ458,AR458,AS458)</f>
        <v>-7</v>
      </c>
      <c r="AU458" s="1365">
        <v>-25.50</v>
      </c>
      <c r="AV458" s="1228">
        <v>-5.70</v>
      </c>
      <c r="AW458" s="1029">
        <f>-AW587</f>
        <v>-5.90</v>
      </c>
      <c r="AX458" s="1228">
        <v>-5.80</v>
      </c>
      <c r="AY458" s="1110">
        <f>AZ458-SUM(AV458,AW458,AX458)</f>
        <v>-6.9000000000000021</v>
      </c>
      <c r="AZ458" s="1324">
        <f t="shared" si="883" ref="AZ458:BE458">-AZ587</f>
        <v>-24.30</v>
      </c>
      <c r="BA458" s="1027">
        <f t="shared" si="883"/>
        <v>-5.50</v>
      </c>
      <c r="BB458" s="1029">
        <f t="shared" si="883"/>
        <v>-6.10</v>
      </c>
      <c r="BC458" s="1027">
        <f t="shared" si="883"/>
        <v>-7.20</v>
      </c>
      <c r="BD458" s="1110">
        <f t="shared" si="883"/>
        <v>-7.3999999999999986</v>
      </c>
      <c r="BE458" s="1324">
        <f t="shared" si="883"/>
        <v>-26.20</v>
      </c>
      <c r="BF458" s="1027">
        <f>-BF587</f>
        <v>-5.70</v>
      </c>
      <c r="BG458" s="1029">
        <f>-BG587</f>
        <v>-7.30</v>
      </c>
      <c r="BH458" s="1028">
        <f>-BH587</f>
        <v>-7.1999999999999984</v>
      </c>
      <c r="BI458" s="1029">
        <f>BI439*BI420/(BJ$3/BI$3)</f>
        <v>-9.5461729371584703</v>
      </c>
      <c r="BJ458" s="1324">
        <f>SUM(BF458,BG458,BH458,BI458)</f>
        <v>-29.74617293715847</v>
      </c>
      <c r="BK458" s="1029">
        <f>BK439*BK420/(BO$3/BK$3)</f>
        <v>-8.9382861986301378</v>
      </c>
      <c r="BL458" s="1029">
        <f>BL439*BL420/(BO$3/BL$3)</f>
        <v>-9.2535266609589044</v>
      </c>
      <c r="BM458" s="1029">
        <f>BM439*BM420/(BO$3/BM$3)</f>
        <v>-10.040789260273975</v>
      </c>
      <c r="BN458" s="1029">
        <f>BN439*BN420/(BO$3/BN$3)</f>
        <v>-10.05094317739726</v>
      </c>
      <c r="BO458" s="1324">
        <f>SUM(BK458,BL458,BM458,BN458)</f>
        <v>-38.283545297260275</v>
      </c>
      <c r="BP458" s="1324">
        <f>BP439*BP420/(BP$3/BP$3)</f>
        <v>-39.018886790625018</v>
      </c>
      <c r="BQ458" s="1324">
        <f>BQ439*BQ420/(BQ$3/BQ$3)</f>
        <v>-40.969831130156265</v>
      </c>
      <c r="BR458" s="1324">
        <f>BR439*BR420/(BR$3/BR$3)</f>
        <v>-43.018322686664078</v>
      </c>
      <c r="BS458" s="648"/>
    </row>
    <row r="459" spans="1:71" s="668" customFormat="1" ht="15" hidden="1" outlineLevel="1">
      <c r="A459" s="904" t="s">
        <v>47</v>
      </c>
      <c r="B459" s="394"/>
      <c r="C459" s="1322">
        <f t="shared" si="884" ref="C459:AU459">C457+C458</f>
        <v>495.90</v>
      </c>
      <c r="D459" s="1322">
        <f t="shared" si="884"/>
        <v>508.20000000000005</v>
      </c>
      <c r="E459" s="1322">
        <f t="shared" si="884"/>
        <v>466.50</v>
      </c>
      <c r="F459" s="1322">
        <f t="shared" si="884"/>
        <v>427.60</v>
      </c>
      <c r="G459" s="1322">
        <f t="shared" si="884"/>
        <v>403.19999999999993</v>
      </c>
      <c r="H459" s="1031">
        <f t="shared" si="884"/>
        <v>99.20</v>
      </c>
      <c r="I459" s="1031">
        <f t="shared" si="884"/>
        <v>93.20</v>
      </c>
      <c r="J459" s="1031">
        <f t="shared" si="884"/>
        <v>97.800000000000011</v>
      </c>
      <c r="K459" s="1031">
        <f t="shared" si="884"/>
        <v>99.299999999999983</v>
      </c>
      <c r="L459" s="1322">
        <f t="shared" si="884"/>
        <v>389.50000000000006</v>
      </c>
      <c r="M459" s="1031">
        <f t="shared" si="884"/>
        <v>99.80</v>
      </c>
      <c r="N459" s="1031">
        <f t="shared" si="884"/>
        <v>107.60000000000001</v>
      </c>
      <c r="O459" s="1031">
        <f t="shared" si="884"/>
        <v>112.60000000000001</v>
      </c>
      <c r="P459" s="1031">
        <f t="shared" si="884"/>
        <v>111.80000000000001</v>
      </c>
      <c r="Q459" s="1322">
        <f t="shared" si="884"/>
        <v>431.79999999999995</v>
      </c>
      <c r="R459" s="1031">
        <f t="shared" si="884"/>
        <v>113.99999999999999</v>
      </c>
      <c r="S459" s="1031">
        <f t="shared" si="884"/>
        <v>109.30000000000003</v>
      </c>
      <c r="T459" s="1031">
        <f t="shared" si="884"/>
        <v>114.49999999999999</v>
      </c>
      <c r="U459" s="1031">
        <f t="shared" si="884"/>
        <v>118.69999999999999</v>
      </c>
      <c r="V459" s="1322">
        <f t="shared" si="884"/>
        <v>456.50</v>
      </c>
      <c r="W459" s="1031">
        <f t="shared" si="884"/>
        <v>123.60000000000002</v>
      </c>
      <c r="X459" s="1031">
        <f t="shared" si="884"/>
        <v>132.19999999999999</v>
      </c>
      <c r="Y459" s="1031">
        <f t="shared" si="884"/>
        <v>137.09999999999999</v>
      </c>
      <c r="Z459" s="1031">
        <f t="shared" si="884"/>
        <v>146.30000000000001</v>
      </c>
      <c r="AA459" s="1322">
        <f t="shared" si="884"/>
        <v>539.20000000000005</v>
      </c>
      <c r="AB459" s="1031">
        <f t="shared" si="884"/>
        <v>160.30000000000001</v>
      </c>
      <c r="AC459" s="1031">
        <f t="shared" si="884"/>
        <v>185.90</v>
      </c>
      <c r="AD459" s="1031">
        <f t="shared" si="884"/>
        <v>212.29999999999998</v>
      </c>
      <c r="AE459" s="1031">
        <f t="shared" si="884"/>
        <v>237.70000000000005</v>
      </c>
      <c r="AF459" s="1322">
        <f t="shared" si="884"/>
        <v>796.20</v>
      </c>
      <c r="AG459" s="1031">
        <f t="shared" si="884"/>
        <v>246.69999999999996</v>
      </c>
      <c r="AH459" s="1031">
        <f t="shared" si="884"/>
        <v>255.10000000000002</v>
      </c>
      <c r="AI459" s="1031">
        <f t="shared" si="884"/>
        <v>257.10000000000002</v>
      </c>
      <c r="AJ459" s="1031">
        <f t="shared" si="884"/>
        <v>258.49999999999994</v>
      </c>
      <c r="AK459" s="1322">
        <f t="shared" si="884"/>
        <v>1017.40</v>
      </c>
      <c r="AL459" s="1031">
        <f t="shared" si="884"/>
        <v>235.89999999999998</v>
      </c>
      <c r="AM459" s="1031">
        <f t="shared" si="884"/>
        <v>239.30</v>
      </c>
      <c r="AN459" s="1031">
        <f t="shared" si="884"/>
        <v>225.80000000000004</v>
      </c>
      <c r="AO459" s="1031">
        <f t="shared" si="884"/>
        <v>215.60000000000002</v>
      </c>
      <c r="AP459" s="1322">
        <f t="shared" si="884"/>
        <v>916.59999999999991</v>
      </c>
      <c r="AQ459" s="1031">
        <f t="shared" si="884"/>
        <v>214.60</v>
      </c>
      <c r="AR459" s="1031">
        <f t="shared" si="884"/>
        <v>204.39999999999998</v>
      </c>
      <c r="AS459" s="1031">
        <f t="shared" si="884"/>
        <v>202.30000000000004</v>
      </c>
      <c r="AT459" s="1031">
        <f t="shared" si="884"/>
        <v>214.10000000000002</v>
      </c>
      <c r="AU459" s="1322">
        <f t="shared" si="884"/>
        <v>835.40000000000009</v>
      </c>
      <c r="AV459" s="1031">
        <f t="shared" si="885" ref="AV459:AZ459">AV457+AV458</f>
        <v>236.50</v>
      </c>
      <c r="AW459" s="1031">
        <f t="shared" si="885"/>
        <v>286.50000000000006</v>
      </c>
      <c r="AX459" s="1031">
        <f t="shared" si="885"/>
        <v>327.80</v>
      </c>
      <c r="AY459" s="1031">
        <f t="shared" si="885"/>
        <v>385.2000000000001</v>
      </c>
      <c r="AZ459" s="1322">
        <f t="shared" si="885"/>
        <v>1236</v>
      </c>
      <c r="BA459" s="1031">
        <f t="shared" si="886" ref="BA459:BR459">BA457+BA458</f>
        <v>414.10</v>
      </c>
      <c r="BB459" s="1031">
        <f t="shared" si="886"/>
        <v>448.40</v>
      </c>
      <c r="BC459" s="1031">
        <f t="shared" si="886"/>
        <v>503</v>
      </c>
      <c r="BD459" s="1031">
        <f t="shared" si="886"/>
        <v>500.09999999999991</v>
      </c>
      <c r="BE459" s="1322">
        <f t="shared" si="886"/>
        <v>1865.60</v>
      </c>
      <c r="BF459" s="1031">
        <f>BF457+BF458</f>
        <v>611.90</v>
      </c>
      <c r="BG459" s="1031">
        <f>BG457+BG458</f>
        <v>677.70</v>
      </c>
      <c r="BH459" s="1049">
        <f>BH457+BH458</f>
        <v>732.29999999999984</v>
      </c>
      <c r="BI459" s="1023">
        <f t="shared" si="886"/>
        <v>514.89836442622959</v>
      </c>
      <c r="BJ459" s="1321">
        <f t="shared" si="886"/>
        <v>2536.7983644262295</v>
      </c>
      <c r="BK459" s="1023">
        <f t="shared" si="886"/>
        <v>481.69805363013711</v>
      </c>
      <c r="BL459" s="1023">
        <f t="shared" si="886"/>
        <v>499.4175200958905</v>
      </c>
      <c r="BM459" s="1023">
        <f t="shared" si="886"/>
        <v>542.32387290410963</v>
      </c>
      <c r="BN459" s="1023">
        <f t="shared" si="886"/>
        <v>542.12449712054797</v>
      </c>
      <c r="BO459" s="1321">
        <f t="shared" si="886"/>
        <v>2065.5639437506852</v>
      </c>
      <c r="BP459" s="1322">
        <f t="shared" si="886"/>
        <v>2101.4412255375005</v>
      </c>
      <c r="BQ459" s="1322">
        <f t="shared" si="886"/>
        <v>2206.5132868143751</v>
      </c>
      <c r="BR459" s="1321">
        <f t="shared" si="886"/>
        <v>2316.838951155094</v>
      </c>
      <c r="BS459" s="648"/>
    </row>
    <row r="460" spans="1:71" s="669" customFormat="1" ht="15" customHeight="1" hidden="1" outlineLevel="1">
      <c r="A460" s="107"/>
      <c r="B460" s="108"/>
      <c r="C460" s="1325"/>
      <c r="D460" s="1325"/>
      <c r="E460" s="1325"/>
      <c r="F460" s="1325"/>
      <c r="G460" s="1325"/>
      <c r="H460" s="726"/>
      <c r="I460" s="726"/>
      <c r="J460" s="726"/>
      <c r="K460" s="726"/>
      <c r="L460" s="1325"/>
      <c r="M460" s="726"/>
      <c r="N460" s="726"/>
      <c r="O460" s="726"/>
      <c r="P460" s="726"/>
      <c r="Q460" s="1325"/>
      <c r="R460" s="726"/>
      <c r="S460" s="726"/>
      <c r="T460" s="726"/>
      <c r="U460" s="726"/>
      <c r="V460" s="1325"/>
      <c r="W460" s="726"/>
      <c r="X460" s="726"/>
      <c r="Y460" s="726"/>
      <c r="Z460" s="726"/>
      <c r="AA460" s="1325"/>
      <c r="AB460" s="726"/>
      <c r="AC460" s="726"/>
      <c r="AD460" s="726"/>
      <c r="AE460" s="726"/>
      <c r="AF460" s="1325"/>
      <c r="AG460" s="726"/>
      <c r="AH460" s="726"/>
      <c r="AI460" s="726"/>
      <c r="AJ460" s="726"/>
      <c r="AK460" s="1325"/>
      <c r="AL460" s="726"/>
      <c r="AM460" s="726"/>
      <c r="AN460" s="726"/>
      <c r="AO460" s="726"/>
      <c r="AP460" s="1325"/>
      <c r="AQ460" s="726"/>
      <c r="AR460" s="726"/>
      <c r="AS460" s="726"/>
      <c r="AT460" s="726"/>
      <c r="AU460" s="1325"/>
      <c r="AV460" s="726"/>
      <c r="AW460" s="726"/>
      <c r="AX460" s="726"/>
      <c r="AY460" s="726"/>
      <c r="AZ460" s="1325"/>
      <c r="BA460" s="726"/>
      <c r="BB460" s="726"/>
      <c r="BC460" s="726"/>
      <c r="BD460" s="726"/>
      <c r="BE460" s="1325"/>
      <c r="BF460" s="726"/>
      <c r="BG460" s="726"/>
      <c r="BH460" s="808"/>
      <c r="BI460" s="98"/>
      <c r="BJ460" s="1326"/>
      <c r="BK460" s="98"/>
      <c r="BL460" s="98"/>
      <c r="BM460" s="98"/>
      <c r="BN460" s="98"/>
      <c r="BO460" s="1326"/>
      <c r="BP460" s="1325"/>
      <c r="BQ460" s="1325"/>
      <c r="BR460" s="1326"/>
      <c r="BS460" s="648"/>
    </row>
    <row r="461" spans="1:71" s="669" customFormat="1" ht="15" customHeight="1" hidden="1" outlineLevel="1">
      <c r="A461" s="107" t="s">
        <v>678</v>
      </c>
      <c r="B461" s="108"/>
      <c r="C461" s="1325"/>
      <c r="D461" s="1325">
        <f>D462/D420</f>
        <v>0.0063564927505556142</v>
      </c>
      <c r="E461" s="1325">
        <f>E462/E420</f>
        <v>0.0065170994461100657</v>
      </c>
      <c r="F461" s="1325">
        <f>F462/F420</f>
        <v>0.01891579450344498</v>
      </c>
      <c r="G461" s="1325">
        <f>G462/G420</f>
        <v>0.018441827733404383</v>
      </c>
      <c r="H461" s="726">
        <f>H462/H420*(L3/H3)</f>
        <v>0.027318920707993896</v>
      </c>
      <c r="I461" s="726">
        <f>I462/I420*(L3/I3)</f>
        <v>0.0089638724512559036</v>
      </c>
      <c r="J461" s="726">
        <f>J462/J420*(L3/J3)</f>
        <v>0.0080097640649687621</v>
      </c>
      <c r="K461" s="726">
        <f>K462/K420*(L3/K3)</f>
        <v>0.0054562928293026489</v>
      </c>
      <c r="L461" s="1325">
        <f>L462/L420</f>
        <v>0.012152715165360531</v>
      </c>
      <c r="M461" s="726">
        <f>M462/M420*(Q3/M3)</f>
        <v>0.0068899951778614065</v>
      </c>
      <c r="N461" s="726">
        <f>N462/N420*(Q3/N3)</f>
        <v>0.015087862048859872</v>
      </c>
      <c r="O461" s="726">
        <f>O462/O420*(Q3/O3)</f>
        <v>-0.0030143436132189973</v>
      </c>
      <c r="P461" s="726">
        <f>P462/P420*(Q3/P3)</f>
        <v>0.0036883180305920761</v>
      </c>
      <c r="Q461" s="1325">
        <f>Q462/Q420</f>
        <v>0.0055366461083968324</v>
      </c>
      <c r="R461" s="726">
        <f>R462/R420*(V3/R3)</f>
        <v>0.0033113820725193918</v>
      </c>
      <c r="S461" s="726">
        <f>S462/S420*(V3/S3)</f>
        <v>0.0059441317085396385</v>
      </c>
      <c r="T461" s="726">
        <f>T462/T420*(V3/T3)</f>
        <v>-0.0035881571207598967</v>
      </c>
      <c r="U461" s="726">
        <f>U462/U420*(V3/U3)</f>
        <v>0.003740955634114319</v>
      </c>
      <c r="V461" s="1325">
        <f>V462/V420</f>
        <v>0.0022848104433231169</v>
      </c>
      <c r="W461" s="726">
        <f>W462/W420*(AA3/W3)</f>
        <v>0.0088094879349985469</v>
      </c>
      <c r="X461" s="726">
        <f>X462/X420*(AA3/X3)</f>
        <v>0.0051212872852683979</v>
      </c>
      <c r="Y461" s="726">
        <f>Y462/Y420*(AA3/Y3)</f>
        <v>-0.0036997859372923728</v>
      </c>
      <c r="Z461" s="726">
        <f>Z462/Z420*(AA3/Z3)</f>
        <v>-0.0014182465865542613</v>
      </c>
      <c r="AA461" s="1325">
        <f>AA462/AA420</f>
        <v>0.001931853566652101</v>
      </c>
      <c r="AB461" s="726">
        <f>AB462/AB420*(AF3/AB3)</f>
        <v>-0.0069163478868341892</v>
      </c>
      <c r="AC461" s="726">
        <f>AC462/AC420*(AF3/AC3)</f>
        <v>0.0043727544525247134</v>
      </c>
      <c r="AD461" s="726">
        <f>AD462/AD420*(AF3/AD3)</f>
        <v>0.022836775831309972</v>
      </c>
      <c r="AE461" s="726">
        <f>AE462/AE420*(AF3/AE3)</f>
        <v>-0.068877736106915444</v>
      </c>
      <c r="AF461" s="1325">
        <f>AF462/AF420</f>
        <v>-0.013186373069366689</v>
      </c>
      <c r="AG461" s="726">
        <f>AG462/AG420*(AK3/AG3)</f>
        <v>0.049383967302471882</v>
      </c>
      <c r="AH461" s="726">
        <f>AH462/AH420*(AK3/AH3)</f>
        <v>0.020232896699204736</v>
      </c>
      <c r="AI461" s="726">
        <f>AI462/AI420*(AK3/AI3)</f>
        <v>0.0068834923006447363</v>
      </c>
      <c r="AJ461" s="726">
        <f>AJ462/AJ420*(AK3/AJ3)</f>
        <v>0.037661364748576016</v>
      </c>
      <c r="AK461" s="1325">
        <f>AK462/AK420</f>
        <v>0.028124580004953006</v>
      </c>
      <c r="AL461" s="726">
        <f>AL462/AL420*(AP3/AL3)</f>
        <v>-0.055946284966117456</v>
      </c>
      <c r="AM461" s="726">
        <f>AM462/AM420*(AP3/AM3)</f>
        <v>0.085182346736646403</v>
      </c>
      <c r="AN461" s="726">
        <f>AN462/AN420*(AP3/AN3)</f>
        <v>0.047325657380105357</v>
      </c>
      <c r="AO461" s="726">
        <f>AO462/AO420*(AP3/AO3)</f>
        <v>0.06483277516691166</v>
      </c>
      <c r="AP461" s="1325">
        <f>AP462/AP420</f>
        <v>0.037616316247731534</v>
      </c>
      <c r="AQ461" s="726">
        <f>AQ462/AQ420*(AU3/AQ3)</f>
        <v>0.050009357683676578</v>
      </c>
      <c r="AR461" s="726">
        <f>AR462/AR420*(AU3/AR3)</f>
        <v>0.037669527904764834</v>
      </c>
      <c r="AS461" s="726">
        <f>AS462/AS420*(AU3/AS3)</f>
        <v>0.0028286296064523758</v>
      </c>
      <c r="AT461" s="726">
        <f>AT462/AT420*(AU3/AT3)</f>
        <v>0.032510734849479639</v>
      </c>
      <c r="AU461" s="1325">
        <f>AU462/AU420</f>
        <v>0.030151001752416345</v>
      </c>
      <c r="AV461" s="726">
        <f>AV462/AV420*(AZ3/AV3)</f>
        <v>-0.034497235235531616</v>
      </c>
      <c r="AW461" s="726">
        <f>AW462/AW420*(AZ3/AW3)</f>
        <v>-0.08987682659315592</v>
      </c>
      <c r="AX461" s="726">
        <f>AX462/AX420*(AZ3/AX3)</f>
        <v>-0.016469294105612407</v>
      </c>
      <c r="AY461" s="726">
        <f>AY462/AY420*(AZ3/AY3)</f>
        <v>-0.0054557920895613697</v>
      </c>
      <c r="AZ461" s="1325">
        <f>AZ462/AZ420</f>
        <v>-0.036426332875582328</v>
      </c>
      <c r="BA461" s="726">
        <f>BA462/BA420*(BE3/BA3)</f>
        <v>0.0052830712813458731</v>
      </c>
      <c r="BB461" s="726">
        <f>BB462/BB420*(BE3/BB3)</f>
        <v>0.0087794001913637631</v>
      </c>
      <c r="BC461" s="726">
        <f>BC462/BC420*(BE3/BC3)</f>
        <v>-0.0097599527200863505</v>
      </c>
      <c r="BD461" s="726">
        <f>BD462/BD420*(BE3/BD3)</f>
        <v>0.018827168123325033</v>
      </c>
      <c r="BE461" s="1325">
        <f>BE462/BE420</f>
        <v>0.0059418089297571695</v>
      </c>
      <c r="BF461" s="726">
        <f>BF462/BF420*(BJ3/BF3)</f>
        <v>0.009268891251998054</v>
      </c>
      <c r="BG461" s="726">
        <f>BG462/BG420*(BJ3/BG3)</f>
        <v>-0.0071852783073595916</v>
      </c>
      <c r="BH461" s="808">
        <f>BH462/BH420*(BJ3/BH3)</f>
        <v>0.015068375566874062</v>
      </c>
      <c r="BI461" s="1215">
        <v>0.02</v>
      </c>
      <c r="BJ461" s="1326">
        <f>BJ462/BJ420</f>
        <v>0.0096310983951592814</v>
      </c>
      <c r="BK461" s="1215">
        <v>0.031</v>
      </c>
      <c r="BL461" s="1215">
        <v>0.02</v>
      </c>
      <c r="BM461" s="1215">
        <v>0.02</v>
      </c>
      <c r="BN461" s="1215">
        <v>0.02</v>
      </c>
      <c r="BO461" s="1326">
        <f>BO462/BO420</f>
        <v>0.022568235188812773</v>
      </c>
      <c r="BP461" s="1341">
        <v>0.02</v>
      </c>
      <c r="BQ461" s="1341">
        <v>0.02</v>
      </c>
      <c r="BR461" s="1342">
        <v>0.02</v>
      </c>
      <c r="BS461" s="648"/>
    </row>
    <row r="462" spans="1:71" s="668" customFormat="1" ht="15" hidden="1" outlineLevel="1">
      <c r="A462" s="904" t="s">
        <v>48</v>
      </c>
      <c r="B462" s="394"/>
      <c r="C462" s="1322">
        <f t="shared" si="887" ref="C462:AT462">C578</f>
        <v>27.100000000000009</v>
      </c>
      <c r="D462" s="1322">
        <f t="shared" si="887"/>
        <v>96.10</v>
      </c>
      <c r="E462" s="1322">
        <f t="shared" si="887"/>
        <v>102.59999999999999</v>
      </c>
      <c r="F462" s="1322">
        <f t="shared" si="887"/>
        <v>306.80</v>
      </c>
      <c r="G462" s="1322">
        <f t="shared" si="887"/>
        <v>318.39999999999998</v>
      </c>
      <c r="H462" s="1031">
        <f t="shared" si="887"/>
        <v>119.40000000000001</v>
      </c>
      <c r="I462" s="1031">
        <f t="shared" si="887"/>
        <v>40.40</v>
      </c>
      <c r="J462" s="1031">
        <f t="shared" si="887"/>
        <v>38.199999999999996</v>
      </c>
      <c r="K462" s="1031">
        <f t="shared" si="887"/>
        <v>26.20</v>
      </c>
      <c r="L462" s="1322">
        <f t="shared" si="887"/>
        <v>224.20</v>
      </c>
      <c r="M462" s="1031">
        <f t="shared" si="887"/>
        <v>33</v>
      </c>
      <c r="N462" s="1031">
        <f t="shared" si="887"/>
        <v>76</v>
      </c>
      <c r="O462" s="1031">
        <f t="shared" si="887"/>
        <v>-15.80</v>
      </c>
      <c r="P462" s="1031">
        <f t="shared" si="887"/>
        <v>19.499999999999986</v>
      </c>
      <c r="Q462" s="1322">
        <f t="shared" si="887"/>
        <v>112.70</v>
      </c>
      <c r="R462" s="1031">
        <f t="shared" si="887"/>
        <v>17.40</v>
      </c>
      <c r="S462" s="1031">
        <f t="shared" si="887"/>
        <v>32.299999999999997</v>
      </c>
      <c r="T462" s="1031">
        <f t="shared" si="887"/>
        <v>-20.700000000000003</v>
      </c>
      <c r="U462" s="1031">
        <f t="shared" si="887"/>
        <v>22.100000000000005</v>
      </c>
      <c r="V462" s="1322">
        <f t="shared" si="887"/>
        <v>51.100000000000009</v>
      </c>
      <c r="W462" s="1031">
        <f t="shared" si="887"/>
        <v>51.90</v>
      </c>
      <c r="X462" s="1031">
        <f t="shared" si="887"/>
        <v>32.099999999999994</v>
      </c>
      <c r="Y462" s="1031">
        <f t="shared" si="887"/>
        <v>-24.70</v>
      </c>
      <c r="Z462" s="1031">
        <f t="shared" si="887"/>
        <v>-9.6999999999999993</v>
      </c>
      <c r="AA462" s="1322">
        <f t="shared" si="887"/>
        <v>49.599999999999994</v>
      </c>
      <c r="AB462" s="1031">
        <f t="shared" si="887"/>
        <v>-48.199999999999989</v>
      </c>
      <c r="AC462" s="1031">
        <f t="shared" si="887"/>
        <v>32.799999999999997</v>
      </c>
      <c r="AD462" s="1031">
        <f t="shared" si="887"/>
        <v>182.10</v>
      </c>
      <c r="AE462" s="1031">
        <f t="shared" si="887"/>
        <v>-572.20000000000005</v>
      </c>
      <c r="AF462" s="1322">
        <f t="shared" si="887"/>
        <v>-405.50</v>
      </c>
      <c r="AG462" s="1031">
        <f t="shared" si="887"/>
        <v>414.50</v>
      </c>
      <c r="AH462" s="1031">
        <f t="shared" si="887"/>
        <v>179.90</v>
      </c>
      <c r="AI462" s="1031">
        <f t="shared" si="887"/>
        <v>65.400000000000006</v>
      </c>
      <c r="AJ462" s="1031">
        <f t="shared" si="887"/>
        <v>369.40</v>
      </c>
      <c r="AK462" s="1322">
        <f t="shared" si="887"/>
        <v>1029.20</v>
      </c>
      <c r="AL462" s="1031">
        <f t="shared" si="887"/>
        <v>-553.59999999999991</v>
      </c>
      <c r="AM462" s="1031">
        <f t="shared" si="887"/>
        <v>890.80</v>
      </c>
      <c r="AN462" s="1031">
        <f t="shared" si="887"/>
        <v>532.60</v>
      </c>
      <c r="AO462" s="1031">
        <f t="shared" si="887"/>
        <v>760.20</v>
      </c>
      <c r="AP462" s="1322">
        <f t="shared" si="887"/>
        <v>1630</v>
      </c>
      <c r="AQ462" s="1031">
        <f t="shared" si="887"/>
        <v>585.29999999999995</v>
      </c>
      <c r="AR462" s="1031">
        <f t="shared" si="887"/>
        <v>461.79999999999995</v>
      </c>
      <c r="AS462" s="1031">
        <f t="shared" si="887"/>
        <v>36.799999999999997</v>
      </c>
      <c r="AT462" s="1031">
        <f t="shared" si="887"/>
        <v>425.29999999999995</v>
      </c>
      <c r="AU462" s="1322">
        <f t="shared" si="888" ref="AU462:AZ462">AU578</f>
        <v>1509.1999999999998</v>
      </c>
      <c r="AV462" s="1031">
        <f t="shared" si="888"/>
        <v>-445.30</v>
      </c>
      <c r="AW462" s="1031">
        <f t="shared" si="888"/>
        <v>-1177.7000000000003</v>
      </c>
      <c r="AX462" s="1031">
        <f t="shared" si="888"/>
        <v>-216.39999999999998</v>
      </c>
      <c r="AY462" s="1031">
        <f t="shared" si="888"/>
        <v>-72.799999999999727</v>
      </c>
      <c r="AZ462" s="1322">
        <f t="shared" si="888"/>
        <v>-1912.1999999999998</v>
      </c>
      <c r="BA462" s="1031">
        <f t="shared" si="889" ref="BA462:BF462">BA578</f>
        <v>71.800000000000011</v>
      </c>
      <c r="BB462" s="1031">
        <f t="shared" si="889"/>
        <v>126.90000000000001</v>
      </c>
      <c r="BC462" s="1031">
        <f t="shared" si="889"/>
        <v>-149</v>
      </c>
      <c r="BD462" s="1031">
        <f t="shared" si="889"/>
        <v>303.40000000000003</v>
      </c>
      <c r="BE462" s="1322">
        <f t="shared" si="889"/>
        <v>353.10</v>
      </c>
      <c r="BF462" s="1031">
        <f t="shared" si="889"/>
        <v>155.60000000000002</v>
      </c>
      <c r="BG462" s="1031">
        <f>BG578</f>
        <v>-126.30000000000001</v>
      </c>
      <c r="BH462" s="1049">
        <f>BH578</f>
        <v>287.39999999999998</v>
      </c>
      <c r="BI462" s="1023">
        <f>BI461*BI420/(BJ3/BI3)</f>
        <v>381.84691748633884</v>
      </c>
      <c r="BJ462" s="1321">
        <f>SUM(BF462,BG462,BH462,BI462)</f>
        <v>698.54691748633877</v>
      </c>
      <c r="BK462" s="1023">
        <f>BK461*BK420/(BO3/BK3)</f>
        <v>554.17374431506846</v>
      </c>
      <c r="BL462" s="1023">
        <f>BL461*BL420/(BO3/BL3)</f>
        <v>370.14106643835623</v>
      </c>
      <c r="BM462" s="1023">
        <f>BM461*BM420/(BO3/BM3)</f>
        <v>401.63157041095894</v>
      </c>
      <c r="BN462" s="1023">
        <f>BN461*BN420/(BO3/BN3)</f>
        <v>402.03772709589038</v>
      </c>
      <c r="BO462" s="1321">
        <f>SUM(BK462,BL462,BM462,BN462)</f>
        <v>1727.9841082602741</v>
      </c>
      <c r="BP462" s="1322">
        <f>BP461*BP420</f>
        <v>1560.7554716250004</v>
      </c>
      <c r="BQ462" s="1322">
        <f>BQ461*BQ420</f>
        <v>1638.7932452062503</v>
      </c>
      <c r="BR462" s="1321">
        <f>BR461*BR420</f>
        <v>1720.7329074665629</v>
      </c>
      <c r="BS462" s="648"/>
    </row>
    <row r="463" spans="1:71" s="665" customFormat="1" ht="15" collapsed="1">
      <c r="A463" s="999"/>
      <c r="B463" s="308"/>
      <c r="C463" s="1351"/>
      <c r="D463" s="1351"/>
      <c r="E463" s="1351"/>
      <c r="F463" s="1351"/>
      <c r="G463" s="1351"/>
      <c r="H463" s="1047"/>
      <c r="I463" s="1047"/>
      <c r="J463" s="1047"/>
      <c r="K463" s="1047"/>
      <c r="L463" s="1351"/>
      <c r="M463" s="1047"/>
      <c r="N463" s="1047"/>
      <c r="O463" s="1047"/>
      <c r="P463" s="1047"/>
      <c r="Q463" s="1351"/>
      <c r="R463" s="1047"/>
      <c r="S463" s="1047"/>
      <c r="T463" s="1047"/>
      <c r="U463" s="1047"/>
      <c r="V463" s="1351"/>
      <c r="W463" s="1047"/>
      <c r="X463" s="1047"/>
      <c r="Y463" s="1047"/>
      <c r="Z463" s="1047"/>
      <c r="AA463" s="1351"/>
      <c r="AB463" s="1047"/>
      <c r="AC463" s="1047"/>
      <c r="AD463" s="1047"/>
      <c r="AE463" s="1047"/>
      <c r="AF463" s="1351"/>
      <c r="AG463" s="1047"/>
      <c r="AH463" s="1047"/>
      <c r="AI463" s="1047"/>
      <c r="AJ463" s="1047"/>
      <c r="AK463" s="1351"/>
      <c r="AL463" s="1047"/>
      <c r="AM463" s="1047"/>
      <c r="AN463" s="1047"/>
      <c r="AO463" s="1047"/>
      <c r="AP463" s="1351"/>
      <c r="AQ463" s="1047"/>
      <c r="AR463" s="1047"/>
      <c r="AS463" s="1047"/>
      <c r="AT463" s="1047"/>
      <c r="AU463" s="1351"/>
      <c r="AV463" s="1047"/>
      <c r="AW463" s="1047"/>
      <c r="AX463" s="1047"/>
      <c r="AY463" s="1047"/>
      <c r="AZ463" s="1351"/>
      <c r="BA463" s="1047"/>
      <c r="BB463" s="1047"/>
      <c r="BC463" s="1047"/>
      <c r="BD463" s="1047"/>
      <c r="BE463" s="1351"/>
      <c r="BF463" s="1047"/>
      <c r="BG463" s="1047"/>
      <c r="BH463" s="1048"/>
      <c r="BI463" s="1044"/>
      <c r="BJ463" s="1350"/>
      <c r="BK463" s="1044"/>
      <c r="BL463" s="1044"/>
      <c r="BM463" s="1044"/>
      <c r="BN463" s="1044"/>
      <c r="BO463" s="1350"/>
      <c r="BP463" s="1351"/>
      <c r="BQ463" s="1351"/>
      <c r="BR463" s="1350"/>
      <c r="BS463" s="648"/>
    </row>
    <row r="464" spans="1:71" s="668" customFormat="1" ht="15">
      <c r="A464" s="991" t="s">
        <v>679</v>
      </c>
      <c r="B464" s="991"/>
      <c r="C464" s="1035"/>
      <c r="D464" s="1035"/>
      <c r="E464" s="1035"/>
      <c r="F464" s="1035"/>
      <c r="G464" s="1035"/>
      <c r="H464" s="1035"/>
      <c r="I464" s="1035"/>
      <c r="J464" s="1035"/>
      <c r="K464" s="1035"/>
      <c r="L464" s="1035"/>
      <c r="M464" s="1035"/>
      <c r="N464" s="1035"/>
      <c r="O464" s="1035"/>
      <c r="P464" s="1035"/>
      <c r="Q464" s="1035"/>
      <c r="R464" s="1035"/>
      <c r="S464" s="1035"/>
      <c r="T464" s="1035"/>
      <c r="U464" s="1035"/>
      <c r="V464" s="1035"/>
      <c r="W464" s="1035"/>
      <c r="X464" s="1035"/>
      <c r="Y464" s="1035"/>
      <c r="Z464" s="1035"/>
      <c r="AA464" s="1035"/>
      <c r="AB464" s="1035"/>
      <c r="AC464" s="1035"/>
      <c r="AD464" s="1035"/>
      <c r="AE464" s="1035"/>
      <c r="AF464" s="1035"/>
      <c r="AG464" s="1035"/>
      <c r="AH464" s="1035"/>
      <c r="AI464" s="1035"/>
      <c r="AJ464" s="1035"/>
      <c r="AK464" s="1035"/>
      <c r="AL464" s="1035"/>
      <c r="AM464" s="1035"/>
      <c r="AN464" s="1035"/>
      <c r="AO464" s="1035"/>
      <c r="AP464" s="1035"/>
      <c r="AQ464" s="1035"/>
      <c r="AR464" s="1035"/>
      <c r="AS464" s="1035"/>
      <c r="AT464" s="1035"/>
      <c r="AU464" s="1035"/>
      <c r="AV464" s="1035"/>
      <c r="AW464" s="1035"/>
      <c r="AX464" s="1035"/>
      <c r="AY464" s="1035"/>
      <c r="AZ464" s="1035"/>
      <c r="BA464" s="1035"/>
      <c r="BB464" s="1035"/>
      <c r="BC464" s="1035"/>
      <c r="BD464" s="1035"/>
      <c r="BE464" s="1035"/>
      <c r="BF464" s="1035"/>
      <c r="BG464" s="1035"/>
      <c r="BH464" s="1036"/>
      <c r="BI464" s="1037"/>
      <c r="BJ464" s="1037"/>
      <c r="BK464" s="1037"/>
      <c r="BL464" s="1037"/>
      <c r="BM464" s="1037"/>
      <c r="BN464" s="1037"/>
      <c r="BO464" s="1037"/>
      <c r="BP464" s="1035"/>
      <c r="BQ464" s="1035"/>
      <c r="BR464" s="1037"/>
      <c r="BS464" s="648"/>
    </row>
    <row r="465" spans="1:71" s="665" customFormat="1" ht="15" hidden="1" outlineLevel="1">
      <c r="A465" s="371" t="s">
        <v>615</v>
      </c>
      <c r="B465" s="308"/>
      <c r="C465" s="1349">
        <f t="shared" si="890" ref="C465:AU465">C580</f>
        <v>16.70</v>
      </c>
      <c r="D465" s="1349">
        <f t="shared" si="890"/>
        <v>25.90</v>
      </c>
      <c r="E465" s="1349">
        <f t="shared" si="890"/>
        <v>22.80</v>
      </c>
      <c r="F465" s="1349">
        <f t="shared" si="890"/>
        <v>36.10</v>
      </c>
      <c r="G465" s="1349">
        <f t="shared" si="890"/>
        <v>39.60</v>
      </c>
      <c r="H465" s="1042">
        <f t="shared" si="890"/>
        <v>9.8000000000000007</v>
      </c>
      <c r="I465" s="1042">
        <f t="shared" si="890"/>
        <v>14</v>
      </c>
      <c r="J465" s="1042">
        <f t="shared" si="890"/>
        <v>15</v>
      </c>
      <c r="K465" s="1042">
        <f t="shared" si="890"/>
        <v>17.200000000000003</v>
      </c>
      <c r="L465" s="1349">
        <f t="shared" si="890"/>
        <v>56</v>
      </c>
      <c r="M465" s="1042">
        <f t="shared" si="890"/>
        <v>17.20</v>
      </c>
      <c r="N465" s="1042">
        <f t="shared" si="890"/>
        <v>23.30</v>
      </c>
      <c r="O465" s="1042">
        <f t="shared" si="890"/>
        <v>23.10</v>
      </c>
      <c r="P465" s="1042">
        <f t="shared" si="890"/>
        <v>22.699999999999996</v>
      </c>
      <c r="Q465" s="1349">
        <f t="shared" si="890"/>
        <v>86.30</v>
      </c>
      <c r="R465" s="1042">
        <f t="shared" si="890"/>
        <v>25</v>
      </c>
      <c r="S465" s="1042">
        <f t="shared" si="890"/>
        <v>26.50</v>
      </c>
      <c r="T465" s="1042">
        <f t="shared" si="890"/>
        <v>26.20</v>
      </c>
      <c r="U465" s="1042">
        <f t="shared" si="890"/>
        <v>25.599999999999994</v>
      </c>
      <c r="V465" s="1349">
        <f t="shared" si="890"/>
        <v>103.30</v>
      </c>
      <c r="W465" s="1042">
        <f t="shared" si="890"/>
        <v>28.50</v>
      </c>
      <c r="X465" s="1042">
        <f t="shared" si="890"/>
        <v>32.700000000000003</v>
      </c>
      <c r="Y465" s="1042">
        <f t="shared" si="890"/>
        <v>33.299999999999997</v>
      </c>
      <c r="Z465" s="1042">
        <f t="shared" si="890"/>
        <v>32.299999999999997</v>
      </c>
      <c r="AA465" s="1349">
        <f t="shared" si="890"/>
        <v>126.80</v>
      </c>
      <c r="AB465" s="1042">
        <f t="shared" si="890"/>
        <v>34.200000000000003</v>
      </c>
      <c r="AC465" s="1042">
        <f t="shared" si="890"/>
        <v>42.90</v>
      </c>
      <c r="AD465" s="1042">
        <f t="shared" si="890"/>
        <v>42.50</v>
      </c>
      <c r="AE465" s="1042">
        <f t="shared" si="890"/>
        <v>38.900000000000006</v>
      </c>
      <c r="AF465" s="1349">
        <f t="shared" si="890"/>
        <v>158.50</v>
      </c>
      <c r="AG465" s="1042">
        <f t="shared" si="890"/>
        <v>42.60</v>
      </c>
      <c r="AH465" s="1042">
        <f t="shared" si="890"/>
        <v>50</v>
      </c>
      <c r="AI465" s="1042">
        <f t="shared" si="890"/>
        <v>51.50</v>
      </c>
      <c r="AJ465" s="1042">
        <f t="shared" si="890"/>
        <v>50.900000000000006</v>
      </c>
      <c r="AK465" s="1349">
        <f t="shared" si="890"/>
        <v>195</v>
      </c>
      <c r="AL465" s="1042">
        <f t="shared" si="890"/>
        <v>51.60</v>
      </c>
      <c r="AM465" s="1042">
        <f t="shared" si="890"/>
        <v>59</v>
      </c>
      <c r="AN465" s="1042">
        <f t="shared" si="890"/>
        <v>58.80</v>
      </c>
      <c r="AO465" s="1042">
        <f t="shared" si="890"/>
        <v>57.000000000000028</v>
      </c>
      <c r="AP465" s="1349">
        <f t="shared" si="890"/>
        <v>226.40</v>
      </c>
      <c r="AQ465" s="1042">
        <f t="shared" si="890"/>
        <v>53.80</v>
      </c>
      <c r="AR465" s="1042">
        <f t="shared" si="890"/>
        <v>74.500000000000014</v>
      </c>
      <c r="AS465" s="1042">
        <f t="shared" si="890"/>
        <v>73.80</v>
      </c>
      <c r="AT465" s="1042">
        <f t="shared" si="890"/>
        <v>69.299999999999955</v>
      </c>
      <c r="AU465" s="1349">
        <f t="shared" si="890"/>
        <v>271.39999999999998</v>
      </c>
      <c r="AV465" s="1042">
        <f t="shared" si="891" ref="AV465:BA465">AV580</f>
        <v>67.70</v>
      </c>
      <c r="AW465" s="1042">
        <f t="shared" si="891"/>
        <v>80.100000000000009</v>
      </c>
      <c r="AX465" s="1042">
        <f t="shared" si="891"/>
        <v>82.70</v>
      </c>
      <c r="AY465" s="1042">
        <f t="shared" si="891"/>
        <v>68.800000000000011</v>
      </c>
      <c r="AZ465" s="1349">
        <f t="shared" si="891"/>
        <v>299.30</v>
      </c>
      <c r="BA465" s="1042">
        <f t="shared" si="891"/>
        <v>72.50</v>
      </c>
      <c r="BB465" s="1042">
        <f t="shared" si="892" ref="BB465:BG465">BB580</f>
        <v>81</v>
      </c>
      <c r="BC465" s="1042">
        <f t="shared" si="892"/>
        <v>81.400000000000006</v>
      </c>
      <c r="BD465" s="1042">
        <f t="shared" si="892"/>
        <v>75.200000000000017</v>
      </c>
      <c r="BE465" s="1349">
        <f t="shared" si="892"/>
        <v>310.10000000000002</v>
      </c>
      <c r="BF465" s="1042">
        <f t="shared" si="892"/>
        <v>84.20</v>
      </c>
      <c r="BG465" s="1042">
        <f t="shared" si="892"/>
        <v>106.30</v>
      </c>
      <c r="BH465" s="1043">
        <f>BH580</f>
        <v>117.30</v>
      </c>
      <c r="BI465" s="1044">
        <f>BD465*(1+BI466)</f>
        <v>78.960000000000022</v>
      </c>
      <c r="BJ465" s="1350">
        <f>SUM(BF465,BG465,BH465,BI465)</f>
        <v>386.76000000000005</v>
      </c>
      <c r="BK465" s="1044">
        <f>BF465*(1+BK466)</f>
        <v>88.410000000000011</v>
      </c>
      <c r="BL465" s="1044">
        <f>BG465*(1+BL466)</f>
        <v>111.61499999999999</v>
      </c>
      <c r="BM465" s="1044">
        <f>BH465*(1+BM466)</f>
        <v>123.16500000000001</v>
      </c>
      <c r="BN465" s="1044">
        <f>BI465*(1+BN466)</f>
        <v>82.90800000000003</v>
      </c>
      <c r="BO465" s="1350">
        <f>SUM(BK465,BL465,BM465,BN465)</f>
        <v>406.09800000000001</v>
      </c>
      <c r="BP465" s="1351">
        <f>BO465*(1+BP466)</f>
        <v>426.40290000000005</v>
      </c>
      <c r="BQ465" s="1351">
        <f>BP465*(1+BQ466)</f>
        <v>447.72304500000007</v>
      </c>
      <c r="BR465" s="1350">
        <f>BQ465*(1+BR466)</f>
        <v>470.10919725000008</v>
      </c>
      <c r="BS465" s="648"/>
    </row>
    <row r="466" spans="1:71" s="669" customFormat="1" ht="15" hidden="1" outlineLevel="1">
      <c r="A466" s="486" t="s">
        <v>616</v>
      </c>
      <c r="B466" s="108"/>
      <c r="C466" s="1325"/>
      <c r="D466" s="1325">
        <f>D465/C465-1</f>
        <v>0.55089820359281427</v>
      </c>
      <c r="E466" s="1325">
        <f>E465/D465-1</f>
        <v>-0.11969111969111956</v>
      </c>
      <c r="F466" s="1325">
        <f>F465/E465-1</f>
        <v>0.58333333333333326</v>
      </c>
      <c r="G466" s="1325">
        <f>G465/F465-1</f>
        <v>0.09695290858725758</v>
      </c>
      <c r="H466" s="726"/>
      <c r="I466" s="726"/>
      <c r="J466" s="726"/>
      <c r="K466" s="726"/>
      <c r="L466" s="1325">
        <f t="shared" si="893" ref="L466:AU466">L465/G465-1</f>
        <v>0.41414141414141414</v>
      </c>
      <c r="M466" s="726">
        <f t="shared" si="893"/>
        <v>0.75510204081632626</v>
      </c>
      <c r="N466" s="726">
        <f t="shared" si="893"/>
        <v>0.66428571428571437</v>
      </c>
      <c r="O466" s="726">
        <f t="shared" si="893"/>
        <v>0.54000000000000004</v>
      </c>
      <c r="P466" s="726">
        <f t="shared" si="893"/>
        <v>0.31976744186046457</v>
      </c>
      <c r="Q466" s="1325">
        <f t="shared" si="893"/>
        <v>0.54107142857142843</v>
      </c>
      <c r="R466" s="726">
        <f t="shared" si="893"/>
        <v>0.4534883720930234</v>
      </c>
      <c r="S466" s="726">
        <f t="shared" si="893"/>
        <v>0.1373390557939913</v>
      </c>
      <c r="T466" s="726">
        <f t="shared" si="893"/>
        <v>0.13419913419913421</v>
      </c>
      <c r="U466" s="726">
        <f t="shared" si="893"/>
        <v>0.12775330396475759</v>
      </c>
      <c r="V466" s="1325">
        <f t="shared" si="893"/>
        <v>0.19698725376593273</v>
      </c>
      <c r="W466" s="726">
        <f t="shared" si="893"/>
        <v>0.1399999999999999</v>
      </c>
      <c r="X466" s="726">
        <f t="shared" si="893"/>
        <v>0.23396226415094357</v>
      </c>
      <c r="Y466" s="726">
        <f t="shared" si="893"/>
        <v>0.27099236641221358</v>
      </c>
      <c r="Z466" s="726">
        <f t="shared" si="893"/>
        <v>0.26171875000000022</v>
      </c>
      <c r="AA466" s="1325">
        <f t="shared" si="893"/>
        <v>0.2274927395934172</v>
      </c>
      <c r="AB466" s="726">
        <f t="shared" si="893"/>
        <v>0.20000000000000018</v>
      </c>
      <c r="AC466" s="726">
        <f t="shared" si="893"/>
        <v>0.31192660550458706</v>
      </c>
      <c r="AD466" s="726">
        <f t="shared" si="893"/>
        <v>0.27627627627627649</v>
      </c>
      <c r="AE466" s="726">
        <f t="shared" si="893"/>
        <v>0.20433436532507776</v>
      </c>
      <c r="AF466" s="1325">
        <f t="shared" si="893"/>
        <v>0.25</v>
      </c>
      <c r="AG466" s="726">
        <f t="shared" si="893"/>
        <v>0.24561403508771917</v>
      </c>
      <c r="AH466" s="726">
        <f t="shared" si="893"/>
        <v>0.16550116550116556</v>
      </c>
      <c r="AI466" s="726">
        <f t="shared" si="893"/>
        <v>0.21176470588235285</v>
      </c>
      <c r="AJ466" s="726">
        <f t="shared" si="893"/>
        <v>0.30848329048843182</v>
      </c>
      <c r="AK466" s="1325">
        <f t="shared" si="893"/>
        <v>0.23028391167192419</v>
      </c>
      <c r="AL466" s="726">
        <f t="shared" si="893"/>
        <v>0.21126760563380276</v>
      </c>
      <c r="AM466" s="726">
        <f t="shared" si="893"/>
        <v>0.17999999999999994</v>
      </c>
      <c r="AN466" s="726">
        <f t="shared" si="893"/>
        <v>0.14174757281553396</v>
      </c>
      <c r="AO466" s="726">
        <f t="shared" si="893"/>
        <v>0.11984282907662136</v>
      </c>
      <c r="AP466" s="1325">
        <f t="shared" si="893"/>
        <v>0.16102564102564099</v>
      </c>
      <c r="AQ466" s="726">
        <f t="shared" si="893"/>
        <v>0.042635658914728536</v>
      </c>
      <c r="AR466" s="726">
        <f t="shared" si="893"/>
        <v>0.26271186440677985</v>
      </c>
      <c r="AS466" s="726">
        <f t="shared" si="893"/>
        <v>0.25510204081632648</v>
      </c>
      <c r="AT466" s="726">
        <f t="shared" si="893"/>
        <v>0.2157894736842092</v>
      </c>
      <c r="AU466" s="1325">
        <f t="shared" si="893"/>
        <v>0.19876325088339208</v>
      </c>
      <c r="AV466" s="726">
        <f t="shared" si="894" ref="AV466:BA466">AV465/AQ465-1</f>
        <v>0.25836431226765821</v>
      </c>
      <c r="AW466" s="726">
        <f t="shared" si="894"/>
        <v>0.075167785234899309</v>
      </c>
      <c r="AX466" s="726">
        <f t="shared" si="894"/>
        <v>0.12059620596205978</v>
      </c>
      <c r="AY466" s="726">
        <f t="shared" si="894"/>
        <v>-0.0072150072150064526</v>
      </c>
      <c r="AZ466" s="1325">
        <f t="shared" si="894"/>
        <v>0.10280029476787034</v>
      </c>
      <c r="BA466" s="726">
        <f t="shared" si="894"/>
        <v>0.070901033973411964</v>
      </c>
      <c r="BB466" s="726">
        <f t="shared" si="895" ref="BB466:BG466">BB465/AW465-1</f>
        <v>0.011235955056179581</v>
      </c>
      <c r="BC466" s="726">
        <f t="shared" si="895"/>
        <v>-0.015719467956469169</v>
      </c>
      <c r="BD466" s="726">
        <f t="shared" si="895"/>
        <v>0.093023255813953654</v>
      </c>
      <c r="BE466" s="1325">
        <f t="shared" si="895"/>
        <v>0.036084196458402884</v>
      </c>
      <c r="BF466" s="726">
        <f t="shared" si="895"/>
        <v>0.16137931034482755</v>
      </c>
      <c r="BG466" s="726">
        <f t="shared" si="895"/>
        <v>0.31234567901234556</v>
      </c>
      <c r="BH466" s="808">
        <f>BH465/BC465-1</f>
        <v>0.44103194103194099</v>
      </c>
      <c r="BI466" s="1215">
        <v>0.05</v>
      </c>
      <c r="BJ466" s="1326">
        <f>BJ465/BE465-1</f>
        <v>0.24721057723315076</v>
      </c>
      <c r="BK466" s="1215">
        <v>0.05</v>
      </c>
      <c r="BL466" s="1215">
        <v>0.05</v>
      </c>
      <c r="BM466" s="1215">
        <v>0.05</v>
      </c>
      <c r="BN466" s="1215">
        <v>0.05</v>
      </c>
      <c r="BO466" s="1326">
        <f>BO465/BJ465-1</f>
        <v>0.049999999999999822</v>
      </c>
      <c r="BP466" s="1341">
        <v>0.05</v>
      </c>
      <c r="BQ466" s="1341">
        <v>0.05</v>
      </c>
      <c r="BR466" s="1342">
        <v>0.05</v>
      </c>
      <c r="BS466" s="648"/>
    </row>
    <row r="467" spans="1:71" s="665" customFormat="1" ht="15" hidden="1" outlineLevel="1">
      <c r="A467" s="371" t="s">
        <v>619</v>
      </c>
      <c r="B467" s="308"/>
      <c r="C467" s="1349">
        <f t="shared" si="896" ref="C467:AU467">(C579)</f>
        <v>0</v>
      </c>
      <c r="D467" s="1349">
        <f t="shared" si="896"/>
        <v>252.20</v>
      </c>
      <c r="E467" s="1349">
        <f t="shared" si="896"/>
        <v>266.50</v>
      </c>
      <c r="F467" s="1349">
        <f t="shared" si="896"/>
        <v>281.80</v>
      </c>
      <c r="G467" s="1349">
        <f t="shared" si="896"/>
        <v>291.80</v>
      </c>
      <c r="H467" s="1042">
        <f t="shared" si="896"/>
        <v>72.80</v>
      </c>
      <c r="I467" s="1042">
        <f t="shared" si="896"/>
        <v>74.400000000000006</v>
      </c>
      <c r="J467" s="1042">
        <f t="shared" si="896"/>
        <v>75.900000000000006</v>
      </c>
      <c r="K467" s="1042">
        <f t="shared" si="896"/>
        <v>86.000000000000028</v>
      </c>
      <c r="L467" s="1349">
        <f t="shared" si="896"/>
        <v>309.10000000000002</v>
      </c>
      <c r="M467" s="1042">
        <f t="shared" si="896"/>
        <v>73.70</v>
      </c>
      <c r="N467" s="1042">
        <f t="shared" si="896"/>
        <v>74.900000000000006</v>
      </c>
      <c r="O467" s="1042">
        <f t="shared" si="896"/>
        <v>79.30</v>
      </c>
      <c r="P467" s="1042">
        <f t="shared" si="896"/>
        <v>74.099999999999966</v>
      </c>
      <c r="Q467" s="1349">
        <f t="shared" si="896"/>
        <v>302</v>
      </c>
      <c r="R467" s="1042">
        <f t="shared" si="896"/>
        <v>78.900000000000006</v>
      </c>
      <c r="S467" s="1042">
        <f t="shared" si="896"/>
        <v>82.50</v>
      </c>
      <c r="T467" s="1042">
        <f t="shared" si="896"/>
        <v>86.80</v>
      </c>
      <c r="U467" s="1042">
        <f t="shared" si="896"/>
        <v>84.300000000000011</v>
      </c>
      <c r="V467" s="1349">
        <f t="shared" si="896"/>
        <v>332.50</v>
      </c>
      <c r="W467" s="1042">
        <f t="shared" si="896"/>
        <v>85.20</v>
      </c>
      <c r="X467" s="1042">
        <f t="shared" si="896"/>
        <v>88.80</v>
      </c>
      <c r="Y467" s="1042">
        <f t="shared" si="896"/>
        <v>96.30</v>
      </c>
      <c r="Z467" s="1042">
        <f t="shared" si="896"/>
        <v>100.30000000000001</v>
      </c>
      <c r="AA467" s="1349">
        <f t="shared" si="896"/>
        <v>370.60</v>
      </c>
      <c r="AB467" s="1042">
        <f t="shared" si="896"/>
        <v>103.80</v>
      </c>
      <c r="AC467" s="1042">
        <f t="shared" si="896"/>
        <v>116</v>
      </c>
      <c r="AD467" s="1042">
        <f t="shared" si="896"/>
        <v>122.59999999999999</v>
      </c>
      <c r="AE467" s="1042">
        <f t="shared" si="896"/>
        <v>129.80000000000001</v>
      </c>
      <c r="AF467" s="1349">
        <f t="shared" si="896"/>
        <v>472.20</v>
      </c>
      <c r="AG467" s="1042">
        <f t="shared" si="896"/>
        <v>130.19999999999999</v>
      </c>
      <c r="AH467" s="1042">
        <f t="shared" si="896"/>
        <v>134.80000000000001</v>
      </c>
      <c r="AI467" s="1042">
        <f t="shared" si="896"/>
        <v>138.40000000000001</v>
      </c>
      <c r="AJ467" s="1042">
        <f t="shared" si="896"/>
        <v>160.30000000000007</v>
      </c>
      <c r="AK467" s="1349">
        <f t="shared" si="896"/>
        <v>563.70000000000005</v>
      </c>
      <c r="AL467" s="1042">
        <f t="shared" si="896"/>
        <v>153.50</v>
      </c>
      <c r="AM467" s="1042">
        <f t="shared" si="896"/>
        <v>129.50</v>
      </c>
      <c r="AN467" s="1042">
        <f t="shared" si="896"/>
        <v>151.80000000000001</v>
      </c>
      <c r="AO467" s="1042">
        <f t="shared" si="896"/>
        <v>168.70</v>
      </c>
      <c r="AP467" s="1349">
        <f t="shared" si="896"/>
        <v>603.50</v>
      </c>
      <c r="AQ467" s="1042">
        <f t="shared" si="896"/>
        <v>165.70</v>
      </c>
      <c r="AR467" s="1042">
        <f t="shared" si="896"/>
        <v>176.20</v>
      </c>
      <c r="AS467" s="1042">
        <f t="shared" si="896"/>
        <v>174.90</v>
      </c>
      <c r="AT467" s="1042">
        <f t="shared" si="896"/>
        <v>175</v>
      </c>
      <c r="AU467" s="1349">
        <f t="shared" si="896"/>
        <v>691.80</v>
      </c>
      <c r="AV467" s="1042">
        <f t="shared" si="897" ref="AV467:BA467">(AV579)</f>
        <v>174</v>
      </c>
      <c r="AW467" s="1042">
        <f t="shared" si="897"/>
        <v>176.50</v>
      </c>
      <c r="AX467" s="1042">
        <f t="shared" si="897"/>
        <v>181.40</v>
      </c>
      <c r="AY467" s="1042">
        <f t="shared" si="897"/>
        <v>190.20000000000005</v>
      </c>
      <c r="AZ467" s="1349">
        <f t="shared" si="897"/>
        <v>722.10</v>
      </c>
      <c r="BA467" s="1042">
        <f t="shared" si="897"/>
        <v>206.20</v>
      </c>
      <c r="BB467" s="1042">
        <f t="shared" si="898" ref="BB467:BG467">(BB579)</f>
        <v>226.70</v>
      </c>
      <c r="BC467" s="1042">
        <f t="shared" si="898"/>
        <v>223.70</v>
      </c>
      <c r="BD467" s="1042">
        <f t="shared" si="898"/>
        <v>232.50000000000011</v>
      </c>
      <c r="BE467" s="1349">
        <f t="shared" si="898"/>
        <v>889.10</v>
      </c>
      <c r="BF467" s="1042">
        <f t="shared" si="898"/>
        <v>236.50</v>
      </c>
      <c r="BG467" s="1042">
        <f t="shared" si="898"/>
        <v>259.80</v>
      </c>
      <c r="BH467" s="1043">
        <f>(BH579)</f>
        <v>278.09999999999991</v>
      </c>
      <c r="BI467" s="1044">
        <f>BD467*(1+BI468)</f>
        <v>244.12500000000014</v>
      </c>
      <c r="BJ467" s="1350">
        <f>SUM(BF467,BG467,BH467,BI467)</f>
        <v>1018.525</v>
      </c>
      <c r="BK467" s="1044">
        <f>BF467*(1+BK468)</f>
        <v>248.32500000000002</v>
      </c>
      <c r="BL467" s="1044">
        <f>BG467*(1+BL468)</f>
        <v>272.79000000000002</v>
      </c>
      <c r="BM467" s="1044">
        <f>BH467*(1+BM468)</f>
        <v>292.00499999999994</v>
      </c>
      <c r="BN467" s="1044">
        <f>BI467*(1+BN468)</f>
        <v>256.33125000000018</v>
      </c>
      <c r="BO467" s="1350">
        <f>SUM(BK467,BL467,BM467,BN467)</f>
        <v>1069.4512500000001</v>
      </c>
      <c r="BP467" s="1351">
        <f>BO467*(1+BP468)</f>
        <v>1122.9238125000002</v>
      </c>
      <c r="BQ467" s="1351">
        <f>BP467*(1+BQ468)</f>
        <v>1179.0700031250003</v>
      </c>
      <c r="BR467" s="1350">
        <f>BQ467*(1+BR468)</f>
        <v>1238.0235032812504</v>
      </c>
      <c r="BS467" s="648"/>
    </row>
    <row r="468" spans="1:71" s="684" customFormat="1" ht="15" hidden="1" outlineLevel="1">
      <c r="A468" s="487" t="s">
        <v>620</v>
      </c>
      <c r="B468" s="50"/>
      <c r="C468" s="1333"/>
      <c r="D468" s="1333"/>
      <c r="E468" s="1333">
        <f>E467/D467-1</f>
        <v>0.056701030927835072</v>
      </c>
      <c r="F468" s="1333">
        <f>F467/E467-1</f>
        <v>0.057410881801125857</v>
      </c>
      <c r="G468" s="1333">
        <f>G467/F467-1</f>
        <v>0.03548616039744501</v>
      </c>
      <c r="H468" s="201"/>
      <c r="I468" s="201"/>
      <c r="J468" s="201"/>
      <c r="K468" s="201"/>
      <c r="L468" s="1333">
        <f t="shared" si="899" ref="L468:AU468">L467/G467-1</f>
        <v>0.059287183002056265</v>
      </c>
      <c r="M468" s="201">
        <f t="shared" si="899"/>
        <v>0.012362637362637541</v>
      </c>
      <c r="N468" s="201">
        <f t="shared" si="899"/>
        <v>0.0067204301075269868</v>
      </c>
      <c r="O468" s="201">
        <f t="shared" si="899"/>
        <v>0.044795783926218524</v>
      </c>
      <c r="P468" s="201">
        <f t="shared" si="899"/>
        <v>-0.13837209302325648</v>
      </c>
      <c r="Q468" s="1333">
        <f t="shared" si="899"/>
        <v>-0.022969912649627999</v>
      </c>
      <c r="R468" s="201">
        <f t="shared" si="899"/>
        <v>0.070556309362279634</v>
      </c>
      <c r="S468" s="201">
        <f t="shared" si="899"/>
        <v>0.1014686248331107</v>
      </c>
      <c r="T468" s="201">
        <f t="shared" si="899"/>
        <v>0.094577553593947039</v>
      </c>
      <c r="U468" s="201">
        <f t="shared" si="899"/>
        <v>0.13765182186234881</v>
      </c>
      <c r="V468" s="1333">
        <f t="shared" si="899"/>
        <v>0.10099337748344372</v>
      </c>
      <c r="W468" s="201">
        <f t="shared" si="899"/>
        <v>0.079847908745247054</v>
      </c>
      <c r="X468" s="201">
        <f t="shared" si="899"/>
        <v>0.076363636363636411</v>
      </c>
      <c r="Y468" s="201">
        <f t="shared" si="899"/>
        <v>0.10944700460829493</v>
      </c>
      <c r="Z468" s="201">
        <f t="shared" si="899"/>
        <v>0.18979833926453149</v>
      </c>
      <c r="AA468" s="1333">
        <f t="shared" si="899"/>
        <v>0.11458646616541368</v>
      </c>
      <c r="AB468" s="201">
        <f t="shared" si="899"/>
        <v>0.21830985915492951</v>
      </c>
      <c r="AC468" s="201">
        <f t="shared" si="899"/>
        <v>0.30630630630630629</v>
      </c>
      <c r="AD468" s="201">
        <f t="shared" si="899"/>
        <v>0.27310488058151616</v>
      </c>
      <c r="AE468" s="201">
        <f t="shared" si="899"/>
        <v>0.29411764705882359</v>
      </c>
      <c r="AF468" s="1333">
        <f t="shared" si="899"/>
        <v>0.27415002698327018</v>
      </c>
      <c r="AG468" s="201">
        <f t="shared" si="899"/>
        <v>0.25433526011560681</v>
      </c>
      <c r="AH468" s="201">
        <f t="shared" si="899"/>
        <v>0.16206896551724137</v>
      </c>
      <c r="AI468" s="201">
        <f t="shared" si="899"/>
        <v>0.12887438825448627</v>
      </c>
      <c r="AJ468" s="201">
        <f t="shared" si="899"/>
        <v>0.23497688751926082</v>
      </c>
      <c r="AK468" s="1333">
        <f t="shared" si="899"/>
        <v>0.19377382465057202</v>
      </c>
      <c r="AL468" s="201">
        <f t="shared" si="899"/>
        <v>0.17895545314900163</v>
      </c>
      <c r="AM468" s="201">
        <f t="shared" si="899"/>
        <v>-0.039317507418397679</v>
      </c>
      <c r="AN468" s="201">
        <f t="shared" si="899"/>
        <v>0.096820809248554962</v>
      </c>
      <c r="AO468" s="201">
        <f t="shared" si="899"/>
        <v>0.052401746724890286</v>
      </c>
      <c r="AP468" s="1333">
        <f t="shared" si="899"/>
        <v>0.070604931701259366</v>
      </c>
      <c r="AQ468" s="201">
        <f t="shared" si="899"/>
        <v>0.07947882736156342</v>
      </c>
      <c r="AR468" s="201">
        <f t="shared" si="899"/>
        <v>0.36061776061776052</v>
      </c>
      <c r="AS468" s="201">
        <f t="shared" si="899"/>
        <v>0.15217391304347827</v>
      </c>
      <c r="AT468" s="201">
        <f t="shared" si="899"/>
        <v>0.037344398340249052</v>
      </c>
      <c r="AU468" s="1333">
        <f t="shared" si="899"/>
        <v>0.14631317315658654</v>
      </c>
      <c r="AV468" s="201">
        <f t="shared" si="900" ref="AV468:BA468">AV467/AQ467-1</f>
        <v>0.050090525045262568</v>
      </c>
      <c r="AW468" s="201">
        <f t="shared" si="900"/>
        <v>0.0017026106696935717</v>
      </c>
      <c r="AX468" s="201">
        <f t="shared" si="900"/>
        <v>0.037164093767867445</v>
      </c>
      <c r="AY468" s="201">
        <f t="shared" si="900"/>
        <v>0.086857142857143188</v>
      </c>
      <c r="AZ468" s="1333">
        <f t="shared" si="900"/>
        <v>0.043798785776236082</v>
      </c>
      <c r="BA468" s="201">
        <f t="shared" si="900"/>
        <v>0.18505747126436778</v>
      </c>
      <c r="BB468" s="201">
        <f t="shared" si="901" ref="BB468:BG468">BB467/AW467-1</f>
        <v>0.28441926345609048</v>
      </c>
      <c r="BC468" s="201">
        <f t="shared" si="901"/>
        <v>0.23318632855567789</v>
      </c>
      <c r="BD468" s="201">
        <f t="shared" si="901"/>
        <v>0.2223974763406944</v>
      </c>
      <c r="BE468" s="1333">
        <f t="shared" si="901"/>
        <v>0.23126990721506724</v>
      </c>
      <c r="BF468" s="201">
        <f t="shared" si="901"/>
        <v>0.14694471387002905</v>
      </c>
      <c r="BG468" s="201">
        <f t="shared" si="901"/>
        <v>0.14600794000882233</v>
      </c>
      <c r="BH468" s="824">
        <f>BH467/BC467-1</f>
        <v>0.243182834152883</v>
      </c>
      <c r="BI468" s="1215">
        <v>0.05</v>
      </c>
      <c r="BJ468" s="1332">
        <f>BJ467/BE467-1</f>
        <v>0.14556855246878864</v>
      </c>
      <c r="BK468" s="1215">
        <v>0.05</v>
      </c>
      <c r="BL468" s="1215">
        <v>0.05</v>
      </c>
      <c r="BM468" s="1215">
        <v>0.05</v>
      </c>
      <c r="BN468" s="1215">
        <v>0.05</v>
      </c>
      <c r="BO468" s="1332">
        <f>BO467/BJ467-1</f>
        <v>0.050000000000000044</v>
      </c>
      <c r="BP468" s="1423">
        <v>0.05</v>
      </c>
      <c r="BQ468" s="1423">
        <v>0.05</v>
      </c>
      <c r="BR468" s="1424">
        <v>0.05</v>
      </c>
      <c r="BS468" s="648"/>
    </row>
    <row r="469" spans="1:71" s="665" customFormat="1" ht="15" hidden="1" outlineLevel="1">
      <c r="A469" s="1000" t="s">
        <v>621</v>
      </c>
      <c r="B469" s="260"/>
      <c r="C469" s="1323">
        <f t="shared" si="902" ref="C469:AT469">C581</f>
        <v>0</v>
      </c>
      <c r="D469" s="1323">
        <f t="shared" si="902"/>
        <v>6.40</v>
      </c>
      <c r="E469" s="1323">
        <f t="shared" si="902"/>
        <v>-0.10000000000000001</v>
      </c>
      <c r="F469" s="1323">
        <f t="shared" si="902"/>
        <v>-1.80</v>
      </c>
      <c r="G469" s="1323">
        <f t="shared" si="902"/>
        <v>-4.30</v>
      </c>
      <c r="H469" s="1027">
        <f t="shared" si="902"/>
        <v>0</v>
      </c>
      <c r="I469" s="1027">
        <f t="shared" si="902"/>
        <v>0</v>
      </c>
      <c r="J469" s="1027">
        <f t="shared" si="902"/>
        <v>-4.80</v>
      </c>
      <c r="K469" s="1027">
        <f t="shared" si="902"/>
        <v>0</v>
      </c>
      <c r="L469" s="1323">
        <f t="shared" si="902"/>
        <v>-4.80</v>
      </c>
      <c r="M469" s="1027">
        <f t="shared" si="902"/>
        <v>0</v>
      </c>
      <c r="N469" s="1027">
        <f t="shared" si="902"/>
        <v>0</v>
      </c>
      <c r="O469" s="1027">
        <f t="shared" si="902"/>
        <v>-0.90</v>
      </c>
      <c r="P469" s="1027">
        <f t="shared" si="902"/>
        <v>0</v>
      </c>
      <c r="Q469" s="1323">
        <f t="shared" si="902"/>
        <v>-0.90</v>
      </c>
      <c r="R469" s="1027">
        <f t="shared" si="902"/>
        <v>0</v>
      </c>
      <c r="S469" s="1027">
        <f t="shared" si="902"/>
        <v>1.60</v>
      </c>
      <c r="T469" s="1027">
        <f t="shared" si="902"/>
        <v>0</v>
      </c>
      <c r="U469" s="1027">
        <f t="shared" si="902"/>
        <v>0</v>
      </c>
      <c r="V469" s="1323">
        <f t="shared" si="902"/>
        <v>1.60</v>
      </c>
      <c r="W469" s="1027">
        <f t="shared" si="902"/>
        <v>0.20</v>
      </c>
      <c r="X469" s="1027">
        <f t="shared" si="902"/>
        <v>0</v>
      </c>
      <c r="Y469" s="1027">
        <f t="shared" si="902"/>
        <v>0</v>
      </c>
      <c r="Z469" s="1027">
        <f t="shared" si="902"/>
        <v>-1.20</v>
      </c>
      <c r="AA469" s="1323">
        <f t="shared" si="902"/>
        <v>-1</v>
      </c>
      <c r="AB469" s="1027">
        <f t="shared" si="902"/>
        <v>0</v>
      </c>
      <c r="AC469" s="1027">
        <f t="shared" si="902"/>
        <v>0</v>
      </c>
      <c r="AD469" s="1027">
        <f t="shared" si="902"/>
        <v>0</v>
      </c>
      <c r="AE469" s="1027">
        <f t="shared" si="902"/>
        <v>0</v>
      </c>
      <c r="AF469" s="1323">
        <f t="shared" si="902"/>
        <v>0</v>
      </c>
      <c r="AG469" s="1027">
        <f t="shared" si="902"/>
        <v>0</v>
      </c>
      <c r="AH469" s="1027">
        <f t="shared" si="902"/>
        <v>0</v>
      </c>
      <c r="AI469" s="1027">
        <f t="shared" si="902"/>
        <v>0</v>
      </c>
      <c r="AJ469" s="1027">
        <f t="shared" si="902"/>
        <v>0</v>
      </c>
      <c r="AK469" s="1323">
        <f t="shared" si="902"/>
        <v>0</v>
      </c>
      <c r="AL469" s="1027">
        <f t="shared" si="902"/>
        <v>0</v>
      </c>
      <c r="AM469" s="1027">
        <f t="shared" si="902"/>
        <v>0</v>
      </c>
      <c r="AN469" s="1027">
        <f t="shared" si="902"/>
        <v>0</v>
      </c>
      <c r="AO469" s="1027">
        <f t="shared" si="902"/>
        <v>0</v>
      </c>
      <c r="AP469" s="1323">
        <f t="shared" si="902"/>
        <v>0</v>
      </c>
      <c r="AQ469" s="1027">
        <f t="shared" si="902"/>
        <v>0</v>
      </c>
      <c r="AR469" s="1027">
        <f t="shared" si="902"/>
        <v>0</v>
      </c>
      <c r="AS469" s="1027">
        <f t="shared" si="902"/>
        <v>0</v>
      </c>
      <c r="AT469" s="1027">
        <f t="shared" si="902"/>
        <v>0</v>
      </c>
      <c r="AU469" s="1323">
        <f t="shared" si="903" ref="AU469:AZ469">AU581</f>
        <v>0</v>
      </c>
      <c r="AV469" s="1027">
        <f t="shared" si="903"/>
        <v>0</v>
      </c>
      <c r="AW469" s="1027">
        <f t="shared" si="903"/>
        <v>0</v>
      </c>
      <c r="AX469" s="1027">
        <f t="shared" si="903"/>
        <v>0</v>
      </c>
      <c r="AY469" s="1027">
        <f t="shared" si="903"/>
        <v>0</v>
      </c>
      <c r="AZ469" s="1323">
        <f t="shared" si="903"/>
        <v>0</v>
      </c>
      <c r="BA469" s="1027">
        <f t="shared" si="904" ref="BA469:BF469">BA581</f>
        <v>0</v>
      </c>
      <c r="BB469" s="1027">
        <f t="shared" si="904"/>
        <v>0</v>
      </c>
      <c r="BC469" s="1027">
        <f t="shared" si="904"/>
        <v>0</v>
      </c>
      <c r="BD469" s="1027">
        <f t="shared" si="904"/>
        <v>0</v>
      </c>
      <c r="BE469" s="1323">
        <f t="shared" si="904"/>
        <v>0</v>
      </c>
      <c r="BF469" s="1027">
        <f t="shared" si="904"/>
        <v>0</v>
      </c>
      <c r="BG469" s="1027">
        <f>BG581</f>
        <v>0</v>
      </c>
      <c r="BH469" s="1028">
        <f>BH581</f>
        <v>0</v>
      </c>
      <c r="BI469" s="1228">
        <v>0</v>
      </c>
      <c r="BJ469" s="1324">
        <f>SUM(BF469,BG469,BH469,BI469)</f>
        <v>0</v>
      </c>
      <c r="BK469" s="1228">
        <v>0</v>
      </c>
      <c r="BL469" s="1228">
        <v>0</v>
      </c>
      <c r="BM469" s="1228">
        <v>0</v>
      </c>
      <c r="BN469" s="1228">
        <v>0</v>
      </c>
      <c r="BO469" s="1324">
        <f>SUM(BK469,BL469,BM469,BN469)</f>
        <v>0</v>
      </c>
      <c r="BP469" s="1365">
        <v>0</v>
      </c>
      <c r="BQ469" s="1365">
        <v>0</v>
      </c>
      <c r="BR469" s="1365">
        <v>0</v>
      </c>
      <c r="BS469" s="648"/>
    </row>
    <row r="470" spans="1:71" s="668" customFormat="1" ht="15" hidden="1" outlineLevel="1">
      <c r="A470" s="25" t="s">
        <v>49</v>
      </c>
      <c r="B470" s="394"/>
      <c r="C470" s="1320">
        <f t="shared" si="905" ref="C470:AH470">C465+C467+C469</f>
        <v>16.70</v>
      </c>
      <c r="D470" s="1320">
        <f t="shared" si="905"/>
        <v>284.49999999999994</v>
      </c>
      <c r="E470" s="1320">
        <f t="shared" si="905"/>
        <v>289.20</v>
      </c>
      <c r="F470" s="1320">
        <f t="shared" si="905"/>
        <v>316.10000000000002</v>
      </c>
      <c r="G470" s="1320">
        <f t="shared" si="905"/>
        <v>327.10000000000002</v>
      </c>
      <c r="H470" s="1021">
        <f t="shared" si="905"/>
        <v>82.60</v>
      </c>
      <c r="I470" s="1021">
        <f t="shared" si="905"/>
        <v>88.40</v>
      </c>
      <c r="J470" s="1021">
        <f t="shared" si="905"/>
        <v>86.10</v>
      </c>
      <c r="K470" s="1021">
        <f t="shared" si="905"/>
        <v>103.20000000000003</v>
      </c>
      <c r="L470" s="1320">
        <f t="shared" si="905"/>
        <v>360.30</v>
      </c>
      <c r="M470" s="1021">
        <f t="shared" si="905"/>
        <v>90.90</v>
      </c>
      <c r="N470" s="1021">
        <f t="shared" si="905"/>
        <v>98.20</v>
      </c>
      <c r="O470" s="1021">
        <f t="shared" si="905"/>
        <v>101.50</v>
      </c>
      <c r="P470" s="1021">
        <f t="shared" si="905"/>
        <v>96.799999999999955</v>
      </c>
      <c r="Q470" s="1320">
        <f t="shared" si="905"/>
        <v>387.40</v>
      </c>
      <c r="R470" s="1021">
        <f t="shared" si="905"/>
        <v>103.90000000000001</v>
      </c>
      <c r="S470" s="1021">
        <f t="shared" si="905"/>
        <v>110.59999999999999</v>
      </c>
      <c r="T470" s="1021">
        <f t="shared" si="905"/>
        <v>113</v>
      </c>
      <c r="U470" s="1021">
        <f t="shared" si="905"/>
        <v>109.90000000000001</v>
      </c>
      <c r="V470" s="1320">
        <f t="shared" si="905"/>
        <v>437.40</v>
      </c>
      <c r="W470" s="1021">
        <f t="shared" si="905"/>
        <v>113.90000000000001</v>
      </c>
      <c r="X470" s="1021">
        <f t="shared" si="905"/>
        <v>121.50</v>
      </c>
      <c r="Y470" s="1021">
        <f t="shared" si="905"/>
        <v>129.59999999999999</v>
      </c>
      <c r="Z470" s="1021">
        <f t="shared" si="905"/>
        <v>131.40000000000003</v>
      </c>
      <c r="AA470" s="1320">
        <f t="shared" si="905"/>
        <v>496.40</v>
      </c>
      <c r="AB470" s="1021">
        <f t="shared" si="905"/>
        <v>138</v>
      </c>
      <c r="AC470" s="1021">
        <f t="shared" si="905"/>
        <v>158.90000000000001</v>
      </c>
      <c r="AD470" s="1021">
        <f t="shared" si="905"/>
        <v>165.10</v>
      </c>
      <c r="AE470" s="1021">
        <f t="shared" si="905"/>
        <v>168.70000000000002</v>
      </c>
      <c r="AF470" s="1320">
        <f t="shared" si="905"/>
        <v>630.70000000000005</v>
      </c>
      <c r="AG470" s="1021">
        <f t="shared" si="905"/>
        <v>172.79999999999998</v>
      </c>
      <c r="AH470" s="1021">
        <f t="shared" si="905"/>
        <v>184.80</v>
      </c>
      <c r="AI470" s="1021">
        <f t="shared" si="906" ref="AI470:AU470">AI465+AI467+AI469</f>
        <v>189.90</v>
      </c>
      <c r="AJ470" s="1021">
        <f t="shared" si="906"/>
        <v>211.20000000000007</v>
      </c>
      <c r="AK470" s="1320">
        <f t="shared" si="906"/>
        <v>758.70</v>
      </c>
      <c r="AL470" s="1021">
        <f t="shared" si="906"/>
        <v>205.10</v>
      </c>
      <c r="AM470" s="1021">
        <f t="shared" si="906"/>
        <v>188.50</v>
      </c>
      <c r="AN470" s="1021">
        <f t="shared" si="906"/>
        <v>210.60000000000002</v>
      </c>
      <c r="AO470" s="1021">
        <f t="shared" si="906"/>
        <v>225.70000000000002</v>
      </c>
      <c r="AP470" s="1320">
        <f t="shared" si="906"/>
        <v>829.90</v>
      </c>
      <c r="AQ470" s="1021">
        <f t="shared" si="906"/>
        <v>219.50</v>
      </c>
      <c r="AR470" s="1021">
        <f t="shared" si="906"/>
        <v>250.70</v>
      </c>
      <c r="AS470" s="1021">
        <f t="shared" si="906"/>
        <v>248.70</v>
      </c>
      <c r="AT470" s="1021">
        <f t="shared" si="906"/>
        <v>244.29999999999995</v>
      </c>
      <c r="AU470" s="1320">
        <f t="shared" si="906"/>
        <v>963.20</v>
      </c>
      <c r="AV470" s="1021">
        <f t="shared" si="907" ref="AV470:AZ470">AV465+AV467+AV469</f>
        <v>241.70</v>
      </c>
      <c r="AW470" s="1021">
        <f t="shared" si="907"/>
        <v>256.60000000000002</v>
      </c>
      <c r="AX470" s="1021">
        <f t="shared" si="907"/>
        <v>264.10000000000002</v>
      </c>
      <c r="AY470" s="1021">
        <f t="shared" si="907"/>
        <v>259.00000000000006</v>
      </c>
      <c r="AZ470" s="1320">
        <f t="shared" si="907"/>
        <v>1021.4000000000001</v>
      </c>
      <c r="BA470" s="1021">
        <f t="shared" si="908" ref="BA470:BR470">BA465+BA467+BA469</f>
        <v>278.70</v>
      </c>
      <c r="BB470" s="1021">
        <f t="shared" si="908"/>
        <v>307.70</v>
      </c>
      <c r="BC470" s="1021">
        <f t="shared" si="908"/>
        <v>305.10000000000002</v>
      </c>
      <c r="BD470" s="1021">
        <f t="shared" si="908"/>
        <v>307.70000000000016</v>
      </c>
      <c r="BE470" s="1320">
        <f t="shared" si="908"/>
        <v>1199.20</v>
      </c>
      <c r="BF470" s="1021">
        <f>BF465+BF467+BF469</f>
        <v>320.70</v>
      </c>
      <c r="BG470" s="1021">
        <f>BG465+BG467+BG469</f>
        <v>366.10</v>
      </c>
      <c r="BH470" s="1022">
        <f>BH465+BH467+BH469</f>
        <v>395.39999999999992</v>
      </c>
      <c r="BI470" s="1023">
        <f t="shared" si="908"/>
        <v>323.08500000000015</v>
      </c>
      <c r="BJ470" s="1321">
        <f t="shared" si="908"/>
        <v>1405.285</v>
      </c>
      <c r="BK470" s="1023">
        <f t="shared" si="908"/>
        <v>336.735</v>
      </c>
      <c r="BL470" s="1023">
        <f t="shared" si="908"/>
        <v>384.405</v>
      </c>
      <c r="BM470" s="1023">
        <f t="shared" si="908"/>
        <v>415.16999999999996</v>
      </c>
      <c r="BN470" s="1023">
        <f t="shared" si="908"/>
        <v>339.2392500000002</v>
      </c>
      <c r="BO470" s="1321">
        <f t="shared" si="908"/>
        <v>1475.54925</v>
      </c>
      <c r="BP470" s="1322">
        <f t="shared" si="908"/>
        <v>1549.3267125000002</v>
      </c>
      <c r="BQ470" s="1322">
        <f t="shared" si="908"/>
        <v>1626.7930481250005</v>
      </c>
      <c r="BR470" s="1321">
        <f t="shared" si="908"/>
        <v>1708.1327005312505</v>
      </c>
      <c r="BS470" s="648"/>
    </row>
    <row r="471" spans="1:71" s="669" customFormat="1" ht="15" hidden="1" outlineLevel="1">
      <c r="A471" s="486" t="s">
        <v>509</v>
      </c>
      <c r="B471" s="108"/>
      <c r="C471" s="1325"/>
      <c r="D471" s="1325">
        <f>D470/C470-1</f>
        <v>16.035928143712571</v>
      </c>
      <c r="E471" s="1325">
        <f>E470/D470-1</f>
        <v>0.016520210896309395</v>
      </c>
      <c r="F471" s="1325">
        <f>F470/E470-1</f>
        <v>0.093015214384509104</v>
      </c>
      <c r="G471" s="1325">
        <f>G470/F470-1</f>
        <v>0.034799114204365766</v>
      </c>
      <c r="H471" s="726"/>
      <c r="I471" s="726"/>
      <c r="J471" s="726"/>
      <c r="K471" s="726"/>
      <c r="L471" s="1325">
        <f t="shared" si="909" ref="L471:AU471">L470/G470-1</f>
        <v>0.10149801284010995</v>
      </c>
      <c r="M471" s="726">
        <f t="shared" si="909"/>
        <v>0.1004842615012107</v>
      </c>
      <c r="N471" s="726">
        <f t="shared" si="909"/>
        <v>0.11085972850678738</v>
      </c>
      <c r="O471" s="726">
        <f t="shared" si="909"/>
        <v>0.17886178861788604</v>
      </c>
      <c r="P471" s="726">
        <f t="shared" si="909"/>
        <v>-0.062015503875969769</v>
      </c>
      <c r="Q471" s="1325">
        <f t="shared" si="909"/>
        <v>0.075215098529003654</v>
      </c>
      <c r="R471" s="726">
        <f t="shared" si="909"/>
        <v>0.14301430143014304</v>
      </c>
      <c r="S471" s="726">
        <f t="shared" si="909"/>
        <v>0.12627291242362526</v>
      </c>
      <c r="T471" s="726">
        <f t="shared" si="909"/>
        <v>0.11330049261083741</v>
      </c>
      <c r="U471" s="726">
        <f t="shared" si="909"/>
        <v>0.13533057851239727</v>
      </c>
      <c r="V471" s="1325">
        <f t="shared" si="909"/>
        <v>0.12906556530717594</v>
      </c>
      <c r="W471" s="726">
        <f t="shared" si="909"/>
        <v>0.096246390760346578</v>
      </c>
      <c r="X471" s="726">
        <f t="shared" si="909"/>
        <v>0.098553345388788571</v>
      </c>
      <c r="Y471" s="726">
        <f t="shared" si="909"/>
        <v>0.14690265486725651</v>
      </c>
      <c r="Z471" s="726">
        <f t="shared" si="909"/>
        <v>0.19563239308462266</v>
      </c>
      <c r="AA471" s="1325">
        <f t="shared" si="909"/>
        <v>0.13488797439414713</v>
      </c>
      <c r="AB471" s="726">
        <f t="shared" si="909"/>
        <v>0.21158911325724317</v>
      </c>
      <c r="AC471" s="726">
        <f t="shared" si="909"/>
        <v>0.30781893004115224</v>
      </c>
      <c r="AD471" s="726">
        <f t="shared" si="909"/>
        <v>0.27391975308641969</v>
      </c>
      <c r="AE471" s="726">
        <f t="shared" si="909"/>
        <v>0.28386605783866048</v>
      </c>
      <c r="AF471" s="1325">
        <f t="shared" si="909"/>
        <v>0.27054794520547953</v>
      </c>
      <c r="AG471" s="726">
        <f t="shared" si="909"/>
        <v>0.25217391304347814</v>
      </c>
      <c r="AH471" s="726">
        <f t="shared" si="909"/>
        <v>0.16299559471365632</v>
      </c>
      <c r="AI471" s="726">
        <f t="shared" si="909"/>
        <v>0.15021199273167785</v>
      </c>
      <c r="AJ471" s="726">
        <f t="shared" si="909"/>
        <v>0.25192649673977496</v>
      </c>
      <c r="AK471" s="1325">
        <f t="shared" si="909"/>
        <v>0.20294910416996981</v>
      </c>
      <c r="AL471" s="726">
        <f t="shared" si="909"/>
        <v>0.18692129629629628</v>
      </c>
      <c r="AM471" s="726">
        <f t="shared" si="909"/>
        <v>0.020021645021645051</v>
      </c>
      <c r="AN471" s="726">
        <f t="shared" si="909"/>
        <v>0.10900473933649302</v>
      </c>
      <c r="AO471" s="726">
        <f t="shared" si="909"/>
        <v>0.068655303030302761</v>
      </c>
      <c r="AP471" s="1325">
        <f t="shared" si="909"/>
        <v>0.093844734414129327</v>
      </c>
      <c r="AQ471" s="726">
        <f t="shared" si="909"/>
        <v>0.070209653827401297</v>
      </c>
      <c r="AR471" s="726">
        <f t="shared" si="909"/>
        <v>0.32997347480106098</v>
      </c>
      <c r="AS471" s="726">
        <f t="shared" si="909"/>
        <v>0.18091168091168064</v>
      </c>
      <c r="AT471" s="726">
        <f t="shared" si="909"/>
        <v>0.08241027913159038</v>
      </c>
      <c r="AU471" s="1325">
        <f t="shared" si="909"/>
        <v>0.16062176165803099</v>
      </c>
      <c r="AV471" s="726">
        <f t="shared" si="910" ref="AV471:AZ471">AV470/AQ470-1</f>
        <v>0.10113895216400914</v>
      </c>
      <c r="AW471" s="726">
        <f t="shared" si="910"/>
        <v>0.023534104507379583</v>
      </c>
      <c r="AX471" s="726">
        <f t="shared" si="910"/>
        <v>0.061921994370727873</v>
      </c>
      <c r="AY471" s="726">
        <f t="shared" si="910"/>
        <v>0.060171919770773963</v>
      </c>
      <c r="AZ471" s="1325">
        <f t="shared" si="910"/>
        <v>0.06042358803986736</v>
      </c>
      <c r="BA471" s="726">
        <f t="shared" si="911" ref="BA471:BO471">BA470/AV470-1</f>
        <v>0.15308233347124545</v>
      </c>
      <c r="BB471" s="726">
        <f t="shared" si="911"/>
        <v>0.19914263445050651</v>
      </c>
      <c r="BC471" s="726">
        <f t="shared" si="911"/>
        <v>0.15524422567209384</v>
      </c>
      <c r="BD471" s="726">
        <f t="shared" si="911"/>
        <v>0.1880308880308883</v>
      </c>
      <c r="BE471" s="1325">
        <f t="shared" si="911"/>
        <v>0.17407479929508507</v>
      </c>
      <c r="BF471" s="726">
        <f>BF470/BA470-1</f>
        <v>0.15069967707212051</v>
      </c>
      <c r="BG471" s="726">
        <f>BG470/BB470-1</f>
        <v>0.18979525511862216</v>
      </c>
      <c r="BH471" s="808">
        <f>BH470/BC470-1</f>
        <v>0.2959685349065877</v>
      </c>
      <c r="BI471" s="98">
        <f t="shared" si="911"/>
        <v>0.050000000000000044</v>
      </c>
      <c r="BJ471" s="1326">
        <f t="shared" si="911"/>
        <v>0.17185206804536368</v>
      </c>
      <c r="BK471" s="98">
        <f t="shared" si="911"/>
        <v>0.050000000000000044</v>
      </c>
      <c r="BL471" s="98">
        <f t="shared" si="911"/>
        <v>0.050000000000000044</v>
      </c>
      <c r="BM471" s="98">
        <f t="shared" si="911"/>
        <v>0.050000000000000044</v>
      </c>
      <c r="BN471" s="98">
        <f t="shared" si="911"/>
        <v>0.050000000000000044</v>
      </c>
      <c r="BO471" s="1326">
        <f t="shared" si="911"/>
        <v>0.050000000000000044</v>
      </c>
      <c r="BP471" s="1325">
        <f>BP470/BO470-1</f>
        <v>0.050000000000000044</v>
      </c>
      <c r="BQ471" s="1325">
        <f>BQ470/BP470-1</f>
        <v>0.050000000000000266</v>
      </c>
      <c r="BR471" s="1326">
        <f>BR470/BQ470-1</f>
        <v>0.050000000000000044</v>
      </c>
      <c r="BS471" s="648"/>
    </row>
    <row r="472" spans="1:71" s="669" customFormat="1" ht="15" customHeight="1" hidden="1" outlineLevel="1">
      <c r="A472" s="107"/>
      <c r="B472" s="108"/>
      <c r="C472" s="1325"/>
      <c r="D472" s="1325"/>
      <c r="E472" s="1325"/>
      <c r="F472" s="1325"/>
      <c r="G472" s="1325"/>
      <c r="H472" s="726"/>
      <c r="I472" s="726"/>
      <c r="J472" s="726"/>
      <c r="K472" s="726"/>
      <c r="L472" s="1325"/>
      <c r="M472" s="726"/>
      <c r="N472" s="726"/>
      <c r="O472" s="726"/>
      <c r="P472" s="726"/>
      <c r="Q472" s="1325"/>
      <c r="R472" s="726"/>
      <c r="S472" s="726"/>
      <c r="T472" s="726"/>
      <c r="U472" s="726"/>
      <c r="V472" s="1325"/>
      <c r="W472" s="726"/>
      <c r="X472" s="726"/>
      <c r="Y472" s="726"/>
      <c r="Z472" s="726"/>
      <c r="AA472" s="1325"/>
      <c r="AB472" s="726"/>
      <c r="AC472" s="726"/>
      <c r="AD472" s="726"/>
      <c r="AE472" s="726"/>
      <c r="AF472" s="1325"/>
      <c r="AG472" s="726"/>
      <c r="AH472" s="726"/>
      <c r="AI472" s="726"/>
      <c r="AJ472" s="726"/>
      <c r="AK472" s="1325"/>
      <c r="AL472" s="726"/>
      <c r="AM472" s="726"/>
      <c r="AN472" s="726"/>
      <c r="AO472" s="726"/>
      <c r="AP472" s="1325"/>
      <c r="AQ472" s="726"/>
      <c r="AR472" s="726"/>
      <c r="AS472" s="726"/>
      <c r="AT472" s="726"/>
      <c r="AU472" s="1325"/>
      <c r="AV472" s="726"/>
      <c r="AW472" s="726"/>
      <c r="AX472" s="726"/>
      <c r="AY472" s="726"/>
      <c r="AZ472" s="1325"/>
      <c r="BA472" s="726"/>
      <c r="BB472" s="726"/>
      <c r="BC472" s="726"/>
      <c r="BD472" s="726"/>
      <c r="BE472" s="1325"/>
      <c r="BF472" s="726"/>
      <c r="BG472" s="726"/>
      <c r="BH472" s="808"/>
      <c r="BI472" s="98"/>
      <c r="BJ472" s="1326"/>
      <c r="BK472" s="98"/>
      <c r="BL472" s="98"/>
      <c r="BM472" s="98"/>
      <c r="BN472" s="98"/>
      <c r="BO472" s="1326"/>
      <c r="BP472" s="1325"/>
      <c r="BQ472" s="1325"/>
      <c r="BR472" s="1326"/>
      <c r="BS472" s="648"/>
    </row>
    <row r="473" spans="1:71" s="665" customFormat="1" ht="15" hidden="1" outlineLevel="1">
      <c r="A473" s="371" t="s">
        <v>617</v>
      </c>
      <c r="B473" s="308"/>
      <c r="C473" s="1349">
        <f t="shared" si="912" ref="C473:AU473">C588</f>
        <v>19.40</v>
      </c>
      <c r="D473" s="1349">
        <f t="shared" si="912"/>
        <v>21.40</v>
      </c>
      <c r="E473" s="1349">
        <f t="shared" si="912"/>
        <v>19.40</v>
      </c>
      <c r="F473" s="1349">
        <f t="shared" si="912"/>
        <v>36.10</v>
      </c>
      <c r="G473" s="1349">
        <f t="shared" si="912"/>
        <v>38.799999999999997</v>
      </c>
      <c r="H473" s="1042">
        <f t="shared" si="912"/>
        <v>9.6999999999999993</v>
      </c>
      <c r="I473" s="1042">
        <f t="shared" si="912"/>
        <v>12.90</v>
      </c>
      <c r="J473" s="1042">
        <f t="shared" si="912"/>
        <v>13.50</v>
      </c>
      <c r="K473" s="1042">
        <f t="shared" si="912"/>
        <v>14.799999999999997</v>
      </c>
      <c r="L473" s="1349">
        <f t="shared" si="912"/>
        <v>50.90</v>
      </c>
      <c r="M473" s="1042">
        <f t="shared" si="912"/>
        <v>15.90</v>
      </c>
      <c r="N473" s="1042">
        <f t="shared" si="912"/>
        <v>20.50</v>
      </c>
      <c r="O473" s="1042">
        <f t="shared" si="912"/>
        <v>20.40</v>
      </c>
      <c r="P473" s="1042">
        <f t="shared" si="912"/>
        <v>20.700000000000003</v>
      </c>
      <c r="Q473" s="1349">
        <f t="shared" si="912"/>
        <v>77.50</v>
      </c>
      <c r="R473" s="1042">
        <f t="shared" si="912"/>
        <v>21.60</v>
      </c>
      <c r="S473" s="1042">
        <f t="shared" si="912"/>
        <v>23.70</v>
      </c>
      <c r="T473" s="1042">
        <f t="shared" si="912"/>
        <v>23.20</v>
      </c>
      <c r="U473" s="1042">
        <f t="shared" si="912"/>
        <v>23.50</v>
      </c>
      <c r="V473" s="1349">
        <f t="shared" si="912"/>
        <v>92</v>
      </c>
      <c r="W473" s="1042">
        <f t="shared" si="912"/>
        <v>25.90</v>
      </c>
      <c r="X473" s="1042">
        <f t="shared" si="912"/>
        <v>27</v>
      </c>
      <c r="Y473" s="1042">
        <f t="shared" si="912"/>
        <v>28.90</v>
      </c>
      <c r="Z473" s="1042">
        <f t="shared" si="912"/>
        <v>27.700000000000003</v>
      </c>
      <c r="AA473" s="1349">
        <f t="shared" si="912"/>
        <v>109.50</v>
      </c>
      <c r="AB473" s="1042">
        <f t="shared" si="912"/>
        <v>29.30</v>
      </c>
      <c r="AC473" s="1042">
        <f t="shared" si="912"/>
        <v>37</v>
      </c>
      <c r="AD473" s="1042">
        <f t="shared" si="912"/>
        <v>35.799999999999997</v>
      </c>
      <c r="AE473" s="1042">
        <f t="shared" si="912"/>
        <v>32</v>
      </c>
      <c r="AF473" s="1349">
        <f t="shared" si="912"/>
        <v>134.09999999999999</v>
      </c>
      <c r="AG473" s="1042">
        <f t="shared" si="912"/>
        <v>38.10</v>
      </c>
      <c r="AH473" s="1042">
        <f t="shared" si="912"/>
        <v>45.30</v>
      </c>
      <c r="AI473" s="1042">
        <f t="shared" si="912"/>
        <v>48.70</v>
      </c>
      <c r="AJ473" s="1042">
        <f t="shared" si="912"/>
        <v>46.799999999999983</v>
      </c>
      <c r="AK473" s="1349">
        <f t="shared" si="912"/>
        <v>178.90</v>
      </c>
      <c r="AL473" s="1042">
        <f t="shared" si="912"/>
        <v>47.50</v>
      </c>
      <c r="AM473" s="1042">
        <f t="shared" si="912"/>
        <v>52.80</v>
      </c>
      <c r="AN473" s="1042">
        <f t="shared" si="912"/>
        <v>54.40</v>
      </c>
      <c r="AO473" s="1042">
        <f t="shared" si="912"/>
        <v>50.800000000000011</v>
      </c>
      <c r="AP473" s="1349">
        <f t="shared" si="912"/>
        <v>205.50</v>
      </c>
      <c r="AQ473" s="1042">
        <f t="shared" si="912"/>
        <v>49.30</v>
      </c>
      <c r="AR473" s="1042">
        <f t="shared" si="912"/>
        <v>67.900000000000006</v>
      </c>
      <c r="AS473" s="1042">
        <f t="shared" si="912"/>
        <v>72.80</v>
      </c>
      <c r="AT473" s="1042">
        <f t="shared" si="912"/>
        <v>62.800000000000011</v>
      </c>
      <c r="AU473" s="1349">
        <f t="shared" si="912"/>
        <v>252.80</v>
      </c>
      <c r="AV473" s="1042">
        <f t="shared" si="913" ref="AV473:BA473">AV588</f>
        <v>63.20</v>
      </c>
      <c r="AW473" s="1042">
        <f t="shared" si="913"/>
        <v>75.499999999999986</v>
      </c>
      <c r="AX473" s="1042">
        <f t="shared" si="913"/>
        <v>82.80</v>
      </c>
      <c r="AY473" s="1042">
        <f t="shared" si="913"/>
        <v>75.199999999999989</v>
      </c>
      <c r="AZ473" s="1349">
        <f t="shared" si="913"/>
        <v>296.70</v>
      </c>
      <c r="BA473" s="1042">
        <f t="shared" si="913"/>
        <v>82.30</v>
      </c>
      <c r="BB473" s="1042">
        <f t="shared" si="914" ref="BB473:BG473">BB588</f>
        <v>90.60</v>
      </c>
      <c r="BC473" s="1042">
        <f t="shared" si="914"/>
        <v>91.70</v>
      </c>
      <c r="BD473" s="1042">
        <f t="shared" si="914"/>
        <v>84.399999999999977</v>
      </c>
      <c r="BE473" s="1349">
        <f t="shared" si="914"/>
        <v>349</v>
      </c>
      <c r="BF473" s="1042">
        <f t="shared" si="914"/>
        <v>92.10</v>
      </c>
      <c r="BG473" s="1042">
        <f t="shared" si="914"/>
        <v>114.30000000000001</v>
      </c>
      <c r="BH473" s="1043">
        <f>BH588</f>
        <v>126.70000000000002</v>
      </c>
      <c r="BI473" s="1044">
        <f>BI465*BI474</f>
        <v>75.012000000000015</v>
      </c>
      <c r="BJ473" s="1350">
        <f>SUM(BF473,BG473,BH473,BI473)</f>
        <v>408.11200000000002</v>
      </c>
      <c r="BK473" s="1044">
        <f>BK465*BK474</f>
        <v>87.525900000000007</v>
      </c>
      <c r="BL473" s="1044">
        <f>BL465*BL474</f>
        <v>106.03424999999999</v>
      </c>
      <c r="BM473" s="1044">
        <f>BM465*BM474</f>
        <v>117.00675</v>
      </c>
      <c r="BN473" s="1044">
        <f>BN465*BN474</f>
        <v>78.76260000000002</v>
      </c>
      <c r="BO473" s="1350">
        <f>SUM(BK473,BL473,BM473,BN473)</f>
        <v>389.3295</v>
      </c>
      <c r="BP473" s="1351">
        <f>BP465*BP474</f>
        <v>405.08275500000002</v>
      </c>
      <c r="BQ473" s="1351">
        <f>BQ465*BQ474</f>
        <v>425.33689275000006</v>
      </c>
      <c r="BR473" s="1350">
        <f>BR465*BR474</f>
        <v>446.60373738750008</v>
      </c>
      <c r="BS473" s="648"/>
    </row>
    <row r="474" spans="1:71" s="685" customFormat="1" ht="15" hidden="1" outlineLevel="1">
      <c r="A474" s="643" t="s">
        <v>618</v>
      </c>
      <c r="B474" s="411"/>
      <c r="C474" s="1425">
        <f t="shared" si="915" ref="C474:AU474">C473/C465</f>
        <v>1.1616766467065869</v>
      </c>
      <c r="D474" s="1425">
        <f t="shared" si="915"/>
        <v>0.82625482625482627</v>
      </c>
      <c r="E474" s="1425">
        <f t="shared" si="915"/>
        <v>0.85087719298245601</v>
      </c>
      <c r="F474" s="1425">
        <f t="shared" si="915"/>
        <v>1</v>
      </c>
      <c r="G474" s="1425">
        <f t="shared" si="915"/>
        <v>0.97979797979797967</v>
      </c>
      <c r="H474" s="645">
        <f t="shared" si="915"/>
        <v>0.98979591836734682</v>
      </c>
      <c r="I474" s="645">
        <f t="shared" si="915"/>
        <v>0.92142857142857149</v>
      </c>
      <c r="J474" s="645">
        <f t="shared" si="915"/>
        <v>0.90</v>
      </c>
      <c r="K474" s="645">
        <f t="shared" si="915"/>
        <v>0.86046511627906941</v>
      </c>
      <c r="L474" s="1425">
        <f t="shared" si="915"/>
        <v>0.90892857142857142</v>
      </c>
      <c r="M474" s="645">
        <f t="shared" si="915"/>
        <v>0.92441860465116288</v>
      </c>
      <c r="N474" s="645">
        <f t="shared" si="915"/>
        <v>0.87982832618025753</v>
      </c>
      <c r="O474" s="645">
        <f t="shared" si="915"/>
        <v>0.88311688311688297</v>
      </c>
      <c r="P474" s="645">
        <f t="shared" si="915"/>
        <v>0.91189427312775362</v>
      </c>
      <c r="Q474" s="1425">
        <f t="shared" si="915"/>
        <v>0.89803012746234068</v>
      </c>
      <c r="R474" s="645">
        <f t="shared" si="915"/>
        <v>0.8640000000000001</v>
      </c>
      <c r="S474" s="645">
        <f t="shared" si="915"/>
        <v>0.89433962264150946</v>
      </c>
      <c r="T474" s="645">
        <f t="shared" si="915"/>
        <v>0.8854961832061069</v>
      </c>
      <c r="U474" s="645">
        <f t="shared" si="915"/>
        <v>0.91796875000000022</v>
      </c>
      <c r="V474" s="1425">
        <f t="shared" si="915"/>
        <v>0.89060987415295256</v>
      </c>
      <c r="W474" s="645">
        <f t="shared" si="915"/>
        <v>0.90877192982456134</v>
      </c>
      <c r="X474" s="645">
        <f t="shared" si="915"/>
        <v>0.82568807339449535</v>
      </c>
      <c r="Y474" s="645">
        <f t="shared" si="915"/>
        <v>0.86786786786786785</v>
      </c>
      <c r="Z474" s="645">
        <f t="shared" si="915"/>
        <v>0.85758513931888558</v>
      </c>
      <c r="AA474" s="1425">
        <f t="shared" si="915"/>
        <v>0.86356466876971616</v>
      </c>
      <c r="AB474" s="645">
        <f t="shared" si="915"/>
        <v>0.85672514619883033</v>
      </c>
      <c r="AC474" s="645">
        <f t="shared" si="915"/>
        <v>0.86247086247086246</v>
      </c>
      <c r="AD474" s="645">
        <f t="shared" si="915"/>
        <v>0.84235294117647053</v>
      </c>
      <c r="AE474" s="645">
        <f t="shared" si="915"/>
        <v>0.82262210796915158</v>
      </c>
      <c r="AF474" s="1425">
        <f t="shared" si="915"/>
        <v>0.84605678233438486</v>
      </c>
      <c r="AG474" s="645">
        <f t="shared" si="915"/>
        <v>0.89436619718309862</v>
      </c>
      <c r="AH474" s="645">
        <f t="shared" si="915"/>
        <v>0.90599999999999992</v>
      </c>
      <c r="AI474" s="645">
        <f t="shared" si="915"/>
        <v>0.94563106796116514</v>
      </c>
      <c r="AJ474" s="645">
        <f t="shared" si="915"/>
        <v>0.91944990176817243</v>
      </c>
      <c r="AK474" s="1425">
        <f t="shared" si="915"/>
        <v>0.91743589743589748</v>
      </c>
      <c r="AL474" s="645">
        <f t="shared" si="915"/>
        <v>0.9205426356589147</v>
      </c>
      <c r="AM474" s="645">
        <f t="shared" si="915"/>
        <v>0.89491525423728813</v>
      </c>
      <c r="AN474" s="645">
        <f t="shared" si="915"/>
        <v>0.92517006802721091</v>
      </c>
      <c r="AO474" s="645">
        <f t="shared" si="915"/>
        <v>0.89122807017543837</v>
      </c>
      <c r="AP474" s="1425">
        <f t="shared" si="915"/>
        <v>0.90768551236749118</v>
      </c>
      <c r="AQ474" s="645">
        <f t="shared" si="915"/>
        <v>0.91635687732342008</v>
      </c>
      <c r="AR474" s="645">
        <f t="shared" si="915"/>
        <v>0.91140939597315429</v>
      </c>
      <c r="AS474" s="645">
        <f t="shared" si="915"/>
        <v>0.98644986449864502</v>
      </c>
      <c r="AT474" s="645">
        <f t="shared" si="915"/>
        <v>0.90620490620490701</v>
      </c>
      <c r="AU474" s="1425">
        <f t="shared" si="915"/>
        <v>0.93146647015475326</v>
      </c>
      <c r="AV474" s="645">
        <f t="shared" si="916" ref="AV474:BA474">AV473/AV465</f>
        <v>0.93353028064992616</v>
      </c>
      <c r="AW474" s="645">
        <f t="shared" si="916"/>
        <v>0.94257178526841423</v>
      </c>
      <c r="AX474" s="645">
        <f t="shared" si="916"/>
        <v>1.0012091898428053</v>
      </c>
      <c r="AY474" s="645">
        <f t="shared" si="916"/>
        <v>1.0930232558139532</v>
      </c>
      <c r="AZ474" s="1425">
        <f t="shared" si="916"/>
        <v>0.99131306381556961</v>
      </c>
      <c r="BA474" s="645">
        <f t="shared" si="916"/>
        <v>1.1351724137931034</v>
      </c>
      <c r="BB474" s="645">
        <f t="shared" si="917" ref="BB474:BG474">BB473/BB465</f>
        <v>1.1185185185185187</v>
      </c>
      <c r="BC474" s="645">
        <f t="shared" si="917"/>
        <v>1.1265356265356266</v>
      </c>
      <c r="BD474" s="645">
        <f t="shared" si="917"/>
        <v>1.1223404255319143</v>
      </c>
      <c r="BE474" s="1425">
        <f t="shared" si="917"/>
        <v>1.1254434053531117</v>
      </c>
      <c r="BF474" s="645">
        <f t="shared" si="917"/>
        <v>1.0938242280285035</v>
      </c>
      <c r="BG474" s="645">
        <f t="shared" si="917"/>
        <v>1.0752587017873942</v>
      </c>
      <c r="BH474" s="828">
        <f>BH473/BH465</f>
        <v>1.0801364023870419</v>
      </c>
      <c r="BI474" s="1261">
        <v>0.95</v>
      </c>
      <c r="BJ474" s="1426">
        <f>BJ473/BJ465</f>
        <v>1.055207363739787</v>
      </c>
      <c r="BK474" s="1261">
        <v>0.99</v>
      </c>
      <c r="BL474" s="1261">
        <v>0.95</v>
      </c>
      <c r="BM474" s="1261">
        <v>0.95</v>
      </c>
      <c r="BN474" s="1261">
        <v>0.95</v>
      </c>
      <c r="BO474" s="1426">
        <f>BO473/BO465</f>
        <v>0.95870824283793565</v>
      </c>
      <c r="BP474" s="1427">
        <v>0.95</v>
      </c>
      <c r="BQ474" s="1427">
        <v>0.95</v>
      </c>
      <c r="BR474" s="1428">
        <v>0.95</v>
      </c>
      <c r="BS474" s="648"/>
    </row>
    <row r="475" spans="1:71" s="665" customFormat="1" ht="15" collapsed="1">
      <c r="A475" s="999"/>
      <c r="B475" s="308"/>
      <c r="C475" s="1351"/>
      <c r="D475" s="1351"/>
      <c r="E475" s="1351"/>
      <c r="F475" s="1351"/>
      <c r="G475" s="1351"/>
      <c r="H475" s="1047"/>
      <c r="I475" s="1047"/>
      <c r="J475" s="1047"/>
      <c r="K475" s="1047"/>
      <c r="L475" s="1351"/>
      <c r="M475" s="1047"/>
      <c r="N475" s="1047"/>
      <c r="O475" s="1047"/>
      <c r="P475" s="1047"/>
      <c r="Q475" s="1351"/>
      <c r="R475" s="1047"/>
      <c r="S475" s="1047"/>
      <c r="T475" s="1047"/>
      <c r="U475" s="1047"/>
      <c r="V475" s="1351"/>
      <c r="W475" s="1047"/>
      <c r="X475" s="1047"/>
      <c r="Y475" s="1047"/>
      <c r="Z475" s="1047"/>
      <c r="AA475" s="1351"/>
      <c r="AB475" s="1047"/>
      <c r="AC475" s="1047"/>
      <c r="AD475" s="1047"/>
      <c r="AE475" s="1047"/>
      <c r="AF475" s="1351"/>
      <c r="AG475" s="1047"/>
      <c r="AH475" s="1047"/>
      <c r="AI475" s="1047"/>
      <c r="AJ475" s="1047"/>
      <c r="AK475" s="1351"/>
      <c r="AL475" s="1047"/>
      <c r="AM475" s="1047"/>
      <c r="AN475" s="1047"/>
      <c r="AO475" s="1047"/>
      <c r="AP475" s="1351"/>
      <c r="AQ475" s="1047"/>
      <c r="AR475" s="1047"/>
      <c r="AS475" s="1047"/>
      <c r="AT475" s="1047"/>
      <c r="AU475" s="1351"/>
      <c r="AV475" s="1047"/>
      <c r="AW475" s="1047"/>
      <c r="AX475" s="1047"/>
      <c r="AY475" s="1047"/>
      <c r="AZ475" s="1351"/>
      <c r="BA475" s="1047"/>
      <c r="BB475" s="1047"/>
      <c r="BC475" s="1047"/>
      <c r="BD475" s="1047"/>
      <c r="BE475" s="1351"/>
      <c r="BF475" s="1047"/>
      <c r="BG475" s="1047"/>
      <c r="BH475" s="1048"/>
      <c r="BI475" s="1044"/>
      <c r="BJ475" s="1350"/>
      <c r="BK475" s="1044"/>
      <c r="BL475" s="1044"/>
      <c r="BM475" s="1044"/>
      <c r="BN475" s="1044"/>
      <c r="BO475" s="1350"/>
      <c r="BP475" s="1351"/>
      <c r="BQ475" s="1351"/>
      <c r="BR475" s="1350"/>
      <c r="BS475" s="648"/>
    </row>
    <row r="476" spans="1:71" s="668" customFormat="1" ht="15">
      <c r="A476" s="991" t="s">
        <v>662</v>
      </c>
      <c r="B476" s="991"/>
      <c r="C476" s="1035"/>
      <c r="D476" s="1035"/>
      <c r="E476" s="1035"/>
      <c r="F476" s="1035"/>
      <c r="G476" s="1035"/>
      <c r="H476" s="1035"/>
      <c r="I476" s="1035"/>
      <c r="J476" s="1035"/>
      <c r="K476" s="1035"/>
      <c r="L476" s="1035"/>
      <c r="M476" s="1035"/>
      <c r="N476" s="1035"/>
      <c r="O476" s="1035"/>
      <c r="P476" s="1035"/>
      <c r="Q476" s="1035"/>
      <c r="R476" s="1035"/>
      <c r="S476" s="1035"/>
      <c r="T476" s="1035"/>
      <c r="U476" s="1035"/>
      <c r="V476" s="1035"/>
      <c r="W476" s="1035"/>
      <c r="X476" s="1035"/>
      <c r="Y476" s="1035"/>
      <c r="Z476" s="1035"/>
      <c r="AA476" s="1035"/>
      <c r="AB476" s="1035"/>
      <c r="AC476" s="1035"/>
      <c r="AD476" s="1035"/>
      <c r="AE476" s="1035"/>
      <c r="AF476" s="1035"/>
      <c r="AG476" s="1035"/>
      <c r="AH476" s="1035"/>
      <c r="AI476" s="1035"/>
      <c r="AJ476" s="1035"/>
      <c r="AK476" s="1035"/>
      <c r="AL476" s="1035"/>
      <c r="AM476" s="1035"/>
      <c r="AN476" s="1035"/>
      <c r="AO476" s="1035"/>
      <c r="AP476" s="1035"/>
      <c r="AQ476" s="1035"/>
      <c r="AR476" s="1035"/>
      <c r="AS476" s="1035"/>
      <c r="AT476" s="1035"/>
      <c r="AU476" s="1035"/>
      <c r="AV476" s="1035"/>
      <c r="AW476" s="1035"/>
      <c r="AX476" s="1035"/>
      <c r="AY476" s="1035"/>
      <c r="AZ476" s="1035"/>
      <c r="BA476" s="1035"/>
      <c r="BB476" s="1035"/>
      <c r="BC476" s="1035"/>
      <c r="BD476" s="1035"/>
      <c r="BE476" s="1035"/>
      <c r="BF476" s="1035"/>
      <c r="BG476" s="1035"/>
      <c r="BH476" s="1036"/>
      <c r="BI476" s="1037"/>
      <c r="BJ476" s="1037"/>
      <c r="BK476" s="1037"/>
      <c r="BL476" s="1037"/>
      <c r="BM476" s="1037"/>
      <c r="BN476" s="1037"/>
      <c r="BO476" s="1037"/>
      <c r="BP476" s="1035"/>
      <c r="BQ476" s="1035"/>
      <c r="BR476" s="1037"/>
      <c r="BS476" s="648"/>
    </row>
    <row r="477" spans="1:71" s="665" customFormat="1" ht="15">
      <c r="A477" s="999" t="str">
        <f>A236</f>
        <v>Total Net Earned Premiums, mm</v>
      </c>
      <c r="B477" s="308"/>
      <c r="C477" s="1351">
        <f t="shared" si="918" ref="C477:AH477">C236</f>
        <v>14012.80</v>
      </c>
      <c r="D477" s="1351">
        <f t="shared" si="918"/>
        <v>14314.80</v>
      </c>
      <c r="E477" s="1351">
        <f t="shared" si="918"/>
        <v>14902.80</v>
      </c>
      <c r="F477" s="1351">
        <f t="shared" si="918"/>
        <v>16017.999999999998</v>
      </c>
      <c r="G477" s="1351">
        <f t="shared" si="918"/>
        <v>17103.40</v>
      </c>
      <c r="H477" s="1047">
        <f t="shared" si="918"/>
        <v>4402.2999999999993</v>
      </c>
      <c r="I477" s="1047">
        <f t="shared" si="918"/>
        <v>4513.50</v>
      </c>
      <c r="J477" s="1047">
        <f t="shared" si="918"/>
        <v>4540.1000000000004</v>
      </c>
      <c r="K477" s="1047">
        <f t="shared" si="918"/>
        <v>4942.6000000000004</v>
      </c>
      <c r="L477" s="1351">
        <f t="shared" si="918"/>
        <v>18398.50</v>
      </c>
      <c r="M477" s="1047">
        <f t="shared" si="918"/>
        <v>4666.2999999999993</v>
      </c>
      <c r="N477" s="1047">
        <f t="shared" si="918"/>
        <v>4995.80</v>
      </c>
      <c r="O477" s="1047">
        <f t="shared" si="918"/>
        <v>5070.6000000000004</v>
      </c>
      <c r="P477" s="1047">
        <f t="shared" si="918"/>
        <v>5166.4000000000005</v>
      </c>
      <c r="Q477" s="1351">
        <f t="shared" si="918"/>
        <v>19899.099999999999</v>
      </c>
      <c r="R477" s="1047">
        <f t="shared" si="918"/>
        <v>5317.40</v>
      </c>
      <c r="S477" s="1047">
        <f t="shared" si="918"/>
        <v>5561.80</v>
      </c>
      <c r="T477" s="1047">
        <f t="shared" si="918"/>
        <v>5723.40</v>
      </c>
      <c r="U477" s="1047">
        <f t="shared" si="918"/>
        <v>5871.40</v>
      </c>
      <c r="V477" s="1351">
        <f t="shared" si="918"/>
        <v>22474</v>
      </c>
      <c r="W477" s="1047">
        <f t="shared" si="918"/>
        <v>6026.70</v>
      </c>
      <c r="X477" s="1047">
        <f t="shared" si="918"/>
        <v>6313.30</v>
      </c>
      <c r="Y477" s="1047">
        <f t="shared" si="918"/>
        <v>6544</v>
      </c>
      <c r="Z477" s="1047">
        <f t="shared" si="918"/>
        <v>6845.90</v>
      </c>
      <c r="AA477" s="1351">
        <f t="shared" si="918"/>
        <v>25729.900000000001</v>
      </c>
      <c r="AB477" s="1047">
        <f t="shared" si="918"/>
        <v>7174.0000000000009</v>
      </c>
      <c r="AC477" s="1047">
        <f t="shared" si="918"/>
        <v>7634.20</v>
      </c>
      <c r="AD477" s="1047">
        <f t="shared" si="918"/>
        <v>7930.50</v>
      </c>
      <c r="AE477" s="1047">
        <f t="shared" si="918"/>
        <v>8194.60</v>
      </c>
      <c r="AF477" s="1351">
        <f t="shared" si="918"/>
        <v>30933.300000000003</v>
      </c>
      <c r="AG477" s="1047">
        <f t="shared" si="918"/>
        <v>8459.7999999999993</v>
      </c>
      <c r="AH477" s="1047">
        <f t="shared" si="918"/>
        <v>8824.7000000000007</v>
      </c>
      <c r="AI477" s="1047">
        <f t="shared" si="919" ref="AI477:AU477">AI236</f>
        <v>9012.1999999999989</v>
      </c>
      <c r="AJ477" s="1047">
        <f t="shared" si="919"/>
        <v>9895.7000000000007</v>
      </c>
      <c r="AK477" s="1351">
        <f t="shared" si="919"/>
        <v>36192.40</v>
      </c>
      <c r="AL477" s="1047">
        <f t="shared" si="919"/>
        <v>9430.7000000000007</v>
      </c>
      <c r="AM477" s="1047">
        <f t="shared" si="919"/>
        <v>9648.60</v>
      </c>
      <c r="AN477" s="1047">
        <f t="shared" si="919"/>
        <v>9973.4999999999982</v>
      </c>
      <c r="AO477" s="1047">
        <f t="shared" si="919"/>
        <v>10208.800000000001</v>
      </c>
      <c r="AP477" s="1351">
        <f t="shared" si="919"/>
        <v>39261.60</v>
      </c>
      <c r="AQ477" s="1047">
        <f t="shared" si="919"/>
        <v>10420.199999999999</v>
      </c>
      <c r="AR477" s="1047">
        <f t="shared" si="919"/>
        <v>10982.299999999999</v>
      </c>
      <c r="AS477" s="1047">
        <f t="shared" si="919"/>
        <v>11364.799999999997</v>
      </c>
      <c r="AT477" s="1047">
        <f t="shared" si="919"/>
        <v>11601.40</v>
      </c>
      <c r="AU477" s="1351">
        <f t="shared" si="919"/>
        <v>44368.699999999997</v>
      </c>
      <c r="AV477" s="1047">
        <f t="shared" si="920" ref="AV477:AZ477">AV236</f>
        <v>11802.900000000003</v>
      </c>
      <c r="AW477" s="1047">
        <f t="shared" si="920"/>
        <v>12147.90</v>
      </c>
      <c r="AX477" s="1047">
        <f t="shared" si="920"/>
        <v>12398.90</v>
      </c>
      <c r="AY477" s="1047">
        <f t="shared" si="920"/>
        <v>12891.500000000002</v>
      </c>
      <c r="AZ477" s="1351">
        <f t="shared" si="920"/>
        <v>49241.199999999997</v>
      </c>
      <c r="BA477" s="1047">
        <f t="shared" si="921" ref="BA477:BR477">BA236</f>
        <v>13533.10</v>
      </c>
      <c r="BB477" s="1047">
        <f t="shared" si="921"/>
        <v>14464.40</v>
      </c>
      <c r="BC477" s="1047">
        <f t="shared" si="921"/>
        <v>14894.299999999999</v>
      </c>
      <c r="BD477" s="1047">
        <f t="shared" si="921"/>
        <v>15772.600000000004</v>
      </c>
      <c r="BE477" s="1351">
        <f t="shared" si="921"/>
        <v>58664.400000000001</v>
      </c>
      <c r="BF477" s="1047">
        <f>BF236</f>
        <v>16148.60</v>
      </c>
      <c r="BG477" s="1047">
        <f>BG236</f>
        <v>17209.500000000004</v>
      </c>
      <c r="BH477" s="1048">
        <f>BH236</f>
        <v>18296.700000000001</v>
      </c>
      <c r="BI477" s="1044">
        <f t="shared" si="921"/>
        <v>17559.301553150228</v>
      </c>
      <c r="BJ477" s="1350">
        <f t="shared" si="921"/>
        <v>69214.101553150234</v>
      </c>
      <c r="BK477" s="1044">
        <f t="shared" si="921"/>
        <v>21442.044134334246</v>
      </c>
      <c r="BL477" s="1044">
        <f t="shared" si="921"/>
        <v>19683.62081517437</v>
      </c>
      <c r="BM477" s="1044">
        <f t="shared" si="921"/>
        <v>21013.268236616033</v>
      </c>
      <c r="BN477" s="1044">
        <f t="shared" si="921"/>
        <v>19779.357817031436</v>
      </c>
      <c r="BO477" s="1350">
        <f t="shared" si="921"/>
        <v>81918.291003156075</v>
      </c>
      <c r="BP477" s="1351">
        <f t="shared" si="921"/>
        <v>87742.953041527231</v>
      </c>
      <c r="BQ477" s="1351">
        <f t="shared" si="921"/>
        <v>91287.768344404933</v>
      </c>
      <c r="BR477" s="1350">
        <f t="shared" si="921"/>
        <v>94975.794185518884</v>
      </c>
      <c r="BS477" s="648"/>
    </row>
    <row r="478" spans="1:71" s="665" customFormat="1" ht="15">
      <c r="A478" s="999" t="str">
        <f>A457</f>
        <v>Investment income, mm</v>
      </c>
      <c r="B478" s="308"/>
      <c r="C478" s="1351">
        <f t="shared" si="922" ref="C478:AH478">C457</f>
        <v>507</v>
      </c>
      <c r="D478" s="1351">
        <f t="shared" si="922"/>
        <v>520.10</v>
      </c>
      <c r="E478" s="1351">
        <f t="shared" si="922"/>
        <v>480</v>
      </c>
      <c r="F478" s="1351">
        <f t="shared" si="922"/>
        <v>443</v>
      </c>
      <c r="G478" s="1351">
        <f t="shared" si="922"/>
        <v>421.99999999999994</v>
      </c>
      <c r="H478" s="1047">
        <f t="shared" si="922"/>
        <v>103.30</v>
      </c>
      <c r="I478" s="1047">
        <f t="shared" si="922"/>
        <v>99.20</v>
      </c>
      <c r="J478" s="1047">
        <f t="shared" si="922"/>
        <v>101.70000000000002</v>
      </c>
      <c r="K478" s="1047">
        <f t="shared" si="922"/>
        <v>104.19999999999999</v>
      </c>
      <c r="L478" s="1351">
        <f t="shared" si="922"/>
        <v>408.40</v>
      </c>
      <c r="M478" s="1047">
        <f t="shared" si="922"/>
        <v>105.09999999999999</v>
      </c>
      <c r="N478" s="1047">
        <f t="shared" si="922"/>
        <v>113.30000000000001</v>
      </c>
      <c r="O478" s="1047">
        <f t="shared" si="922"/>
        <v>117.50000000000001</v>
      </c>
      <c r="P478" s="1047">
        <f t="shared" si="922"/>
        <v>118.70000000000002</v>
      </c>
      <c r="Q478" s="1351">
        <f t="shared" si="922"/>
        <v>454.60</v>
      </c>
      <c r="R478" s="1047">
        <f t="shared" si="922"/>
        <v>118.79999999999998</v>
      </c>
      <c r="S478" s="1047">
        <f t="shared" si="922"/>
        <v>114.60000000000002</v>
      </c>
      <c r="T478" s="1047">
        <f t="shared" si="922"/>
        <v>119.29999999999998</v>
      </c>
      <c r="U478" s="1047">
        <f t="shared" si="922"/>
        <v>126.19999999999999</v>
      </c>
      <c r="V478" s="1351">
        <f t="shared" si="922"/>
        <v>478.90</v>
      </c>
      <c r="W478" s="1047">
        <f t="shared" si="922"/>
        <v>129.20000000000002</v>
      </c>
      <c r="X478" s="1047">
        <f t="shared" si="922"/>
        <v>138.79999999999998</v>
      </c>
      <c r="Y478" s="1047">
        <f t="shared" si="922"/>
        <v>142.90000000000001</v>
      </c>
      <c r="Z478" s="1047">
        <f t="shared" si="922"/>
        <v>152.20000000000002</v>
      </c>
      <c r="AA478" s="1351">
        <f t="shared" si="922"/>
        <v>563.10</v>
      </c>
      <c r="AB478" s="1047">
        <f t="shared" si="922"/>
        <v>166.30</v>
      </c>
      <c r="AC478" s="1047">
        <f t="shared" si="922"/>
        <v>192.10</v>
      </c>
      <c r="AD478" s="1047">
        <f t="shared" si="922"/>
        <v>218.10</v>
      </c>
      <c r="AE478" s="1047">
        <f t="shared" si="922"/>
        <v>244.00000000000006</v>
      </c>
      <c r="AF478" s="1351">
        <f t="shared" si="922"/>
        <v>820.50</v>
      </c>
      <c r="AG478" s="1047">
        <f t="shared" si="922"/>
        <v>252.89999999999995</v>
      </c>
      <c r="AH478" s="1047">
        <f t="shared" si="922"/>
        <v>261.30</v>
      </c>
      <c r="AI478" s="1047">
        <f t="shared" si="923" ref="AI478:AU478">AI457</f>
        <v>263</v>
      </c>
      <c r="AJ478" s="1047">
        <f t="shared" si="923"/>
        <v>264.79999999999995</v>
      </c>
      <c r="AK478" s="1351">
        <f t="shared" si="923"/>
        <v>1042</v>
      </c>
      <c r="AL478" s="1047">
        <f t="shared" si="923"/>
        <v>241.20</v>
      </c>
      <c r="AM478" s="1047">
        <f t="shared" si="923"/>
        <v>243.80</v>
      </c>
      <c r="AN478" s="1047">
        <f t="shared" si="923"/>
        <v>230.50000000000003</v>
      </c>
      <c r="AO478" s="1047">
        <f t="shared" si="923"/>
        <v>221.10000000000002</v>
      </c>
      <c r="AP478" s="1351">
        <f t="shared" si="923"/>
        <v>936.59999999999991</v>
      </c>
      <c r="AQ478" s="1047">
        <f t="shared" si="923"/>
        <v>220.20</v>
      </c>
      <c r="AR478" s="1047">
        <f t="shared" si="923"/>
        <v>210.70</v>
      </c>
      <c r="AS478" s="1047">
        <f t="shared" si="923"/>
        <v>208.90000000000003</v>
      </c>
      <c r="AT478" s="1047">
        <f t="shared" si="923"/>
        <v>221.10000000000002</v>
      </c>
      <c r="AU478" s="1351">
        <f t="shared" si="923"/>
        <v>860.90000000000009</v>
      </c>
      <c r="AV478" s="1047">
        <f t="shared" si="924" ref="AV478:AZ478">AV457</f>
        <v>242.20</v>
      </c>
      <c r="AW478" s="1047">
        <f t="shared" si="924"/>
        <v>292.40000000000003</v>
      </c>
      <c r="AX478" s="1047">
        <f t="shared" si="924"/>
        <v>333.60</v>
      </c>
      <c r="AY478" s="1047">
        <f t="shared" si="924"/>
        <v>392.10000000000008</v>
      </c>
      <c r="AZ478" s="1351">
        <f t="shared" si="924"/>
        <v>1260.30</v>
      </c>
      <c r="BA478" s="1047">
        <f t="shared" si="925" ref="BA478:BR478">BA457</f>
        <v>419.60</v>
      </c>
      <c r="BB478" s="1047">
        <f t="shared" si="925"/>
        <v>454.50</v>
      </c>
      <c r="BC478" s="1047">
        <f t="shared" si="925"/>
        <v>510.20</v>
      </c>
      <c r="BD478" s="1047">
        <f t="shared" si="925"/>
        <v>507.49999999999989</v>
      </c>
      <c r="BE478" s="1351">
        <f t="shared" si="925"/>
        <v>1891.80</v>
      </c>
      <c r="BF478" s="1047">
        <f>BF457</f>
        <v>617.60</v>
      </c>
      <c r="BG478" s="1047">
        <f>BG457</f>
        <v>684.99999999999989</v>
      </c>
      <c r="BH478" s="1048">
        <f>BH457</f>
        <v>739.49999999999989</v>
      </c>
      <c r="BI478" s="1044">
        <f t="shared" si="925"/>
        <v>524.44453736338801</v>
      </c>
      <c r="BJ478" s="1350">
        <f t="shared" si="925"/>
        <v>2566.5445373633879</v>
      </c>
      <c r="BK478" s="1044">
        <f t="shared" si="925"/>
        <v>490.63633982876723</v>
      </c>
      <c r="BL478" s="1044">
        <f t="shared" si="925"/>
        <v>508.67104675684942</v>
      </c>
      <c r="BM478" s="1044">
        <f t="shared" si="925"/>
        <v>552.36466216438362</v>
      </c>
      <c r="BN478" s="1044">
        <f t="shared" si="925"/>
        <v>552.17544029794522</v>
      </c>
      <c r="BO478" s="1350">
        <f t="shared" si="925"/>
        <v>2103.8474890479456</v>
      </c>
      <c r="BP478" s="1351">
        <f t="shared" si="925"/>
        <v>2140.4601123281254</v>
      </c>
      <c r="BQ478" s="1351">
        <f t="shared" si="925"/>
        <v>2247.4831179445314</v>
      </c>
      <c r="BR478" s="1350">
        <f t="shared" si="925"/>
        <v>2359.8572738417583</v>
      </c>
      <c r="BS478" s="648"/>
    </row>
    <row r="479" spans="1:71" s="665" customFormat="1" ht="15">
      <c r="A479" s="999" t="str">
        <f>A462</f>
        <v>Net Investment Gains, mm</v>
      </c>
      <c r="B479" s="308"/>
      <c r="C479" s="1351">
        <f t="shared" si="926" ref="C479:AH479">C462</f>
        <v>27.100000000000009</v>
      </c>
      <c r="D479" s="1351">
        <f t="shared" si="926"/>
        <v>96.10</v>
      </c>
      <c r="E479" s="1351">
        <f t="shared" si="926"/>
        <v>102.59999999999999</v>
      </c>
      <c r="F479" s="1351">
        <f t="shared" si="926"/>
        <v>306.80</v>
      </c>
      <c r="G479" s="1351">
        <f t="shared" si="926"/>
        <v>318.39999999999998</v>
      </c>
      <c r="H479" s="1047">
        <f t="shared" si="926"/>
        <v>119.40000000000001</v>
      </c>
      <c r="I479" s="1047">
        <f t="shared" si="926"/>
        <v>40.40</v>
      </c>
      <c r="J479" s="1047">
        <f t="shared" si="926"/>
        <v>38.199999999999996</v>
      </c>
      <c r="K479" s="1047">
        <f t="shared" si="926"/>
        <v>26.20</v>
      </c>
      <c r="L479" s="1351">
        <f t="shared" si="926"/>
        <v>224.20</v>
      </c>
      <c r="M479" s="1047">
        <f t="shared" si="926"/>
        <v>33</v>
      </c>
      <c r="N479" s="1047">
        <f t="shared" si="926"/>
        <v>76</v>
      </c>
      <c r="O479" s="1047">
        <f t="shared" si="926"/>
        <v>-15.80</v>
      </c>
      <c r="P479" s="1047">
        <f t="shared" si="926"/>
        <v>19.499999999999986</v>
      </c>
      <c r="Q479" s="1351">
        <f t="shared" si="926"/>
        <v>112.70</v>
      </c>
      <c r="R479" s="1047">
        <f t="shared" si="926"/>
        <v>17.40</v>
      </c>
      <c r="S479" s="1047">
        <f t="shared" si="926"/>
        <v>32.299999999999997</v>
      </c>
      <c r="T479" s="1047">
        <f t="shared" si="926"/>
        <v>-20.700000000000003</v>
      </c>
      <c r="U479" s="1047">
        <f t="shared" si="926"/>
        <v>22.100000000000005</v>
      </c>
      <c r="V479" s="1351">
        <f t="shared" si="926"/>
        <v>51.100000000000009</v>
      </c>
      <c r="W479" s="1047">
        <f t="shared" si="926"/>
        <v>51.90</v>
      </c>
      <c r="X479" s="1047">
        <f t="shared" si="926"/>
        <v>32.099999999999994</v>
      </c>
      <c r="Y479" s="1047">
        <f t="shared" si="926"/>
        <v>-24.70</v>
      </c>
      <c r="Z479" s="1047">
        <f t="shared" si="926"/>
        <v>-9.6999999999999993</v>
      </c>
      <c r="AA479" s="1351">
        <f t="shared" si="926"/>
        <v>49.599999999999994</v>
      </c>
      <c r="AB479" s="1047">
        <f t="shared" si="926"/>
        <v>-48.199999999999989</v>
      </c>
      <c r="AC479" s="1047">
        <f t="shared" si="926"/>
        <v>32.799999999999997</v>
      </c>
      <c r="AD479" s="1047">
        <f t="shared" si="926"/>
        <v>182.10</v>
      </c>
      <c r="AE479" s="1047">
        <f t="shared" si="926"/>
        <v>-572.20000000000005</v>
      </c>
      <c r="AF479" s="1351">
        <f t="shared" si="926"/>
        <v>-405.50</v>
      </c>
      <c r="AG479" s="1047">
        <f t="shared" si="926"/>
        <v>414.50</v>
      </c>
      <c r="AH479" s="1047">
        <f t="shared" si="926"/>
        <v>179.90</v>
      </c>
      <c r="AI479" s="1047">
        <f t="shared" si="927" ref="AI479:AU479">AI462</f>
        <v>65.400000000000006</v>
      </c>
      <c r="AJ479" s="1047">
        <f t="shared" si="927"/>
        <v>369.40</v>
      </c>
      <c r="AK479" s="1351">
        <f t="shared" si="927"/>
        <v>1029.20</v>
      </c>
      <c r="AL479" s="1047">
        <f t="shared" si="927"/>
        <v>-553.59999999999991</v>
      </c>
      <c r="AM479" s="1047">
        <f t="shared" si="927"/>
        <v>890.80</v>
      </c>
      <c r="AN479" s="1047">
        <f t="shared" si="927"/>
        <v>532.60</v>
      </c>
      <c r="AO479" s="1047">
        <f t="shared" si="927"/>
        <v>760.20</v>
      </c>
      <c r="AP479" s="1351">
        <f t="shared" si="927"/>
        <v>1630</v>
      </c>
      <c r="AQ479" s="1047">
        <f t="shared" si="927"/>
        <v>585.29999999999995</v>
      </c>
      <c r="AR479" s="1047">
        <f t="shared" si="927"/>
        <v>461.79999999999995</v>
      </c>
      <c r="AS479" s="1047">
        <f t="shared" si="927"/>
        <v>36.799999999999997</v>
      </c>
      <c r="AT479" s="1047">
        <f t="shared" si="927"/>
        <v>425.29999999999995</v>
      </c>
      <c r="AU479" s="1351">
        <f t="shared" si="927"/>
        <v>1509.1999999999998</v>
      </c>
      <c r="AV479" s="1047">
        <f t="shared" si="928" ref="AV479:AZ479">AV462</f>
        <v>-445.30</v>
      </c>
      <c r="AW479" s="1047">
        <f t="shared" si="928"/>
        <v>-1177.7000000000003</v>
      </c>
      <c r="AX479" s="1047">
        <f t="shared" si="928"/>
        <v>-216.39999999999998</v>
      </c>
      <c r="AY479" s="1047">
        <f t="shared" si="928"/>
        <v>-72.799999999999727</v>
      </c>
      <c r="AZ479" s="1351">
        <f t="shared" si="928"/>
        <v>-1912.1999999999998</v>
      </c>
      <c r="BA479" s="1047">
        <f t="shared" si="929" ref="BA479:BR479">BA462</f>
        <v>71.800000000000011</v>
      </c>
      <c r="BB479" s="1047">
        <f t="shared" si="929"/>
        <v>126.90000000000001</v>
      </c>
      <c r="BC479" s="1047">
        <f t="shared" si="929"/>
        <v>-149</v>
      </c>
      <c r="BD479" s="1047">
        <f t="shared" si="929"/>
        <v>303.40000000000003</v>
      </c>
      <c r="BE479" s="1351">
        <f t="shared" si="929"/>
        <v>353.10</v>
      </c>
      <c r="BF479" s="1047">
        <f>BF462</f>
        <v>155.60000000000002</v>
      </c>
      <c r="BG479" s="1047">
        <f>BG462</f>
        <v>-126.30000000000001</v>
      </c>
      <c r="BH479" s="1048">
        <f>BH462</f>
        <v>287.39999999999998</v>
      </c>
      <c r="BI479" s="1044">
        <f t="shared" si="929"/>
        <v>381.84691748633884</v>
      </c>
      <c r="BJ479" s="1350">
        <f t="shared" si="929"/>
        <v>698.54691748633877</v>
      </c>
      <c r="BK479" s="1044">
        <f t="shared" si="929"/>
        <v>554.17374431506846</v>
      </c>
      <c r="BL479" s="1044">
        <f t="shared" si="929"/>
        <v>370.14106643835623</v>
      </c>
      <c r="BM479" s="1044">
        <f t="shared" si="929"/>
        <v>401.63157041095894</v>
      </c>
      <c r="BN479" s="1044">
        <f t="shared" si="929"/>
        <v>402.03772709589038</v>
      </c>
      <c r="BO479" s="1350">
        <f t="shared" si="929"/>
        <v>1727.9841082602741</v>
      </c>
      <c r="BP479" s="1351">
        <f t="shared" si="929"/>
        <v>1560.7554716250004</v>
      </c>
      <c r="BQ479" s="1351">
        <f t="shared" si="929"/>
        <v>1638.7932452062503</v>
      </c>
      <c r="BR479" s="1350">
        <f t="shared" si="929"/>
        <v>1720.7329074665629</v>
      </c>
      <c r="BS479" s="648"/>
    </row>
    <row r="480" spans="1:71" s="665" customFormat="1" ht="15">
      <c r="A480" s="999" t="str">
        <f>A467</f>
        <v>Fees and Other Revenue, mm</v>
      </c>
      <c r="B480" s="308"/>
      <c r="C480" s="1351">
        <f t="shared" si="930" ref="C480:AH480">C467</f>
        <v>0</v>
      </c>
      <c r="D480" s="1351">
        <f t="shared" si="930"/>
        <v>252.20</v>
      </c>
      <c r="E480" s="1351">
        <f t="shared" si="930"/>
        <v>266.50</v>
      </c>
      <c r="F480" s="1351">
        <f t="shared" si="930"/>
        <v>281.80</v>
      </c>
      <c r="G480" s="1351">
        <f t="shared" si="930"/>
        <v>291.80</v>
      </c>
      <c r="H480" s="1047">
        <f t="shared" si="930"/>
        <v>72.80</v>
      </c>
      <c r="I480" s="1047">
        <f t="shared" si="930"/>
        <v>74.400000000000006</v>
      </c>
      <c r="J480" s="1047">
        <f t="shared" si="930"/>
        <v>75.900000000000006</v>
      </c>
      <c r="K480" s="1047">
        <f t="shared" si="930"/>
        <v>86.000000000000028</v>
      </c>
      <c r="L480" s="1351">
        <f t="shared" si="930"/>
        <v>309.10000000000002</v>
      </c>
      <c r="M480" s="1047">
        <f t="shared" si="930"/>
        <v>73.70</v>
      </c>
      <c r="N480" s="1047">
        <f t="shared" si="930"/>
        <v>74.900000000000006</v>
      </c>
      <c r="O480" s="1047">
        <f t="shared" si="930"/>
        <v>79.30</v>
      </c>
      <c r="P480" s="1047">
        <f t="shared" si="930"/>
        <v>74.099999999999966</v>
      </c>
      <c r="Q480" s="1351">
        <f t="shared" si="930"/>
        <v>302</v>
      </c>
      <c r="R480" s="1047">
        <f t="shared" si="930"/>
        <v>78.900000000000006</v>
      </c>
      <c r="S480" s="1047">
        <f t="shared" si="930"/>
        <v>82.50</v>
      </c>
      <c r="T480" s="1047">
        <f t="shared" si="930"/>
        <v>86.80</v>
      </c>
      <c r="U480" s="1047">
        <f t="shared" si="930"/>
        <v>84.300000000000011</v>
      </c>
      <c r="V480" s="1351">
        <f t="shared" si="930"/>
        <v>332.50</v>
      </c>
      <c r="W480" s="1047">
        <f t="shared" si="930"/>
        <v>85.20</v>
      </c>
      <c r="X480" s="1047">
        <f t="shared" si="930"/>
        <v>88.80</v>
      </c>
      <c r="Y480" s="1047">
        <f t="shared" si="930"/>
        <v>96.30</v>
      </c>
      <c r="Z480" s="1047">
        <f t="shared" si="930"/>
        <v>100.30000000000001</v>
      </c>
      <c r="AA480" s="1351">
        <f t="shared" si="930"/>
        <v>370.60</v>
      </c>
      <c r="AB480" s="1047">
        <f t="shared" si="930"/>
        <v>103.80</v>
      </c>
      <c r="AC480" s="1047">
        <f t="shared" si="930"/>
        <v>116</v>
      </c>
      <c r="AD480" s="1047">
        <f t="shared" si="930"/>
        <v>122.59999999999999</v>
      </c>
      <c r="AE480" s="1047">
        <f t="shared" si="930"/>
        <v>129.80000000000001</v>
      </c>
      <c r="AF480" s="1351">
        <f t="shared" si="930"/>
        <v>472.20</v>
      </c>
      <c r="AG480" s="1047">
        <f t="shared" si="930"/>
        <v>130.19999999999999</v>
      </c>
      <c r="AH480" s="1047">
        <f t="shared" si="930"/>
        <v>134.80000000000001</v>
      </c>
      <c r="AI480" s="1047">
        <f t="shared" si="931" ref="AI480:AU480">AI467</f>
        <v>138.40000000000001</v>
      </c>
      <c r="AJ480" s="1047">
        <f t="shared" si="931"/>
        <v>160.30000000000007</v>
      </c>
      <c r="AK480" s="1351">
        <f t="shared" si="931"/>
        <v>563.70000000000005</v>
      </c>
      <c r="AL480" s="1047">
        <f t="shared" si="931"/>
        <v>153.50</v>
      </c>
      <c r="AM480" s="1047">
        <f t="shared" si="931"/>
        <v>129.50</v>
      </c>
      <c r="AN480" s="1047">
        <f t="shared" si="931"/>
        <v>151.80000000000001</v>
      </c>
      <c r="AO480" s="1047">
        <f t="shared" si="931"/>
        <v>168.70</v>
      </c>
      <c r="AP480" s="1351">
        <f t="shared" si="931"/>
        <v>603.50</v>
      </c>
      <c r="AQ480" s="1047">
        <f t="shared" si="931"/>
        <v>165.70</v>
      </c>
      <c r="AR480" s="1047">
        <f t="shared" si="931"/>
        <v>176.20</v>
      </c>
      <c r="AS480" s="1047">
        <f t="shared" si="931"/>
        <v>174.90</v>
      </c>
      <c r="AT480" s="1047">
        <f t="shared" si="931"/>
        <v>175</v>
      </c>
      <c r="AU480" s="1351">
        <f t="shared" si="931"/>
        <v>691.80</v>
      </c>
      <c r="AV480" s="1047">
        <f t="shared" si="932" ref="AV480:AZ480">AV467</f>
        <v>174</v>
      </c>
      <c r="AW480" s="1047">
        <f t="shared" si="932"/>
        <v>176.50</v>
      </c>
      <c r="AX480" s="1047">
        <f t="shared" si="932"/>
        <v>181.40</v>
      </c>
      <c r="AY480" s="1047">
        <f t="shared" si="932"/>
        <v>190.20000000000005</v>
      </c>
      <c r="AZ480" s="1351">
        <f t="shared" si="932"/>
        <v>722.10</v>
      </c>
      <c r="BA480" s="1047">
        <f t="shared" si="933" ref="BA480:BR480">BA467</f>
        <v>206.20</v>
      </c>
      <c r="BB480" s="1047">
        <f t="shared" si="933"/>
        <v>226.70</v>
      </c>
      <c r="BC480" s="1047">
        <f t="shared" si="933"/>
        <v>223.70</v>
      </c>
      <c r="BD480" s="1047">
        <f t="shared" si="933"/>
        <v>232.50000000000011</v>
      </c>
      <c r="BE480" s="1351">
        <f t="shared" si="933"/>
        <v>889.10</v>
      </c>
      <c r="BF480" s="1047">
        <f>BF467</f>
        <v>236.50</v>
      </c>
      <c r="BG480" s="1047">
        <f>BG467</f>
        <v>259.80</v>
      </c>
      <c r="BH480" s="1048">
        <f>BH467</f>
        <v>278.09999999999991</v>
      </c>
      <c r="BI480" s="1044">
        <f t="shared" si="933"/>
        <v>244.12500000000014</v>
      </c>
      <c r="BJ480" s="1350">
        <f t="shared" si="933"/>
        <v>1018.525</v>
      </c>
      <c r="BK480" s="1044">
        <f t="shared" si="933"/>
        <v>248.32500000000002</v>
      </c>
      <c r="BL480" s="1044">
        <f t="shared" si="933"/>
        <v>272.79000000000002</v>
      </c>
      <c r="BM480" s="1044">
        <f t="shared" si="933"/>
        <v>292.00499999999994</v>
      </c>
      <c r="BN480" s="1044">
        <f t="shared" si="933"/>
        <v>256.33125000000018</v>
      </c>
      <c r="BO480" s="1350">
        <f t="shared" si="933"/>
        <v>1069.4512500000001</v>
      </c>
      <c r="BP480" s="1351">
        <f t="shared" si="933"/>
        <v>1122.9238125000002</v>
      </c>
      <c r="BQ480" s="1351">
        <f t="shared" si="933"/>
        <v>1179.0700031250003</v>
      </c>
      <c r="BR480" s="1350">
        <f t="shared" si="933"/>
        <v>1238.0235032812504</v>
      </c>
      <c r="BS480" s="648"/>
    </row>
    <row r="481" spans="1:71" s="665" customFormat="1" ht="15">
      <c r="A481" s="371" t="str">
        <f>A465</f>
        <v>Service Revenues, mm</v>
      </c>
      <c r="B481" s="308"/>
      <c r="C481" s="1351">
        <f t="shared" si="934" ref="C481:AH481">C465</f>
        <v>16.70</v>
      </c>
      <c r="D481" s="1351">
        <f t="shared" si="934"/>
        <v>25.90</v>
      </c>
      <c r="E481" s="1351">
        <f t="shared" si="934"/>
        <v>22.80</v>
      </c>
      <c r="F481" s="1351">
        <f t="shared" si="934"/>
        <v>36.10</v>
      </c>
      <c r="G481" s="1351">
        <f t="shared" si="934"/>
        <v>39.60</v>
      </c>
      <c r="H481" s="1047">
        <f t="shared" si="934"/>
        <v>9.8000000000000007</v>
      </c>
      <c r="I481" s="1047">
        <f t="shared" si="934"/>
        <v>14</v>
      </c>
      <c r="J481" s="1047">
        <f t="shared" si="934"/>
        <v>15</v>
      </c>
      <c r="K481" s="1047">
        <f t="shared" si="934"/>
        <v>17.200000000000003</v>
      </c>
      <c r="L481" s="1351">
        <f t="shared" si="934"/>
        <v>56</v>
      </c>
      <c r="M481" s="1047">
        <f t="shared" si="934"/>
        <v>17.20</v>
      </c>
      <c r="N481" s="1047">
        <f t="shared" si="934"/>
        <v>23.30</v>
      </c>
      <c r="O481" s="1047">
        <f t="shared" si="934"/>
        <v>23.10</v>
      </c>
      <c r="P481" s="1047">
        <f t="shared" si="934"/>
        <v>22.699999999999996</v>
      </c>
      <c r="Q481" s="1351">
        <f t="shared" si="934"/>
        <v>86.30</v>
      </c>
      <c r="R481" s="1047">
        <f t="shared" si="934"/>
        <v>25</v>
      </c>
      <c r="S481" s="1047">
        <f t="shared" si="934"/>
        <v>26.50</v>
      </c>
      <c r="T481" s="1047">
        <f t="shared" si="934"/>
        <v>26.20</v>
      </c>
      <c r="U481" s="1047">
        <f t="shared" si="934"/>
        <v>25.599999999999994</v>
      </c>
      <c r="V481" s="1351">
        <f t="shared" si="934"/>
        <v>103.30</v>
      </c>
      <c r="W481" s="1047">
        <f t="shared" si="934"/>
        <v>28.50</v>
      </c>
      <c r="X481" s="1047">
        <f t="shared" si="934"/>
        <v>32.700000000000003</v>
      </c>
      <c r="Y481" s="1047">
        <f t="shared" si="934"/>
        <v>33.299999999999997</v>
      </c>
      <c r="Z481" s="1047">
        <f t="shared" si="934"/>
        <v>32.299999999999997</v>
      </c>
      <c r="AA481" s="1351">
        <f t="shared" si="934"/>
        <v>126.80</v>
      </c>
      <c r="AB481" s="1047">
        <f t="shared" si="934"/>
        <v>34.200000000000003</v>
      </c>
      <c r="AC481" s="1047">
        <f t="shared" si="934"/>
        <v>42.90</v>
      </c>
      <c r="AD481" s="1047">
        <f t="shared" si="934"/>
        <v>42.50</v>
      </c>
      <c r="AE481" s="1047">
        <f t="shared" si="934"/>
        <v>38.900000000000006</v>
      </c>
      <c r="AF481" s="1351">
        <f t="shared" si="934"/>
        <v>158.50</v>
      </c>
      <c r="AG481" s="1047">
        <f t="shared" si="934"/>
        <v>42.60</v>
      </c>
      <c r="AH481" s="1047">
        <f t="shared" si="934"/>
        <v>50</v>
      </c>
      <c r="AI481" s="1047">
        <f t="shared" si="935" ref="AI481:AU481">AI465</f>
        <v>51.50</v>
      </c>
      <c r="AJ481" s="1047">
        <f t="shared" si="935"/>
        <v>50.900000000000006</v>
      </c>
      <c r="AK481" s="1351">
        <f t="shared" si="935"/>
        <v>195</v>
      </c>
      <c r="AL481" s="1047">
        <f t="shared" si="935"/>
        <v>51.60</v>
      </c>
      <c r="AM481" s="1047">
        <f t="shared" si="935"/>
        <v>59</v>
      </c>
      <c r="AN481" s="1047">
        <f t="shared" si="935"/>
        <v>58.80</v>
      </c>
      <c r="AO481" s="1047">
        <f t="shared" si="935"/>
        <v>57.000000000000028</v>
      </c>
      <c r="AP481" s="1351">
        <f t="shared" si="935"/>
        <v>226.40</v>
      </c>
      <c r="AQ481" s="1047">
        <f t="shared" si="935"/>
        <v>53.80</v>
      </c>
      <c r="AR481" s="1047">
        <f t="shared" si="935"/>
        <v>74.500000000000014</v>
      </c>
      <c r="AS481" s="1047">
        <f t="shared" si="935"/>
        <v>73.80</v>
      </c>
      <c r="AT481" s="1047">
        <f t="shared" si="935"/>
        <v>69.299999999999955</v>
      </c>
      <c r="AU481" s="1351">
        <f t="shared" si="935"/>
        <v>271.39999999999998</v>
      </c>
      <c r="AV481" s="1047">
        <f t="shared" si="936" ref="AV481:AZ481">AV465</f>
        <v>67.70</v>
      </c>
      <c r="AW481" s="1047">
        <f t="shared" si="936"/>
        <v>80.100000000000009</v>
      </c>
      <c r="AX481" s="1047">
        <f t="shared" si="936"/>
        <v>82.70</v>
      </c>
      <c r="AY481" s="1047">
        <f t="shared" si="936"/>
        <v>68.800000000000011</v>
      </c>
      <c r="AZ481" s="1351">
        <f t="shared" si="936"/>
        <v>299.30</v>
      </c>
      <c r="BA481" s="1047">
        <f t="shared" si="937" ref="BA481:BR481">BA465</f>
        <v>72.50</v>
      </c>
      <c r="BB481" s="1047">
        <f t="shared" si="937"/>
        <v>81</v>
      </c>
      <c r="BC481" s="1047">
        <f t="shared" si="937"/>
        <v>81.400000000000006</v>
      </c>
      <c r="BD481" s="1047">
        <f t="shared" si="937"/>
        <v>75.200000000000017</v>
      </c>
      <c r="BE481" s="1351">
        <f t="shared" si="937"/>
        <v>310.10000000000002</v>
      </c>
      <c r="BF481" s="1047">
        <f>BF465</f>
        <v>84.20</v>
      </c>
      <c r="BG481" s="1047">
        <f>BG465</f>
        <v>106.30</v>
      </c>
      <c r="BH481" s="1048">
        <f>BH465</f>
        <v>117.30</v>
      </c>
      <c r="BI481" s="1044">
        <f t="shared" si="937"/>
        <v>78.960000000000022</v>
      </c>
      <c r="BJ481" s="1350">
        <f t="shared" si="937"/>
        <v>386.76000000000005</v>
      </c>
      <c r="BK481" s="1044">
        <f t="shared" si="937"/>
        <v>88.410000000000011</v>
      </c>
      <c r="BL481" s="1044">
        <f t="shared" si="937"/>
        <v>111.61499999999999</v>
      </c>
      <c r="BM481" s="1044">
        <f t="shared" si="937"/>
        <v>123.16500000000001</v>
      </c>
      <c r="BN481" s="1044">
        <f t="shared" si="937"/>
        <v>82.90800000000003</v>
      </c>
      <c r="BO481" s="1350">
        <f t="shared" si="937"/>
        <v>406.09800000000001</v>
      </c>
      <c r="BP481" s="1351">
        <f t="shared" si="937"/>
        <v>426.40290000000005</v>
      </c>
      <c r="BQ481" s="1351">
        <f t="shared" si="937"/>
        <v>447.72304500000007</v>
      </c>
      <c r="BR481" s="1350">
        <f t="shared" si="937"/>
        <v>470.10919725000008</v>
      </c>
      <c r="BS481" s="648"/>
    </row>
    <row r="482" spans="1:71" s="665" customFormat="1" ht="15">
      <c r="A482" s="999" t="str">
        <f>A469</f>
        <v>Gains (Losses) on Extinguishment of Debt, mm</v>
      </c>
      <c r="B482" s="308"/>
      <c r="C482" s="1351">
        <f t="shared" si="938" ref="C482:AH482">C469</f>
        <v>0</v>
      </c>
      <c r="D482" s="1351">
        <f t="shared" si="938"/>
        <v>6.40</v>
      </c>
      <c r="E482" s="1351">
        <f t="shared" si="938"/>
        <v>-0.10000000000000001</v>
      </c>
      <c r="F482" s="1351">
        <f t="shared" si="938"/>
        <v>-1.80</v>
      </c>
      <c r="G482" s="1351">
        <f t="shared" si="938"/>
        <v>-4.30</v>
      </c>
      <c r="H482" s="1047">
        <f t="shared" si="938"/>
        <v>0</v>
      </c>
      <c r="I482" s="1047">
        <f t="shared" si="938"/>
        <v>0</v>
      </c>
      <c r="J482" s="1047">
        <f t="shared" si="938"/>
        <v>-4.80</v>
      </c>
      <c r="K482" s="1047">
        <f t="shared" si="938"/>
        <v>0</v>
      </c>
      <c r="L482" s="1351">
        <f t="shared" si="938"/>
        <v>-4.80</v>
      </c>
      <c r="M482" s="1047">
        <f t="shared" si="938"/>
        <v>0</v>
      </c>
      <c r="N482" s="1047">
        <f t="shared" si="938"/>
        <v>0</v>
      </c>
      <c r="O482" s="1047">
        <f t="shared" si="938"/>
        <v>-0.90</v>
      </c>
      <c r="P482" s="1047">
        <f t="shared" si="938"/>
        <v>0</v>
      </c>
      <c r="Q482" s="1351">
        <f t="shared" si="938"/>
        <v>-0.90</v>
      </c>
      <c r="R482" s="1047">
        <f t="shared" si="938"/>
        <v>0</v>
      </c>
      <c r="S482" s="1047">
        <f t="shared" si="938"/>
        <v>1.60</v>
      </c>
      <c r="T482" s="1047">
        <f t="shared" si="938"/>
        <v>0</v>
      </c>
      <c r="U482" s="1047">
        <f t="shared" si="938"/>
        <v>0</v>
      </c>
      <c r="V482" s="1351">
        <f t="shared" si="938"/>
        <v>1.60</v>
      </c>
      <c r="W482" s="1047">
        <f t="shared" si="938"/>
        <v>0.20</v>
      </c>
      <c r="X482" s="1047">
        <f t="shared" si="938"/>
        <v>0</v>
      </c>
      <c r="Y482" s="1047">
        <f t="shared" si="938"/>
        <v>0</v>
      </c>
      <c r="Z482" s="1047">
        <f t="shared" si="938"/>
        <v>-1.20</v>
      </c>
      <c r="AA482" s="1351">
        <f t="shared" si="938"/>
        <v>-1</v>
      </c>
      <c r="AB482" s="1047">
        <f t="shared" si="938"/>
        <v>0</v>
      </c>
      <c r="AC482" s="1047">
        <f t="shared" si="938"/>
        <v>0</v>
      </c>
      <c r="AD482" s="1047">
        <f t="shared" si="938"/>
        <v>0</v>
      </c>
      <c r="AE482" s="1047">
        <f t="shared" si="938"/>
        <v>0</v>
      </c>
      <c r="AF482" s="1351">
        <f t="shared" si="938"/>
        <v>0</v>
      </c>
      <c r="AG482" s="1047">
        <f t="shared" si="938"/>
        <v>0</v>
      </c>
      <c r="AH482" s="1047">
        <f t="shared" si="938"/>
        <v>0</v>
      </c>
      <c r="AI482" s="1047">
        <f t="shared" si="939" ref="AI482:AU482">AI469</f>
        <v>0</v>
      </c>
      <c r="AJ482" s="1047">
        <f t="shared" si="939"/>
        <v>0</v>
      </c>
      <c r="AK482" s="1351">
        <f t="shared" si="939"/>
        <v>0</v>
      </c>
      <c r="AL482" s="1047">
        <f t="shared" si="939"/>
        <v>0</v>
      </c>
      <c r="AM482" s="1047">
        <f t="shared" si="939"/>
        <v>0</v>
      </c>
      <c r="AN482" s="1047">
        <f t="shared" si="939"/>
        <v>0</v>
      </c>
      <c r="AO482" s="1047">
        <f t="shared" si="939"/>
        <v>0</v>
      </c>
      <c r="AP482" s="1351">
        <f t="shared" si="939"/>
        <v>0</v>
      </c>
      <c r="AQ482" s="1047">
        <f t="shared" si="939"/>
        <v>0</v>
      </c>
      <c r="AR482" s="1047">
        <f t="shared" si="939"/>
        <v>0</v>
      </c>
      <c r="AS482" s="1047">
        <f t="shared" si="939"/>
        <v>0</v>
      </c>
      <c r="AT482" s="1047">
        <f t="shared" si="939"/>
        <v>0</v>
      </c>
      <c r="AU482" s="1351">
        <f t="shared" si="939"/>
        <v>0</v>
      </c>
      <c r="AV482" s="1047">
        <f t="shared" si="940" ref="AV482:AZ482">AV469</f>
        <v>0</v>
      </c>
      <c r="AW482" s="1047">
        <f t="shared" si="940"/>
        <v>0</v>
      </c>
      <c r="AX482" s="1047">
        <f t="shared" si="940"/>
        <v>0</v>
      </c>
      <c r="AY482" s="1047">
        <f t="shared" si="940"/>
        <v>0</v>
      </c>
      <c r="AZ482" s="1351">
        <f t="shared" si="940"/>
        <v>0</v>
      </c>
      <c r="BA482" s="1047">
        <f t="shared" si="941" ref="BA482:BR482">BA469</f>
        <v>0</v>
      </c>
      <c r="BB482" s="1047">
        <f t="shared" si="941"/>
        <v>0</v>
      </c>
      <c r="BC482" s="1047">
        <f t="shared" si="941"/>
        <v>0</v>
      </c>
      <c r="BD482" s="1047">
        <f t="shared" si="941"/>
        <v>0</v>
      </c>
      <c r="BE482" s="1351">
        <f t="shared" si="941"/>
        <v>0</v>
      </c>
      <c r="BF482" s="1047">
        <f>BF469</f>
        <v>0</v>
      </c>
      <c r="BG482" s="1047">
        <f>BG469</f>
        <v>0</v>
      </c>
      <c r="BH482" s="1048">
        <f>BH469</f>
        <v>0</v>
      </c>
      <c r="BI482" s="1044">
        <f t="shared" si="941"/>
        <v>0</v>
      </c>
      <c r="BJ482" s="1350">
        <f t="shared" si="941"/>
        <v>0</v>
      </c>
      <c r="BK482" s="1044">
        <f t="shared" si="941"/>
        <v>0</v>
      </c>
      <c r="BL482" s="1044">
        <f t="shared" si="941"/>
        <v>0</v>
      </c>
      <c r="BM482" s="1044">
        <f t="shared" si="941"/>
        <v>0</v>
      </c>
      <c r="BN482" s="1044">
        <f t="shared" si="941"/>
        <v>0</v>
      </c>
      <c r="BO482" s="1350">
        <f t="shared" si="941"/>
        <v>0</v>
      </c>
      <c r="BP482" s="1351">
        <f t="shared" si="941"/>
        <v>0</v>
      </c>
      <c r="BQ482" s="1351">
        <f t="shared" si="941"/>
        <v>0</v>
      </c>
      <c r="BR482" s="1350">
        <f t="shared" si="941"/>
        <v>0</v>
      </c>
      <c r="BS482" s="648"/>
    </row>
    <row r="483" spans="1:71" s="668" customFormat="1" ht="15">
      <c r="A483" s="475" t="s">
        <v>663</v>
      </c>
      <c r="B483" s="389"/>
      <c r="C483" s="1356">
        <f t="shared" si="942" ref="C483:AH483">C477+C478+C479+C481+C480+C482</f>
        <v>14563.600000000002</v>
      </c>
      <c r="D483" s="1356">
        <f t="shared" si="942"/>
        <v>15215.500000000002</v>
      </c>
      <c r="E483" s="1356">
        <f t="shared" si="942"/>
        <v>15774.60</v>
      </c>
      <c r="F483" s="1356">
        <f t="shared" si="942"/>
        <v>17083.899999999998</v>
      </c>
      <c r="G483" s="1356">
        <f t="shared" si="942"/>
        <v>18170.900000000001</v>
      </c>
      <c r="H483" s="1054">
        <f t="shared" si="942"/>
        <v>4707.5999999999995</v>
      </c>
      <c r="I483" s="1054">
        <f t="shared" si="942"/>
        <v>4741.4999999999991</v>
      </c>
      <c r="J483" s="1054">
        <f t="shared" si="942"/>
        <v>4766.0999999999995</v>
      </c>
      <c r="K483" s="1054">
        <f t="shared" si="942"/>
        <v>5176.20</v>
      </c>
      <c r="L483" s="1356">
        <f t="shared" si="942"/>
        <v>19391.40</v>
      </c>
      <c r="M483" s="1054">
        <f t="shared" si="942"/>
        <v>4895.2999999999993</v>
      </c>
      <c r="N483" s="1054">
        <f t="shared" si="942"/>
        <v>5283.30</v>
      </c>
      <c r="O483" s="1054">
        <f t="shared" si="942"/>
        <v>5273.8000000000011</v>
      </c>
      <c r="P483" s="1054">
        <f t="shared" si="942"/>
        <v>5401.40</v>
      </c>
      <c r="Q483" s="1356">
        <f t="shared" si="942"/>
        <v>20853.799999999996</v>
      </c>
      <c r="R483" s="1054">
        <f t="shared" si="942"/>
        <v>5557.50</v>
      </c>
      <c r="S483" s="1054">
        <f t="shared" si="942"/>
        <v>5819.3000000000011</v>
      </c>
      <c r="T483" s="1054">
        <f t="shared" si="942"/>
        <v>5935</v>
      </c>
      <c r="U483" s="1054">
        <f t="shared" si="942"/>
        <v>6129.6000000000013</v>
      </c>
      <c r="V483" s="1356">
        <f t="shared" si="942"/>
        <v>23441.399999999998</v>
      </c>
      <c r="W483" s="1054">
        <f t="shared" si="942"/>
        <v>6321.6999999999989</v>
      </c>
      <c r="X483" s="1054">
        <f t="shared" si="942"/>
        <v>6605.7000000000007</v>
      </c>
      <c r="Y483" s="1054">
        <f t="shared" si="942"/>
        <v>6791.80</v>
      </c>
      <c r="Z483" s="1054">
        <f t="shared" si="942"/>
        <v>7119.8000000000011</v>
      </c>
      <c r="AA483" s="1356">
        <f t="shared" si="942"/>
        <v>26838.999999999996</v>
      </c>
      <c r="AB483" s="1054">
        <f t="shared" si="942"/>
        <v>7430.1000000000013</v>
      </c>
      <c r="AC483" s="1054">
        <f t="shared" si="942"/>
        <v>8018</v>
      </c>
      <c r="AD483" s="1054">
        <f t="shared" si="942"/>
        <v>8495.8000000000011</v>
      </c>
      <c r="AE483" s="1054">
        <f t="shared" si="942"/>
        <v>8035.10</v>
      </c>
      <c r="AF483" s="1356">
        <f t="shared" si="942"/>
        <v>31979.000000000004</v>
      </c>
      <c r="AG483" s="1054">
        <f t="shared" si="942"/>
        <v>9300</v>
      </c>
      <c r="AH483" s="1054">
        <f t="shared" si="942"/>
        <v>9450.6999999999989</v>
      </c>
      <c r="AI483" s="1054">
        <f t="shared" si="943" ref="AI483:AU483">AI477+AI478+AI479+AI481+AI480+AI482</f>
        <v>9530.4999999999982</v>
      </c>
      <c r="AJ483" s="1054">
        <f t="shared" si="943"/>
        <v>10741.099999999999</v>
      </c>
      <c r="AK483" s="1356">
        <f t="shared" si="943"/>
        <v>39022.299999999996</v>
      </c>
      <c r="AL483" s="1054">
        <f t="shared" si="943"/>
        <v>9323.4000000000015</v>
      </c>
      <c r="AM483" s="1054">
        <f t="shared" si="943"/>
        <v>10971.699999999999</v>
      </c>
      <c r="AN483" s="1054">
        <f t="shared" si="943"/>
        <v>10947.199999999997</v>
      </c>
      <c r="AO483" s="1054">
        <f t="shared" si="943"/>
        <v>11415.800000000003</v>
      </c>
      <c r="AP483" s="1356">
        <f t="shared" si="943"/>
        <v>42658.099999999999</v>
      </c>
      <c r="AQ483" s="1054">
        <f t="shared" si="943"/>
        <v>11445.20</v>
      </c>
      <c r="AR483" s="1054">
        <f t="shared" si="943"/>
        <v>11905.50</v>
      </c>
      <c r="AS483" s="1054">
        <f t="shared" si="943"/>
        <v>11859.199999999995</v>
      </c>
      <c r="AT483" s="1054">
        <f t="shared" si="943"/>
        <v>12492.099999999999</v>
      </c>
      <c r="AU483" s="1356">
        <f t="shared" si="943"/>
        <v>47702</v>
      </c>
      <c r="AV483" s="1054">
        <f t="shared" si="944" ref="AV483:AZ483">AV477+AV478+AV479+AV481+AV480+AV482</f>
        <v>11841.500000000005</v>
      </c>
      <c r="AW483" s="1054">
        <f t="shared" si="944"/>
        <v>11519.20</v>
      </c>
      <c r="AX483" s="1054">
        <f t="shared" si="944"/>
        <v>12780.20</v>
      </c>
      <c r="AY483" s="1054">
        <f t="shared" si="944"/>
        <v>13469.800000000003</v>
      </c>
      <c r="AZ483" s="1356">
        <f t="shared" si="944"/>
        <v>49610.700000000004</v>
      </c>
      <c r="BA483" s="1054">
        <f t="shared" si="945" ref="BA483:BR483">BA477+BA478+BA479+BA481+BA480+BA482</f>
        <v>14303.20</v>
      </c>
      <c r="BB483" s="1054">
        <f t="shared" si="945"/>
        <v>15353.50</v>
      </c>
      <c r="BC483" s="1054">
        <f t="shared" si="945"/>
        <v>15560.60</v>
      </c>
      <c r="BD483" s="1054">
        <f t="shared" si="945"/>
        <v>16891.200000000004</v>
      </c>
      <c r="BE483" s="1356">
        <f t="shared" si="945"/>
        <v>62108.50</v>
      </c>
      <c r="BF483" s="1054">
        <f>BF477+BF478+BF479+BF481+BF480+BF482</f>
        <v>17242.50</v>
      </c>
      <c r="BG483" s="1054">
        <f>BG477+BG478+BG479+BG481+BG480+BG482</f>
        <v>18134.300000000003</v>
      </c>
      <c r="BH483" s="1100">
        <f>BH477+BH478+BH479+BH481+BH480+BH482</f>
        <v>19719</v>
      </c>
      <c r="BI483" s="1054">
        <f t="shared" si="945"/>
        <v>18788.678007999955</v>
      </c>
      <c r="BJ483" s="1356">
        <f t="shared" si="945"/>
        <v>73884.478007999947</v>
      </c>
      <c r="BK483" s="1054">
        <f t="shared" si="945"/>
        <v>22823.589218478082</v>
      </c>
      <c r="BL483" s="1054">
        <f t="shared" si="945"/>
        <v>20946.837928369576</v>
      </c>
      <c r="BM483" s="1054">
        <f t="shared" si="945"/>
        <v>22382.434469191376</v>
      </c>
      <c r="BN483" s="1054">
        <f t="shared" si="945"/>
        <v>21072.810234425269</v>
      </c>
      <c r="BO483" s="1356">
        <f t="shared" si="945"/>
        <v>87225.671850464292</v>
      </c>
      <c r="BP483" s="1356">
        <f t="shared" si="945"/>
        <v>92993.495337980363</v>
      </c>
      <c r="BQ483" s="1356">
        <f t="shared" si="945"/>
        <v>96800.837755680725</v>
      </c>
      <c r="BR483" s="1356">
        <f t="shared" si="945"/>
        <v>100764.51706735845</v>
      </c>
      <c r="BS483" s="648"/>
    </row>
    <row r="484" spans="1:71" s="665" customFormat="1" ht="15">
      <c r="A484" s="999"/>
      <c r="B484" s="308"/>
      <c r="C484" s="1351"/>
      <c r="D484" s="1351"/>
      <c r="E484" s="1351"/>
      <c r="F484" s="1351"/>
      <c r="G484" s="1351"/>
      <c r="H484" s="1047"/>
      <c r="I484" s="1047"/>
      <c r="J484" s="1047"/>
      <c r="K484" s="1047"/>
      <c r="L484" s="1351"/>
      <c r="M484" s="1047"/>
      <c r="N484" s="1047"/>
      <c r="O484" s="1047"/>
      <c r="P484" s="1047"/>
      <c r="Q484" s="1351"/>
      <c r="R484" s="1047"/>
      <c r="S484" s="1047"/>
      <c r="T484" s="1047"/>
      <c r="U484" s="1047"/>
      <c r="V484" s="1351"/>
      <c r="W484" s="1047"/>
      <c r="X484" s="1047"/>
      <c r="Y484" s="1047"/>
      <c r="Z484" s="1047"/>
      <c r="AA484" s="1351"/>
      <c r="AB484" s="1047"/>
      <c r="AC484" s="1047"/>
      <c r="AD484" s="1047"/>
      <c r="AE484" s="1047"/>
      <c r="AF484" s="1351"/>
      <c r="AG484" s="1047"/>
      <c r="AH484" s="1047"/>
      <c r="AI484" s="1047"/>
      <c r="AJ484" s="1047"/>
      <c r="AK484" s="1351"/>
      <c r="AL484" s="1047"/>
      <c r="AM484" s="1047"/>
      <c r="AN484" s="1047"/>
      <c r="AO484" s="1047"/>
      <c r="AP484" s="1351"/>
      <c r="AQ484" s="1047"/>
      <c r="AR484" s="1047"/>
      <c r="AS484" s="1047"/>
      <c r="AT484" s="1047"/>
      <c r="AU484" s="1351"/>
      <c r="AV484" s="1047"/>
      <c r="AW484" s="1047"/>
      <c r="AX484" s="1047"/>
      <c r="AY484" s="1047"/>
      <c r="AZ484" s="1351"/>
      <c r="BA484" s="1047"/>
      <c r="BB484" s="1047"/>
      <c r="BC484" s="1047"/>
      <c r="BD484" s="1047"/>
      <c r="BE484" s="1351"/>
      <c r="BF484" s="1047"/>
      <c r="BG484" s="1047"/>
      <c r="BH484" s="1048"/>
      <c r="BI484" s="1044"/>
      <c r="BJ484" s="1350"/>
      <c r="BK484" s="1044"/>
      <c r="BL484" s="1044"/>
      <c r="BM484" s="1044"/>
      <c r="BN484" s="1044"/>
      <c r="BO484" s="1350"/>
      <c r="BP484" s="1351"/>
      <c r="BQ484" s="1351"/>
      <c r="BR484" s="1350"/>
      <c r="BS484" s="648"/>
    </row>
    <row r="485" spans="1:71" s="676" customFormat="1" ht="15">
      <c r="A485" s="925" t="s">
        <v>680</v>
      </c>
      <c r="B485" s="396"/>
      <c r="C485" s="1339">
        <f t="shared" si="946" ref="C485:AH485">C477/C$483</f>
        <v>0.96217968084814187</v>
      </c>
      <c r="D485" s="1339">
        <f t="shared" si="946"/>
        <v>0.94080378561335476</v>
      </c>
      <c r="E485" s="1339">
        <f t="shared" si="946"/>
        <v>0.94473393937088745</v>
      </c>
      <c r="F485" s="1339">
        <f t="shared" si="946"/>
        <v>0.93760792324937514</v>
      </c>
      <c r="G485" s="1339">
        <f t="shared" si="946"/>
        <v>0.94125222195928659</v>
      </c>
      <c r="H485" s="381">
        <f t="shared" si="946"/>
        <v>0.93514742119126515</v>
      </c>
      <c r="I485" s="381">
        <f t="shared" si="946"/>
        <v>0.95191395128124034</v>
      </c>
      <c r="J485" s="381">
        <f t="shared" si="946"/>
        <v>0.95258177545582357</v>
      </c>
      <c r="K485" s="381">
        <f t="shared" si="946"/>
        <v>0.95487036822379368</v>
      </c>
      <c r="L485" s="1339">
        <f t="shared" si="946"/>
        <v>0.94879688934269824</v>
      </c>
      <c r="M485" s="381">
        <f t="shared" si="946"/>
        <v>0.95322043592833938</v>
      </c>
      <c r="N485" s="381">
        <f t="shared" si="946"/>
        <v>0.94558325289118539</v>
      </c>
      <c r="O485" s="381">
        <f t="shared" si="946"/>
        <v>0.96146990784633457</v>
      </c>
      <c r="P485" s="381">
        <f t="shared" si="946"/>
        <v>0.95649276113600179</v>
      </c>
      <c r="Q485" s="1339">
        <f t="shared" si="946"/>
        <v>0.95421937488611197</v>
      </c>
      <c r="R485" s="381">
        <f t="shared" si="946"/>
        <v>0.95679712100764747</v>
      </c>
      <c r="S485" s="381">
        <f t="shared" si="946"/>
        <v>0.95575069166394566</v>
      </c>
      <c r="T485" s="381">
        <f t="shared" si="946"/>
        <v>0.96434709351305803</v>
      </c>
      <c r="U485" s="381">
        <f t="shared" si="946"/>
        <v>0.95787653354215596</v>
      </c>
      <c r="V485" s="1339">
        <f t="shared" si="946"/>
        <v>0.95873113380600139</v>
      </c>
      <c r="W485" s="381">
        <f t="shared" si="946"/>
        <v>0.95333533701377804</v>
      </c>
      <c r="X485" s="381">
        <f t="shared" si="946"/>
        <v>0.95573519838926979</v>
      </c>
      <c r="Y485" s="381">
        <f t="shared" si="946"/>
        <v>0.96351482670278865</v>
      </c>
      <c r="Z485" s="381">
        <f t="shared" si="946"/>
        <v>0.96152981825332162</v>
      </c>
      <c r="AA485" s="1339">
        <f t="shared" si="946"/>
        <v>0.95867580759342763</v>
      </c>
      <c r="AB485" s="381">
        <f t="shared" si="946"/>
        <v>0.96553209243482585</v>
      </c>
      <c r="AC485" s="381">
        <f t="shared" si="946"/>
        <v>0.95213270142180095</v>
      </c>
      <c r="AD485" s="381">
        <f t="shared" si="946"/>
        <v>0.93346123967136696</v>
      </c>
      <c r="AE485" s="381">
        <f t="shared" si="946"/>
        <v>1.0198504063421736</v>
      </c>
      <c r="AF485" s="1339">
        <f t="shared" si="946"/>
        <v>0.96730041589793303</v>
      </c>
      <c r="AG485" s="381">
        <f t="shared" si="946"/>
        <v>0.90965591397849455</v>
      </c>
      <c r="AH485" s="381">
        <f t="shared" si="946"/>
        <v>0.93376152031066495</v>
      </c>
      <c r="AI485" s="381">
        <f t="shared" si="947" ref="AI485:AU485">AI477/AI$483</f>
        <v>0.94561670426525368</v>
      </c>
      <c r="AJ485" s="381">
        <f t="shared" si="947"/>
        <v>0.92129297744178917</v>
      </c>
      <c r="AK485" s="1339">
        <f t="shared" si="947"/>
        <v>0.92747992814365132</v>
      </c>
      <c r="AL485" s="381">
        <f t="shared" si="947"/>
        <v>1.0115086770920478</v>
      </c>
      <c r="AM485" s="381">
        <f t="shared" si="947"/>
        <v>0.87940793131419936</v>
      </c>
      <c r="AN485" s="381">
        <f t="shared" si="947"/>
        <v>0.91105488161356341</v>
      </c>
      <c r="AO485" s="381">
        <f t="shared" si="947"/>
        <v>0.89426934599414831</v>
      </c>
      <c r="AP485" s="1339">
        <f t="shared" si="947"/>
        <v>0.92037854475468905</v>
      </c>
      <c r="AQ485" s="381">
        <f t="shared" si="947"/>
        <v>0.91044280571768077</v>
      </c>
      <c r="AR485" s="381">
        <f t="shared" si="947"/>
        <v>0.92245600772752079</v>
      </c>
      <c r="AS485" s="381">
        <f t="shared" si="947"/>
        <v>0.95831084727468985</v>
      </c>
      <c r="AT485" s="381">
        <f t="shared" si="947"/>
        <v>0.92869893772864454</v>
      </c>
      <c r="AU485" s="1339">
        <f t="shared" si="947"/>
        <v>0.93012242673263168</v>
      </c>
      <c r="AV485" s="381">
        <f t="shared" si="948" ref="AV485:AW487">AV477/AV$483</f>
        <v>0.99674027783642261</v>
      </c>
      <c r="AW485" s="381">
        <f t="shared" si="948"/>
        <v>1.054578442947427</v>
      </c>
      <c r="AX485" s="381">
        <f t="shared" si="949" ref="AX485:AZ487">AX477/AX$483</f>
        <v>0.97016478615358126</v>
      </c>
      <c r="AY485" s="381">
        <f t="shared" si="949"/>
        <v>0.95706692007305227</v>
      </c>
      <c r="AZ485" s="1339">
        <f t="shared" si="949"/>
        <v>0.99255200994946635</v>
      </c>
      <c r="BA485" s="381">
        <f t="shared" si="950" ref="BA485:BB487">BA477/BA$483</f>
        <v>0.94615890150455839</v>
      </c>
      <c r="BB485" s="381">
        <f t="shared" si="950"/>
        <v>0.94209137981567714</v>
      </c>
      <c r="BC485" s="381">
        <f t="shared" si="951" ref="BC485:BI487">BC477/BC$483</f>
        <v>0.95718031438376405</v>
      </c>
      <c r="BD485" s="381">
        <f t="shared" si="951"/>
        <v>0.93377616747181968</v>
      </c>
      <c r="BE485" s="1339">
        <f t="shared" si="951"/>
        <v>0.94454704267531819</v>
      </c>
      <c r="BF485" s="381">
        <f t="shared" si="952" ref="BF485:BG487">BF477/BF$483</f>
        <v>0.93655792373495728</v>
      </c>
      <c r="BG485" s="381">
        <f t="shared" si="952"/>
        <v>0.94900271860507446</v>
      </c>
      <c r="BH485" s="813">
        <f>BH477/BH$483</f>
        <v>0.92787159592271418</v>
      </c>
      <c r="BI485" s="909">
        <f t="shared" si="951"/>
        <v>0.93456823016891999</v>
      </c>
      <c r="BJ485" s="1340">
        <f t="shared" si="953" ref="BJ485:BJ487">BJ477/BJ$483</f>
        <v>0.93678812409902901</v>
      </c>
      <c r="BK485" s="909">
        <f t="shared" si="954" ref="BK485:BR487">BK477/BK$483</f>
        <v>0.93946854410500291</v>
      </c>
      <c r="BL485" s="909">
        <f t="shared" si="954"/>
        <v>0.93969413820286674</v>
      </c>
      <c r="BM485" s="909">
        <f t="shared" si="954"/>
        <v>0.9388285383138304</v>
      </c>
      <c r="BN485" s="909">
        <f t="shared" si="954"/>
        <v>0.93861984220401673</v>
      </c>
      <c r="BO485" s="1340">
        <f t="shared" si="954"/>
        <v>0.9391534540839428</v>
      </c>
      <c r="BP485" s="1339">
        <f t="shared" si="954"/>
        <v>0.94353860689535018</v>
      </c>
      <c r="BQ485" s="1339">
        <f t="shared" si="954"/>
        <v>0.94304729649974273</v>
      </c>
      <c r="BR485" s="1340">
        <f t="shared" si="954"/>
        <v>0.94255197116689438</v>
      </c>
      <c r="BS485" s="648"/>
    </row>
    <row r="486" spans="1:71" s="676" customFormat="1" ht="15">
      <c r="A486" s="925" t="s">
        <v>681</v>
      </c>
      <c r="B486" s="396"/>
      <c r="C486" s="1339">
        <f t="shared" si="955" ref="C486:AH486">C478/C$483</f>
        <v>0.034812821005795268</v>
      </c>
      <c r="D486" s="1339">
        <f t="shared" si="955"/>
        <v>0.034182248365153954</v>
      </c>
      <c r="E486" s="1339">
        <f t="shared" si="955"/>
        <v>0.030428663801300829</v>
      </c>
      <c r="F486" s="1339">
        <f t="shared" si="955"/>
        <v>0.025930847171898693</v>
      </c>
      <c r="G486" s="1339">
        <f t="shared" si="955"/>
        <v>0.02322394597956072</v>
      </c>
      <c r="H486" s="381">
        <f t="shared" si="955"/>
        <v>0.021943240717138247</v>
      </c>
      <c r="I486" s="381">
        <f t="shared" si="955"/>
        <v>0.020921649267109568</v>
      </c>
      <c r="J486" s="381">
        <f t="shared" si="955"/>
        <v>0.021338201044879466</v>
      </c>
      <c r="K486" s="381">
        <f t="shared" si="955"/>
        <v>0.020130597735790734</v>
      </c>
      <c r="L486" s="1339">
        <f t="shared" si="955"/>
        <v>0.021060882659323207</v>
      </c>
      <c r="M486" s="381">
        <f t="shared" si="955"/>
        <v>0.021469572855596187</v>
      </c>
      <c r="N486" s="381">
        <f t="shared" si="955"/>
        <v>0.02144493025192588</v>
      </c>
      <c r="O486" s="381">
        <f t="shared" si="955"/>
        <v>0.022279949941218853</v>
      </c>
      <c r="P486" s="381">
        <f t="shared" si="955"/>
        <v>0.021975784055985485</v>
      </c>
      <c r="Q486" s="1339">
        <f t="shared" si="955"/>
        <v>0.021799384284878539</v>
      </c>
      <c r="R486" s="381">
        <f t="shared" si="955"/>
        <v>0.021376518218623478</v>
      </c>
      <c r="S486" s="381">
        <f t="shared" si="955"/>
        <v>0.019693090234220612</v>
      </c>
      <c r="T486" s="381">
        <f t="shared" si="955"/>
        <v>0.020101095197978092</v>
      </c>
      <c r="U486" s="381">
        <f t="shared" si="955"/>
        <v>0.02058861915948838</v>
      </c>
      <c r="V486" s="1339">
        <f t="shared" si="955"/>
        <v>0.02042966717004957</v>
      </c>
      <c r="W486" s="381">
        <f t="shared" si="955"/>
        <v>0.020437540534982684</v>
      </c>
      <c r="X486" s="381">
        <f t="shared" si="955"/>
        <v>0.021012156168157797</v>
      </c>
      <c r="Y486" s="381">
        <f t="shared" si="955"/>
        <v>0.021040077740805088</v>
      </c>
      <c r="Z486" s="381">
        <f t="shared" si="955"/>
        <v>0.021377004972049776</v>
      </c>
      <c r="AA486" s="1339">
        <f t="shared" si="955"/>
        <v>0.020980662468795413</v>
      </c>
      <c r="AB486" s="381">
        <f t="shared" si="955"/>
        <v>0.022381932948412536</v>
      </c>
      <c r="AC486" s="381">
        <f t="shared" si="955"/>
        <v>0.023958593165377899</v>
      </c>
      <c r="AD486" s="381">
        <f t="shared" si="955"/>
        <v>0.025671508274676895</v>
      </c>
      <c r="AE486" s="381">
        <f t="shared" si="955"/>
        <v>0.030366765814986752</v>
      </c>
      <c r="AF486" s="1339">
        <f t="shared" si="955"/>
        <v>0.025657462709903371</v>
      </c>
      <c r="AG486" s="381">
        <f t="shared" si="955"/>
        <v>0.027193548387096769</v>
      </c>
      <c r="AH486" s="381">
        <f t="shared" si="955"/>
        <v>0.027648745595564354</v>
      </c>
      <c r="AI486" s="381">
        <f t="shared" si="956" ref="AI486:AU486">AI478/AI$483</f>
        <v>0.027595614081108027</v>
      </c>
      <c r="AJ486" s="381">
        <f t="shared" si="956"/>
        <v>0.024652968504156929</v>
      </c>
      <c r="AK486" s="1339">
        <f t="shared" si="956"/>
        <v>0.026702680262311554</v>
      </c>
      <c r="AL486" s="381">
        <f t="shared" si="956"/>
        <v>0.025870390630027666</v>
      </c>
      <c r="AM486" s="381">
        <f t="shared" si="956"/>
        <v>0.022220804433223662</v>
      </c>
      <c r="AN486" s="381">
        <f t="shared" si="956"/>
        <v>0.021055612394036839</v>
      </c>
      <c r="AO486" s="381">
        <f t="shared" si="956"/>
        <v>0.019367893621121599</v>
      </c>
      <c r="AP486" s="1339">
        <f t="shared" si="956"/>
        <v>0.021955970847271678</v>
      </c>
      <c r="AQ486" s="381">
        <f t="shared" si="956"/>
        <v>0.019239506518016286</v>
      </c>
      <c r="AR486" s="381">
        <f t="shared" si="956"/>
        <v>0.017697702742429967</v>
      </c>
      <c r="AS486" s="381">
        <f t="shared" si="956"/>
        <v>0.017615016189962234</v>
      </c>
      <c r="AT486" s="381">
        <f t="shared" si="956"/>
        <v>0.017699185885479626</v>
      </c>
      <c r="AU486" s="1339">
        <f t="shared" si="956"/>
        <v>0.018047461322376421</v>
      </c>
      <c r="AV486" s="381">
        <f t="shared" si="948"/>
        <v>0.020453489845036515</v>
      </c>
      <c r="AW486" s="381">
        <f t="shared" si="948"/>
        <v>0.025383707201889025</v>
      </c>
      <c r="AX486" s="381">
        <f t="shared" si="949"/>
        <v>0.026102877889234911</v>
      </c>
      <c r="AY486" s="381">
        <f t="shared" si="949"/>
        <v>0.029109563616386287</v>
      </c>
      <c r="AZ486" s="1339">
        <f t="shared" si="949"/>
        <v>0.025403793939613829</v>
      </c>
      <c r="BA486" s="381">
        <f t="shared" si="950"/>
        <v>0.0293360926226299</v>
      </c>
      <c r="BB486" s="381">
        <f t="shared" si="950"/>
        <v>0.029602370794932751</v>
      </c>
      <c r="BC486" s="381">
        <f t="shared" si="951"/>
        <v>0.032787938768427949</v>
      </c>
      <c r="BD486" s="381">
        <f t="shared" si="951"/>
        <v>0.030045230652647519</v>
      </c>
      <c r="BE486" s="1339">
        <f t="shared" si="951"/>
        <v>0.030459598927683004</v>
      </c>
      <c r="BF486" s="381">
        <f t="shared" si="952"/>
        <v>0.035818471799333042</v>
      </c>
      <c r="BG486" s="381">
        <f t="shared" si="952"/>
        <v>0.037773721621457666</v>
      </c>
      <c r="BH486" s="813">
        <f>BH478/BH$483</f>
        <v>0.037501901719154108</v>
      </c>
      <c r="BI486" s="909">
        <f t="shared" si="951"/>
        <v>0.027912796054096349</v>
      </c>
      <c r="BJ486" s="1340">
        <f t="shared" si="953"/>
        <v>0.034737262907717795</v>
      </c>
      <c r="BK486" s="909">
        <f t="shared" si="954"/>
        <v>0.021496896703325951</v>
      </c>
      <c r="BL486" s="909">
        <f t="shared" si="954"/>
        <v>0.024283906167428034</v>
      </c>
      <c r="BM486" s="909">
        <f t="shared" si="954"/>
        <v>0.02467848896976305</v>
      </c>
      <c r="BN486" s="909">
        <f t="shared" si="954"/>
        <v>0.026203217993008468</v>
      </c>
      <c r="BO486" s="1340">
        <f t="shared" si="954"/>
        <v>0.024119590533560872</v>
      </c>
      <c r="BP486" s="1339">
        <f t="shared" si="954"/>
        <v>0.023017310023122871</v>
      </c>
      <c r="BQ486" s="1339">
        <f t="shared" si="954"/>
        <v>0.023217599868474676</v>
      </c>
      <c r="BR486" s="1340">
        <f t="shared" si="954"/>
        <v>0.0234195264615247</v>
      </c>
      <c r="BS486" s="648"/>
    </row>
    <row r="487" spans="1:71" s="676" customFormat="1" ht="15">
      <c r="A487" s="925" t="s">
        <v>682</v>
      </c>
      <c r="B487" s="396"/>
      <c r="C487" s="1339">
        <f t="shared" si="957" ref="C487:AH487">C479/C$483</f>
        <v>0.0018608036474498067</v>
      </c>
      <c r="D487" s="1339">
        <f t="shared" si="957"/>
        <v>0.0063159278367454228</v>
      </c>
      <c r="E487" s="1339">
        <f t="shared" si="957"/>
        <v>0.0065041268875280518</v>
      </c>
      <c r="F487" s="1339">
        <f t="shared" si="957"/>
        <v>0.017958428696023744</v>
      </c>
      <c r="G487" s="1339">
        <f t="shared" si="957"/>
        <v>0.017522522274625911</v>
      </c>
      <c r="H487" s="381">
        <f t="shared" si="957"/>
        <v>0.025363242416517974</v>
      </c>
      <c r="I487" s="381">
        <f t="shared" si="957"/>
        <v>0.0085205103870083319</v>
      </c>
      <c r="J487" s="381">
        <f t="shared" si="957"/>
        <v>0.008014938838882945</v>
      </c>
      <c r="K487" s="381">
        <f t="shared" si="957"/>
        <v>0.0050616282214752135</v>
      </c>
      <c r="L487" s="1339">
        <f t="shared" si="957"/>
        <v>0.011561826376641189</v>
      </c>
      <c r="M487" s="381">
        <f t="shared" si="957"/>
        <v>0.006741159888055891</v>
      </c>
      <c r="N487" s="381">
        <f t="shared" si="957"/>
        <v>0.014384948800938806</v>
      </c>
      <c r="O487" s="381">
        <f t="shared" si="957"/>
        <v>-0.0029959422048617692</v>
      </c>
      <c r="P487" s="381">
        <f t="shared" si="957"/>
        <v>0.003610175139778573</v>
      </c>
      <c r="Q487" s="1339">
        <f t="shared" si="957"/>
        <v>0.0054042908246938219</v>
      </c>
      <c r="R487" s="381">
        <f t="shared" si="957"/>
        <v>0.0031309041835357624</v>
      </c>
      <c r="S487" s="381">
        <f t="shared" si="957"/>
        <v>0.0055504957640953364</v>
      </c>
      <c r="T487" s="381">
        <f t="shared" si="957"/>
        <v>-0.0034877843302443139</v>
      </c>
      <c r="U487" s="381">
        <f t="shared" si="957"/>
        <v>0.0036054554946489169</v>
      </c>
      <c r="V487" s="1339">
        <f t="shared" si="957"/>
        <v>0.0021799039306526066</v>
      </c>
      <c r="W487" s="381">
        <f t="shared" si="957"/>
        <v>0.0082098169796099157</v>
      </c>
      <c r="X487" s="381">
        <f t="shared" si="957"/>
        <v>0.0048594395749125743</v>
      </c>
      <c r="Y487" s="381">
        <f t="shared" si="957"/>
        <v>-0.003636738419859242</v>
      </c>
      <c r="Z487" s="381">
        <f t="shared" si="957"/>
        <v>-0.0013623978201634875</v>
      </c>
      <c r="AA487" s="1339">
        <f t="shared" si="957"/>
        <v>0.001848056932076456</v>
      </c>
      <c r="AB487" s="381">
        <f t="shared" si="957"/>
        <v>-0.0064871266873931686</v>
      </c>
      <c r="AC487" s="381">
        <f t="shared" si="957"/>
        <v>0.0040907957096532801</v>
      </c>
      <c r="AD487" s="381">
        <f t="shared" si="957"/>
        <v>0.02143412038889804</v>
      </c>
      <c r="AE487" s="381">
        <f t="shared" si="957"/>
        <v>-0.07121255491530909</v>
      </c>
      <c r="AF487" s="1339">
        <f t="shared" si="957"/>
        <v>-0.012680196378873635</v>
      </c>
      <c r="AG487" s="381">
        <f t="shared" si="957"/>
        <v>0.044569892473118281</v>
      </c>
      <c r="AH487" s="381">
        <f t="shared" si="957"/>
        <v>0.019035626990593291</v>
      </c>
      <c r="AI487" s="381">
        <f t="shared" si="958" ref="AI487:AU487">AI479/AI$483</f>
        <v>0.0068621793190283848</v>
      </c>
      <c r="AJ487" s="381">
        <f t="shared" si="958"/>
        <v>0.034391263464635849</v>
      </c>
      <c r="AK487" s="1339">
        <f t="shared" si="958"/>
        <v>0.02637466269287049</v>
      </c>
      <c r="AL487" s="381">
        <f t="shared" si="958"/>
        <v>-0.059377480318338782</v>
      </c>
      <c r="AM487" s="381">
        <f t="shared" si="958"/>
        <v>0.081190699709251982</v>
      </c>
      <c r="AN487" s="381">
        <f t="shared" si="958"/>
        <v>0.048651710026308109</v>
      </c>
      <c r="AO487" s="381">
        <f t="shared" si="958"/>
        <v>0.066591916466651468</v>
      </c>
      <c r="AP487" s="1339">
        <f t="shared" si="958"/>
        <v>0.038210797011587486</v>
      </c>
      <c r="AQ487" s="381">
        <f t="shared" si="958"/>
        <v>0.051139342257016045</v>
      </c>
      <c r="AR487" s="381">
        <f t="shared" si="958"/>
        <v>0.038788795094704127</v>
      </c>
      <c r="AS487" s="381">
        <f t="shared" si="958"/>
        <v>0.0031030760928224509</v>
      </c>
      <c r="AT487" s="381">
        <f t="shared" si="958"/>
        <v>0.034045516766596493</v>
      </c>
      <c r="AU487" s="1339">
        <f t="shared" si="958"/>
        <v>0.031638086453398176</v>
      </c>
      <c r="AV487" s="381">
        <f t="shared" si="948"/>
        <v>-0.037605033146138563</v>
      </c>
      <c r="AW487" s="381">
        <f t="shared" si="948"/>
        <v>-0.10223800263907219</v>
      </c>
      <c r="AX487" s="381">
        <f t="shared" si="949"/>
        <v>-0.016932442371793865</v>
      </c>
      <c r="AY487" s="381">
        <f t="shared" si="949"/>
        <v>-0.0054046830687909031</v>
      </c>
      <c r="AZ487" s="1339">
        <f t="shared" si="949"/>
        <v>-0.038544104396833742</v>
      </c>
      <c r="BA487" s="381">
        <f t="shared" si="950"/>
        <v>0.0050198556966273289</v>
      </c>
      <c r="BB487" s="381">
        <f t="shared" si="950"/>
        <v>0.0082652164001693427</v>
      </c>
      <c r="BC487" s="381">
        <f t="shared" si="951"/>
        <v>-0.0095754662416616329</v>
      </c>
      <c r="BD487" s="381">
        <f t="shared" si="951"/>
        <v>0.01796201572416406</v>
      </c>
      <c r="BE487" s="1339">
        <f t="shared" si="951"/>
        <v>0.0056852121690267833</v>
      </c>
      <c r="BF487" s="381">
        <f t="shared" si="952"/>
        <v>0.0090242134261273033</v>
      </c>
      <c r="BG487" s="381">
        <f t="shared" si="952"/>
        <v>-0.0069647022493286199</v>
      </c>
      <c r="BH487" s="813">
        <f>BH479/BH$483</f>
        <v>0.014574775597139813</v>
      </c>
      <c r="BI487" s="909">
        <f t="shared" si="951"/>
        <v>0.020323245590975255</v>
      </c>
      <c r="BJ487" s="1340">
        <f t="shared" si="953"/>
        <v>0.0094545828341739465</v>
      </c>
      <c r="BK487" s="909">
        <f t="shared" si="954"/>
        <v>0.02428074475974212</v>
      </c>
      <c r="BL487" s="909">
        <f t="shared" si="954"/>
        <v>0.017670498416233589</v>
      </c>
      <c r="BM487" s="909">
        <f t="shared" si="954"/>
        <v>0.017944052107637821</v>
      </c>
      <c r="BN487" s="909">
        <f t="shared" si="954"/>
        <v>0.019078505554000941</v>
      </c>
      <c r="BO487" s="1340">
        <f t="shared" si="954"/>
        <v>0.019810499267035181</v>
      </c>
      <c r="BP487" s="1339">
        <f t="shared" si="954"/>
        <v>0.016783490780215436</v>
      </c>
      <c r="BQ487" s="1339">
        <f t="shared" si="954"/>
        <v>0.016929535768507108</v>
      </c>
      <c r="BR487" s="1340">
        <f t="shared" si="954"/>
        <v>0.017076774221190361</v>
      </c>
      <c r="BS487" s="648"/>
    </row>
    <row r="488" spans="1:71" s="676" customFormat="1" ht="15">
      <c r="A488" s="371" t="s">
        <v>683</v>
      </c>
      <c r="B488" s="396"/>
      <c r="C488" s="1339">
        <f t="shared" si="959" ref="C488:AH488">C481/C$483</f>
        <v>0.0011466944986129801</v>
      </c>
      <c r="D488" s="1339">
        <f t="shared" si="959"/>
        <v>0.0017022115605796718</v>
      </c>
      <c r="E488" s="1339">
        <f t="shared" si="959"/>
        <v>0.0014453615305617894</v>
      </c>
      <c r="F488" s="1339">
        <f t="shared" si="959"/>
        <v>0.0021131006386129634</v>
      </c>
      <c r="G488" s="1339">
        <f t="shared" si="959"/>
        <v>0.0021793086748592527</v>
      </c>
      <c r="H488" s="381">
        <f t="shared" si="959"/>
        <v>0.0020817401648398339</v>
      </c>
      <c r="I488" s="381">
        <f t="shared" si="959"/>
        <v>0.0029526521143098182</v>
      </c>
      <c r="J488" s="381">
        <f t="shared" si="959"/>
        <v>0.003147227292755083</v>
      </c>
      <c r="K488" s="381">
        <f t="shared" si="959"/>
        <v>0.0033229009698234231</v>
      </c>
      <c r="L488" s="1339">
        <f t="shared" si="959"/>
        <v>0.0028878781315428486</v>
      </c>
      <c r="M488" s="381">
        <f t="shared" si="959"/>
        <v>0.0035135742446836767</v>
      </c>
      <c r="N488" s="381">
        <f t="shared" si="959"/>
        <v>0.00441012246134045</v>
      </c>
      <c r="O488" s="381">
        <f t="shared" si="959"/>
        <v>0.0043801433501460037</v>
      </c>
      <c r="P488" s="381">
        <f t="shared" si="959"/>
        <v>0.0042026141370755717</v>
      </c>
      <c r="Q488" s="1339">
        <f t="shared" si="959"/>
        <v>0.0041383345001870173</v>
      </c>
      <c r="R488" s="381">
        <f t="shared" si="959"/>
        <v>0.00449842555105713</v>
      </c>
      <c r="S488" s="381">
        <f t="shared" si="959"/>
        <v>0.0045538123141958646</v>
      </c>
      <c r="T488" s="381">
        <f t="shared" si="959"/>
        <v>0.0044144903117101933</v>
      </c>
      <c r="U488" s="381">
        <f t="shared" si="959"/>
        <v>0.0041764552336204632</v>
      </c>
      <c r="V488" s="1339">
        <f t="shared" si="959"/>
        <v>0.0044067333862311984</v>
      </c>
      <c r="W488" s="381">
        <f t="shared" si="959"/>
        <v>0.0045082810003638273</v>
      </c>
      <c r="X488" s="381">
        <f t="shared" si="959"/>
        <v>0.0049502702211726233</v>
      </c>
      <c r="Y488" s="381">
        <f t="shared" si="959"/>
        <v>0.0049029712300126616</v>
      </c>
      <c r="Z488" s="381">
        <f t="shared" si="959"/>
        <v>0.0045366442877608909</v>
      </c>
      <c r="AA488" s="1339">
        <f t="shared" si="959"/>
        <v>0.0047244681247438436</v>
      </c>
      <c r="AB488" s="381">
        <f t="shared" si="959"/>
        <v>0.0046028990188557353</v>
      </c>
      <c r="AC488" s="381">
        <f t="shared" si="959"/>
        <v>0.0053504614617111501</v>
      </c>
      <c r="AD488" s="381">
        <f t="shared" si="959"/>
        <v>0.0050024718096000368</v>
      </c>
      <c r="AE488" s="381">
        <f t="shared" si="959"/>
        <v>0.0048412589762417396</v>
      </c>
      <c r="AF488" s="1339">
        <f t="shared" si="959"/>
        <v>0.004956377622814972</v>
      </c>
      <c r="AG488" s="381">
        <f t="shared" si="959"/>
        <v>0.0045806451612903226</v>
      </c>
      <c r="AH488" s="381">
        <f t="shared" si="959"/>
        <v>0.0052906133937168686</v>
      </c>
      <c r="AI488" s="381">
        <f t="shared" si="960" ref="AI488:AU488">AI481/AI$483</f>
        <v>0.0054037038980116478</v>
      </c>
      <c r="AJ488" s="381">
        <f t="shared" si="960"/>
        <v>0.0047388070123171753</v>
      </c>
      <c r="AK488" s="1339">
        <f t="shared" si="960"/>
        <v>0.0049971426594536978</v>
      </c>
      <c r="AL488" s="381">
        <f t="shared" si="960"/>
        <v>0.0055344616770705958</v>
      </c>
      <c r="AM488" s="381">
        <f t="shared" si="960"/>
        <v>0.0053774711302715175</v>
      </c>
      <c r="AN488" s="381">
        <f t="shared" si="960"/>
        <v>0.0053712364805612407</v>
      </c>
      <c r="AO488" s="381">
        <f t="shared" si="960"/>
        <v>0.0049930797666392209</v>
      </c>
      <c r="AP488" s="1339">
        <f t="shared" si="960"/>
        <v>0.0053073156094622124</v>
      </c>
      <c r="AQ488" s="381">
        <f t="shared" si="960"/>
        <v>0.0047006605389158778</v>
      </c>
      <c r="AR488" s="381">
        <f t="shared" si="960"/>
        <v>0.0062576120280542621</v>
      </c>
      <c r="AS488" s="381">
        <f t="shared" si="960"/>
        <v>0.0062230167296276331</v>
      </c>
      <c r="AT488" s="381">
        <f t="shared" si="960"/>
        <v>0.0055475060238070429</v>
      </c>
      <c r="AU488" s="1339">
        <f t="shared" si="960"/>
        <v>0.0056894889103182248</v>
      </c>
      <c r="AV488" s="381">
        <f t="shared" si="961" ref="AV488:AZ488">AV481/AV$483</f>
        <v>0.0057171811003673498</v>
      </c>
      <c r="AW488" s="381">
        <f t="shared" si="961"/>
        <v>0.0069536078894367678</v>
      </c>
      <c r="AX488" s="381">
        <f t="shared" si="961"/>
        <v>0.0064709472465219638</v>
      </c>
      <c r="AY488" s="381">
        <f t="shared" si="961"/>
        <v>0.0051077224606155989</v>
      </c>
      <c r="AZ488" s="1339">
        <f t="shared" si="961"/>
        <v>0.0060329727256418471</v>
      </c>
      <c r="BA488" s="381">
        <f t="shared" si="962" ref="BA488:BR488">BA481/BA$483</f>
        <v>0.0050687957939482067</v>
      </c>
      <c r="BB488" s="381">
        <f t="shared" si="962"/>
        <v>0.0052756700426612822</v>
      </c>
      <c r="BC488" s="381">
        <f t="shared" si="962"/>
        <v>0.0052311607521560869</v>
      </c>
      <c r="BD488" s="381">
        <f t="shared" si="962"/>
        <v>0.0044520223548356538</v>
      </c>
      <c r="BE488" s="1339">
        <f t="shared" si="962"/>
        <v>0.0049928753713259864</v>
      </c>
      <c r="BF488" s="381">
        <f>BF481/BF$483</f>
        <v>0.004883282586631869</v>
      </c>
      <c r="BG488" s="381">
        <f>BG481/BG$483</f>
        <v>0.0058618198662203662</v>
      </c>
      <c r="BH488" s="813">
        <f>BH481/BH$483</f>
        <v>0.0059485775140727219</v>
      </c>
      <c r="BI488" s="909">
        <f t="shared" si="962"/>
        <v>0.0042025309053878067</v>
      </c>
      <c r="BJ488" s="1340">
        <f t="shared" si="962"/>
        <v>0.0052346583535194365</v>
      </c>
      <c r="BK488" s="909">
        <f t="shared" si="962"/>
        <v>0.0038736238701852759</v>
      </c>
      <c r="BL488" s="909">
        <f t="shared" si="962"/>
        <v>0.005328489215493142</v>
      </c>
      <c r="BM488" s="909">
        <f t="shared" si="962"/>
        <v>0.0055027526236939173</v>
      </c>
      <c r="BN488" s="909">
        <f t="shared" si="962"/>
        <v>0.0039343589714749419</v>
      </c>
      <c r="BO488" s="1340">
        <f t="shared" si="962"/>
        <v>0.0046557165039232476</v>
      </c>
      <c r="BP488" s="1339">
        <f t="shared" si="962"/>
        <v>0.0045852981270384481</v>
      </c>
      <c r="BQ488" s="1339">
        <f t="shared" si="962"/>
        <v>0.0046251980394015294</v>
      </c>
      <c r="BR488" s="1340">
        <f t="shared" si="962"/>
        <v>0.0046654240096813482</v>
      </c>
      <c r="BS488" s="648"/>
    </row>
    <row r="489" spans="1:71" s="676" customFormat="1" ht="15">
      <c r="A489" s="999" t="s">
        <v>684</v>
      </c>
      <c r="B489" s="396"/>
      <c r="C489" s="1339">
        <f t="shared" si="963" ref="C489:AH489">C480/C$483</f>
        <v>0</v>
      </c>
      <c r="D489" s="1339">
        <f t="shared" si="963"/>
        <v>0.016575202918076959</v>
      </c>
      <c r="E489" s="1339">
        <f t="shared" si="963"/>
        <v>0.016894247714680562</v>
      </c>
      <c r="F489" s="1339">
        <f t="shared" si="963"/>
        <v>0.01649506260280147</v>
      </c>
      <c r="G489" s="1339">
        <f t="shared" si="963"/>
        <v>0.016058643215250759</v>
      </c>
      <c r="H489" s="381">
        <f t="shared" si="963"/>
        <v>0.015464355510238764</v>
      </c>
      <c r="I489" s="381">
        <f t="shared" si="963"/>
        <v>0.015691236950332178</v>
      </c>
      <c r="J489" s="381">
        <f t="shared" si="963"/>
        <v>0.015924970101340721</v>
      </c>
      <c r="K489" s="381">
        <f t="shared" si="963"/>
        <v>0.016614504849117119</v>
      </c>
      <c r="L489" s="1339">
        <f t="shared" si="963"/>
        <v>0.015940055901069547</v>
      </c>
      <c r="M489" s="381">
        <f t="shared" si="963"/>
        <v>0.015055257083324825</v>
      </c>
      <c r="N489" s="381">
        <f t="shared" si="963"/>
        <v>0.01417674559460943</v>
      </c>
      <c r="O489" s="381">
        <f t="shared" si="963"/>
        <v>0.015036596002882168</v>
      </c>
      <c r="P489" s="381">
        <f t="shared" si="963"/>
        <v>0.01371866553115858</v>
      </c>
      <c r="Q489" s="1339">
        <f t="shared" si="963"/>
        <v>0.014481773106100569</v>
      </c>
      <c r="R489" s="381">
        <f t="shared" si="963"/>
        <v>0.014197031039136304</v>
      </c>
      <c r="S489" s="381">
        <f t="shared" si="963"/>
        <v>0.014176962864949389</v>
      </c>
      <c r="T489" s="381">
        <f t="shared" si="963"/>
        <v>0.014625105307497893</v>
      </c>
      <c r="U489" s="381">
        <f t="shared" si="963"/>
        <v>0.013752936570086138</v>
      </c>
      <c r="V489" s="1339">
        <f t="shared" si="963"/>
        <v>0.014184306398082026</v>
      </c>
      <c r="W489" s="381">
        <f t="shared" si="963"/>
        <v>0.013477387411613967</v>
      </c>
      <c r="X489" s="381">
        <f t="shared" si="963"/>
        <v>0.013442935646487122</v>
      </c>
      <c r="Y489" s="381">
        <f t="shared" si="963"/>
        <v>0.014178862746252834</v>
      </c>
      <c r="Z489" s="381">
        <f t="shared" si="963"/>
        <v>0.014087474367257507</v>
      </c>
      <c r="AA489" s="1339">
        <f t="shared" si="963"/>
        <v>0.01380826409329707</v>
      </c>
      <c r="AB489" s="381">
        <f t="shared" si="963"/>
        <v>0.013970202285298983</v>
      </c>
      <c r="AC489" s="381">
        <f t="shared" si="963"/>
        <v>0.014467448241456722</v>
      </c>
      <c r="AD489" s="381">
        <f t="shared" si="963"/>
        <v>0.014430659855457988</v>
      </c>
      <c r="AE489" s="381">
        <f t="shared" si="963"/>
        <v>0.016154123781906886</v>
      </c>
      <c r="AF489" s="1339">
        <f t="shared" si="963"/>
        <v>0.014765940148222269</v>
      </c>
      <c r="AG489" s="381">
        <f t="shared" si="963"/>
        <v>0.013999999999999999</v>
      </c>
      <c r="AH489" s="381">
        <f t="shared" si="963"/>
        <v>0.014263493709460678</v>
      </c>
      <c r="AI489" s="381">
        <f t="shared" si="964" ref="AI489:AU489">AI480/AI$483</f>
        <v>0.014521798436598293</v>
      </c>
      <c r="AJ489" s="381">
        <f t="shared" si="964"/>
        <v>0.014923983577101051</v>
      </c>
      <c r="AK489" s="1339">
        <f t="shared" si="964"/>
        <v>0.014445586241713075</v>
      </c>
      <c r="AL489" s="381">
        <f t="shared" si="964"/>
        <v>0.016463950919192567</v>
      </c>
      <c r="AM489" s="381">
        <f t="shared" si="964"/>
        <v>0.011803093413053585</v>
      </c>
      <c r="AN489" s="381">
        <f t="shared" si="964"/>
        <v>0.013866559485530552</v>
      </c>
      <c r="AO489" s="381">
        <f t="shared" si="964"/>
        <v>0.014777764151439228</v>
      </c>
      <c r="AP489" s="1339">
        <f t="shared" si="964"/>
        <v>0.0141473717769896</v>
      </c>
      <c r="AQ489" s="381">
        <f t="shared" si="964"/>
        <v>0.01447768496837102</v>
      </c>
      <c r="AR489" s="381">
        <f t="shared" si="964"/>
        <v>0.014799882407290747</v>
      </c>
      <c r="AS489" s="381">
        <f t="shared" si="964"/>
        <v>0.01474804371289801</v>
      </c>
      <c r="AT489" s="381">
        <f t="shared" si="964"/>
        <v>0.01400885359547234</v>
      </c>
      <c r="AU489" s="1339">
        <f t="shared" si="964"/>
        <v>0.014502536581275417</v>
      </c>
      <c r="AV489" s="381">
        <f t="shared" si="965" ref="AV489:AZ489">AV480/AV$483</f>
        <v>0.014694084364311947</v>
      </c>
      <c r="AW489" s="381">
        <f t="shared" si="965"/>
        <v>0.015322244600319468</v>
      </c>
      <c r="AX489" s="381">
        <f t="shared" si="965"/>
        <v>0.014193831082455673</v>
      </c>
      <c r="AY489" s="381">
        <f t="shared" si="965"/>
        <v>0.014120476918736731</v>
      </c>
      <c r="AZ489" s="1339">
        <f t="shared" si="965"/>
        <v>0.014555327782111519</v>
      </c>
      <c r="BA489" s="381">
        <f t="shared" si="966" ref="BA489:BR489">BA480/BA$483</f>
        <v>0.014416354382236141</v>
      </c>
      <c r="BB489" s="381">
        <f t="shared" si="966"/>
        <v>0.014765362946559417</v>
      </c>
      <c r="BC489" s="381">
        <f t="shared" si="966"/>
        <v>0.014376052337313471</v>
      </c>
      <c r="BD489" s="381">
        <f t="shared" si="966"/>
        <v>0.013764563796533109</v>
      </c>
      <c r="BE489" s="1339">
        <f t="shared" si="966"/>
        <v>0.014315270856646032</v>
      </c>
      <c r="BF489" s="381">
        <f>BF480/BF$483</f>
        <v>0.013716108452950558</v>
      </c>
      <c r="BG489" s="381">
        <f>BG480/BG$483</f>
        <v>0.01432644215657621</v>
      </c>
      <c r="BH489" s="813">
        <f>BH480/BH$483</f>
        <v>0.01410314924691921</v>
      </c>
      <c r="BI489" s="909">
        <f t="shared" si="966"/>
        <v>0.012993197280620549</v>
      </c>
      <c r="BJ489" s="1340">
        <f t="shared" si="966"/>
        <v>0.013785371805559995</v>
      </c>
      <c r="BK489" s="909">
        <f t="shared" si="966"/>
        <v>0.010880190561743679</v>
      </c>
      <c r="BL489" s="909">
        <f t="shared" si="966"/>
        <v>0.013022967997978536</v>
      </c>
      <c r="BM489" s="909">
        <f t="shared" si="966"/>
        <v>0.013046167985074833</v>
      </c>
      <c r="BN489" s="909">
        <f t="shared" si="966"/>
        <v>0.012164075277498992</v>
      </c>
      <c r="BO489" s="1340">
        <f t="shared" si="966"/>
        <v>0.012260739611537971</v>
      </c>
      <c r="BP489" s="1339">
        <f t="shared" si="966"/>
        <v>0.012075294174273027</v>
      </c>
      <c r="BQ489" s="1339">
        <f t="shared" si="966"/>
        <v>0.012180369823873834</v>
      </c>
      <c r="BR489" s="1340">
        <f t="shared" si="966"/>
        <v>0.012286304140709215</v>
      </c>
      <c r="BS489" s="648"/>
    </row>
    <row r="490" spans="1:71" s="676" customFormat="1" ht="15">
      <c r="A490" s="999" t="s">
        <v>685</v>
      </c>
      <c r="B490" s="396"/>
      <c r="C490" s="1339">
        <f t="shared" si="967" ref="C490:AH490">C482/C$483</f>
        <v>0</v>
      </c>
      <c r="D490" s="1339">
        <f t="shared" si="967"/>
        <v>0.00042062370608918534</v>
      </c>
      <c r="E490" s="1339">
        <f t="shared" si="967"/>
        <v>-6.3393049586043394E-06</v>
      </c>
      <c r="F490" s="1339">
        <f t="shared" si="967"/>
        <v>-0.00010536235871200372</v>
      </c>
      <c r="G490" s="1339">
        <f t="shared" si="967"/>
        <v>-0.00023664210358320168</v>
      </c>
      <c r="H490" s="381">
        <f t="shared" si="967"/>
        <v>0</v>
      </c>
      <c r="I490" s="381">
        <f t="shared" si="967"/>
        <v>0</v>
      </c>
      <c r="J490" s="381">
        <f t="shared" si="967"/>
        <v>-0.0010071127336816266</v>
      </c>
      <c r="K490" s="381">
        <f t="shared" si="967"/>
        <v>0</v>
      </c>
      <c r="L490" s="1339">
        <f t="shared" si="967"/>
        <v>-0.00024753241127510128</v>
      </c>
      <c r="M490" s="381">
        <f t="shared" si="967"/>
        <v>0</v>
      </c>
      <c r="N490" s="381">
        <f t="shared" si="967"/>
        <v>0</v>
      </c>
      <c r="O490" s="381">
        <f t="shared" si="967"/>
        <v>-0.00017065493571997417</v>
      </c>
      <c r="P490" s="381">
        <f t="shared" si="967"/>
        <v>0</v>
      </c>
      <c r="Q490" s="1339">
        <f t="shared" si="967"/>
        <v>-4.3157601971822894E-05</v>
      </c>
      <c r="R490" s="381">
        <f t="shared" si="967"/>
        <v>0</v>
      </c>
      <c r="S490" s="381">
        <f t="shared" si="967"/>
        <v>0.00027494715859295788</v>
      </c>
      <c r="T490" s="381">
        <f t="shared" si="967"/>
        <v>0</v>
      </c>
      <c r="U490" s="381">
        <f t="shared" si="967"/>
        <v>0</v>
      </c>
      <c r="V490" s="1339">
        <f t="shared" si="967"/>
        <v>6.825530898325187E-05</v>
      </c>
      <c r="W490" s="381">
        <f t="shared" si="967"/>
        <v>3.1637059651675982E-05</v>
      </c>
      <c r="X490" s="381">
        <f t="shared" si="967"/>
        <v>0</v>
      </c>
      <c r="Y490" s="381">
        <f t="shared" si="967"/>
        <v>0</v>
      </c>
      <c r="Z490" s="381">
        <f t="shared" si="967"/>
        <v>-0.00016854406022641082</v>
      </c>
      <c r="AA490" s="1339">
        <f t="shared" si="967"/>
        <v>-3.7259212340251133E-05</v>
      </c>
      <c r="AB490" s="381">
        <f t="shared" si="967"/>
        <v>0</v>
      </c>
      <c r="AC490" s="381">
        <f t="shared" si="967"/>
        <v>0</v>
      </c>
      <c r="AD490" s="381">
        <f t="shared" si="967"/>
        <v>0</v>
      </c>
      <c r="AE490" s="381">
        <f t="shared" si="967"/>
        <v>0</v>
      </c>
      <c r="AF490" s="1339">
        <f t="shared" si="967"/>
        <v>0</v>
      </c>
      <c r="AG490" s="381">
        <f t="shared" si="967"/>
        <v>0</v>
      </c>
      <c r="AH490" s="381">
        <f t="shared" si="967"/>
        <v>0</v>
      </c>
      <c r="AI490" s="381">
        <f t="shared" si="968" ref="AI490:AU490">AI482/AI$483</f>
        <v>0</v>
      </c>
      <c r="AJ490" s="381">
        <f t="shared" si="968"/>
        <v>0</v>
      </c>
      <c r="AK490" s="1339">
        <f t="shared" si="968"/>
        <v>0</v>
      </c>
      <c r="AL490" s="381">
        <f t="shared" si="968"/>
        <v>0</v>
      </c>
      <c r="AM490" s="381">
        <f t="shared" si="968"/>
        <v>0</v>
      </c>
      <c r="AN490" s="381">
        <f t="shared" si="968"/>
        <v>0</v>
      </c>
      <c r="AO490" s="381">
        <f t="shared" si="968"/>
        <v>0</v>
      </c>
      <c r="AP490" s="1339">
        <f t="shared" si="968"/>
        <v>0</v>
      </c>
      <c r="AQ490" s="381">
        <f t="shared" si="968"/>
        <v>0</v>
      </c>
      <c r="AR490" s="381">
        <f t="shared" si="968"/>
        <v>0</v>
      </c>
      <c r="AS490" s="381">
        <f t="shared" si="968"/>
        <v>0</v>
      </c>
      <c r="AT490" s="381">
        <f t="shared" si="968"/>
        <v>0</v>
      </c>
      <c r="AU490" s="1339">
        <f t="shared" si="968"/>
        <v>0</v>
      </c>
      <c r="AV490" s="381">
        <f t="shared" si="969" ref="AV490:AZ490">AV482/AV$483</f>
        <v>0</v>
      </c>
      <c r="AW490" s="381">
        <f t="shared" si="969"/>
        <v>0</v>
      </c>
      <c r="AX490" s="381">
        <f t="shared" si="969"/>
        <v>0</v>
      </c>
      <c r="AY490" s="381">
        <f t="shared" si="969"/>
        <v>0</v>
      </c>
      <c r="AZ490" s="1339">
        <f t="shared" si="969"/>
        <v>0</v>
      </c>
      <c r="BA490" s="381">
        <f t="shared" si="970" ref="BA490:BR490">BA482/BA$483</f>
        <v>0</v>
      </c>
      <c r="BB490" s="381">
        <f t="shared" si="970"/>
        <v>0</v>
      </c>
      <c r="BC490" s="381">
        <f t="shared" si="970"/>
        <v>0</v>
      </c>
      <c r="BD490" s="381">
        <f t="shared" si="970"/>
        <v>0</v>
      </c>
      <c r="BE490" s="1339">
        <f t="shared" si="970"/>
        <v>0</v>
      </c>
      <c r="BF490" s="381">
        <f>BF482/BF$483</f>
        <v>0</v>
      </c>
      <c r="BG490" s="381">
        <f>BG482/BG$483</f>
        <v>0</v>
      </c>
      <c r="BH490" s="813">
        <f>BH482/BH$483</f>
        <v>0</v>
      </c>
      <c r="BI490" s="909">
        <f t="shared" si="970"/>
        <v>0</v>
      </c>
      <c r="BJ490" s="1340">
        <f t="shared" si="970"/>
        <v>0</v>
      </c>
      <c r="BK490" s="909">
        <f t="shared" si="970"/>
        <v>0</v>
      </c>
      <c r="BL490" s="909">
        <f t="shared" si="970"/>
        <v>0</v>
      </c>
      <c r="BM490" s="909">
        <f t="shared" si="970"/>
        <v>0</v>
      </c>
      <c r="BN490" s="909">
        <f t="shared" si="970"/>
        <v>0</v>
      </c>
      <c r="BO490" s="1340">
        <f t="shared" si="970"/>
        <v>0</v>
      </c>
      <c r="BP490" s="1339">
        <f t="shared" si="970"/>
        <v>0</v>
      </c>
      <c r="BQ490" s="1339">
        <f t="shared" si="970"/>
        <v>0</v>
      </c>
      <c r="BR490" s="1340">
        <f t="shared" si="970"/>
        <v>0</v>
      </c>
      <c r="BS490" s="648"/>
    </row>
    <row r="491" spans="1:71" s="671" customFormat="1" ht="15">
      <c r="A491" s="570" t="s">
        <v>665</v>
      </c>
      <c r="B491" s="557"/>
      <c r="C491" s="1358">
        <f t="shared" si="971" ref="C491:AT491">C490+C489+C488+C487+C486+C485</f>
        <v>0.99999999999999989</v>
      </c>
      <c r="D491" s="1358">
        <f t="shared" si="971"/>
        <v>1</v>
      </c>
      <c r="E491" s="1358">
        <f t="shared" si="971"/>
        <v>1</v>
      </c>
      <c r="F491" s="1358">
        <f t="shared" si="971"/>
        <v>1</v>
      </c>
      <c r="G491" s="1358">
        <f t="shared" si="971"/>
        <v>1</v>
      </c>
      <c r="H491" s="560">
        <f t="shared" si="971"/>
        <v>1</v>
      </c>
      <c r="I491" s="560">
        <f t="shared" si="971"/>
        <v>1.0000000000000002</v>
      </c>
      <c r="J491" s="560">
        <f t="shared" si="971"/>
        <v>1.0000000000000002</v>
      </c>
      <c r="K491" s="560">
        <f t="shared" si="971"/>
        <v>1.0000000000000002</v>
      </c>
      <c r="L491" s="1358">
        <f t="shared" si="971"/>
        <v>0.99999999999999989</v>
      </c>
      <c r="M491" s="560">
        <f t="shared" si="971"/>
        <v>1</v>
      </c>
      <c r="N491" s="560">
        <f t="shared" si="971"/>
        <v>1</v>
      </c>
      <c r="O491" s="560">
        <f t="shared" si="971"/>
        <v>0.99999999999999989</v>
      </c>
      <c r="P491" s="560">
        <f t="shared" si="971"/>
        <v>1</v>
      </c>
      <c r="Q491" s="1358">
        <f t="shared" si="971"/>
        <v>1</v>
      </c>
      <c r="R491" s="560">
        <f t="shared" si="971"/>
        <v>1.0000000000000002</v>
      </c>
      <c r="S491" s="560">
        <f t="shared" si="971"/>
        <v>0.99999999999999978</v>
      </c>
      <c r="T491" s="560">
        <f t="shared" si="971"/>
        <v>0.99999999999999989</v>
      </c>
      <c r="U491" s="560">
        <f t="shared" si="971"/>
        <v>0.99999999999999989</v>
      </c>
      <c r="V491" s="1358">
        <f t="shared" si="971"/>
        <v>1</v>
      </c>
      <c r="W491" s="560">
        <f t="shared" si="971"/>
        <v>1</v>
      </c>
      <c r="X491" s="560">
        <f t="shared" si="971"/>
        <v>0.99999999999999989</v>
      </c>
      <c r="Y491" s="560">
        <f t="shared" si="971"/>
        <v>1</v>
      </c>
      <c r="Z491" s="560">
        <f t="shared" si="971"/>
        <v>0.99999999999999989</v>
      </c>
      <c r="AA491" s="1358">
        <f t="shared" si="971"/>
        <v>1.0000000000000002</v>
      </c>
      <c r="AB491" s="560">
        <f t="shared" si="971"/>
        <v>0.99999999999999989</v>
      </c>
      <c r="AC491" s="560">
        <f t="shared" si="971"/>
        <v>1</v>
      </c>
      <c r="AD491" s="560">
        <f t="shared" si="971"/>
        <v>0.99999999999999989</v>
      </c>
      <c r="AE491" s="560">
        <f t="shared" si="971"/>
        <v>0.99999999999999989</v>
      </c>
      <c r="AF491" s="1358">
        <f t="shared" si="971"/>
        <v>1</v>
      </c>
      <c r="AG491" s="560">
        <f t="shared" si="971"/>
        <v>0.99999999999999989</v>
      </c>
      <c r="AH491" s="560">
        <f t="shared" si="971"/>
        <v>1.0000000000000002</v>
      </c>
      <c r="AI491" s="560">
        <f t="shared" si="971"/>
        <v>1</v>
      </c>
      <c r="AJ491" s="560">
        <f t="shared" si="971"/>
        <v>1.0000000000000002</v>
      </c>
      <c r="AK491" s="1358">
        <f t="shared" si="971"/>
        <v>1.0000000000000002</v>
      </c>
      <c r="AL491" s="560">
        <f t="shared" si="971"/>
        <v>0.99999999999999989</v>
      </c>
      <c r="AM491" s="560">
        <f t="shared" si="971"/>
        <v>1</v>
      </c>
      <c r="AN491" s="560">
        <f t="shared" si="971"/>
        <v>1.0000000000000002</v>
      </c>
      <c r="AO491" s="560">
        <f t="shared" si="971"/>
        <v>0.99999999999999978</v>
      </c>
      <c r="AP491" s="1358">
        <f t="shared" si="971"/>
        <v>1</v>
      </c>
      <c r="AQ491" s="560">
        <f t="shared" si="971"/>
        <v>1</v>
      </c>
      <c r="AR491" s="560">
        <f t="shared" si="971"/>
        <v>0.99999999999999989</v>
      </c>
      <c r="AS491" s="560">
        <f t="shared" si="971"/>
        <v>1.0000000000000002</v>
      </c>
      <c r="AT491" s="560">
        <f t="shared" si="971"/>
        <v>1</v>
      </c>
      <c r="AU491" s="1358">
        <f t="shared" si="972" ref="AU491:AZ491">AU490+AU489+AU488+AU487+AU486+AU485</f>
        <v>0.99999999999999989</v>
      </c>
      <c r="AV491" s="560">
        <f t="shared" si="972"/>
        <v>0.99999999999999989</v>
      </c>
      <c r="AW491" s="560">
        <f t="shared" si="972"/>
        <v>1</v>
      </c>
      <c r="AX491" s="560">
        <f t="shared" si="972"/>
        <v>1</v>
      </c>
      <c r="AY491" s="560">
        <f t="shared" si="972"/>
        <v>1</v>
      </c>
      <c r="AZ491" s="1358">
        <f t="shared" si="972"/>
        <v>0.99999999999999978</v>
      </c>
      <c r="BA491" s="560">
        <f t="shared" si="973" ref="BA491:BR491">BA490+BA489+BA488+BA487+BA486+BA485</f>
        <v>1</v>
      </c>
      <c r="BB491" s="560">
        <f t="shared" si="973"/>
        <v>0.99999999999999989</v>
      </c>
      <c r="BC491" s="560">
        <f t="shared" si="973"/>
        <v>0.99999999999999989</v>
      </c>
      <c r="BD491" s="560">
        <f t="shared" si="973"/>
        <v>1</v>
      </c>
      <c r="BE491" s="1358">
        <f t="shared" si="973"/>
        <v>1</v>
      </c>
      <c r="BF491" s="560">
        <f>BF490+BF489+BF488+BF487+BF486+BF485</f>
        <v>1</v>
      </c>
      <c r="BG491" s="560">
        <f>BG490+BG489+BG488+BG487+BG486+BG485</f>
        <v>1</v>
      </c>
      <c r="BH491" s="829">
        <f>BH490+BH489+BH488+BH487+BH486+BH485</f>
        <v>1</v>
      </c>
      <c r="BI491" s="560">
        <f t="shared" si="973"/>
        <v>1</v>
      </c>
      <c r="BJ491" s="1358">
        <f t="shared" si="973"/>
        <v>1.0000000000000002</v>
      </c>
      <c r="BK491" s="560">
        <f t="shared" si="973"/>
        <v>1</v>
      </c>
      <c r="BL491" s="560">
        <f t="shared" si="973"/>
        <v>1</v>
      </c>
      <c r="BM491" s="560">
        <f t="shared" si="973"/>
        <v>1</v>
      </c>
      <c r="BN491" s="560">
        <f t="shared" si="973"/>
        <v>1</v>
      </c>
      <c r="BO491" s="1358">
        <f t="shared" si="973"/>
        <v>1</v>
      </c>
      <c r="BP491" s="1358">
        <f t="shared" si="973"/>
        <v>1</v>
      </c>
      <c r="BQ491" s="1358">
        <f t="shared" si="973"/>
        <v>0.99999999999999989</v>
      </c>
      <c r="BR491" s="1358">
        <f t="shared" si="973"/>
        <v>1</v>
      </c>
      <c r="BS491" s="648"/>
    </row>
    <row r="492" spans="1:71" s="671" customFormat="1" ht="15">
      <c r="A492" s="573"/>
      <c r="B492" s="588"/>
      <c r="C492" s="1331"/>
      <c r="D492" s="1331"/>
      <c r="E492" s="1331"/>
      <c r="F492" s="1331"/>
      <c r="G492" s="1331"/>
      <c r="H492" s="289"/>
      <c r="I492" s="289"/>
      <c r="J492" s="289"/>
      <c r="K492" s="289"/>
      <c r="L492" s="1331"/>
      <c r="M492" s="289"/>
      <c r="N492" s="289"/>
      <c r="O492" s="289"/>
      <c r="P492" s="289"/>
      <c r="Q492" s="1331"/>
      <c r="R492" s="289"/>
      <c r="S492" s="289"/>
      <c r="T492" s="289"/>
      <c r="U492" s="289"/>
      <c r="V492" s="1331"/>
      <c r="W492" s="289"/>
      <c r="X492" s="289"/>
      <c r="Y492" s="289"/>
      <c r="Z492" s="289"/>
      <c r="AA492" s="1331"/>
      <c r="AB492" s="289"/>
      <c r="AC492" s="289"/>
      <c r="AD492" s="289"/>
      <c r="AE492" s="289"/>
      <c r="AF492" s="1331"/>
      <c r="AG492" s="289"/>
      <c r="AH492" s="289"/>
      <c r="AI492" s="289"/>
      <c r="AJ492" s="289"/>
      <c r="AK492" s="1331"/>
      <c r="AL492" s="289"/>
      <c r="AM492" s="289"/>
      <c r="AN492" s="289"/>
      <c r="AO492" s="289"/>
      <c r="AP492" s="1331"/>
      <c r="AQ492" s="289"/>
      <c r="AR492" s="289"/>
      <c r="AS492" s="289"/>
      <c r="AT492" s="289"/>
      <c r="AU492" s="1331"/>
      <c r="AV492" s="289"/>
      <c r="AW492" s="289"/>
      <c r="AX492" s="289"/>
      <c r="AY492" s="289"/>
      <c r="AZ492" s="1331"/>
      <c r="BA492" s="289"/>
      <c r="BB492" s="289"/>
      <c r="BC492" s="289"/>
      <c r="BD492" s="289"/>
      <c r="BE492" s="1331"/>
      <c r="BF492" s="289"/>
      <c r="BG492" s="289"/>
      <c r="BH492" s="819"/>
      <c r="BI492" s="289"/>
      <c r="BJ492" s="1331"/>
      <c r="BK492" s="289"/>
      <c r="BL492" s="289"/>
      <c r="BM492" s="289"/>
      <c r="BN492" s="289"/>
      <c r="BO492" s="1331"/>
      <c r="BP492" s="1331"/>
      <c r="BQ492" s="1331"/>
      <c r="BR492" s="1331"/>
      <c r="BS492" s="648"/>
    </row>
    <row r="493" spans="1:71" s="665" customFormat="1" ht="15">
      <c r="A493" s="999" t="s">
        <v>690</v>
      </c>
      <c r="B493" s="490"/>
      <c r="C493" s="1351">
        <f t="shared" si="974" ref="C493:AT493">C299</f>
        <v>1175.6000000000001</v>
      </c>
      <c r="D493" s="1351">
        <f t="shared" si="974"/>
        <v>1083.50</v>
      </c>
      <c r="E493" s="1351">
        <f t="shared" si="974"/>
        <v>1047.30</v>
      </c>
      <c r="F493" s="1351">
        <f t="shared" si="974"/>
        <v>708.90</v>
      </c>
      <c r="G493" s="1351">
        <f t="shared" si="974"/>
        <v>1120.0999999999999</v>
      </c>
      <c r="H493" s="1047">
        <f t="shared" si="974"/>
        <v>289.80</v>
      </c>
      <c r="I493" s="1047">
        <f t="shared" si="974"/>
        <v>332.30</v>
      </c>
      <c r="J493" s="1047">
        <f t="shared" si="974"/>
        <v>339.80</v>
      </c>
      <c r="K493" s="1047">
        <f t="shared" si="974"/>
        <v>448.40</v>
      </c>
      <c r="L493" s="1351">
        <f t="shared" si="974"/>
        <v>1410.30</v>
      </c>
      <c r="M493" s="1047">
        <f t="shared" si="974"/>
        <v>341.60</v>
      </c>
      <c r="N493" s="1047">
        <f t="shared" si="974"/>
        <v>373.80</v>
      </c>
      <c r="O493" s="1047">
        <f t="shared" si="974"/>
        <v>364.90</v>
      </c>
      <c r="P493" s="1047">
        <f t="shared" si="974"/>
        <v>414.90</v>
      </c>
      <c r="Q493" s="1351">
        <f t="shared" si="974"/>
        <v>1495.1999999999998</v>
      </c>
      <c r="R493" s="1047">
        <f t="shared" si="974"/>
        <v>286.80</v>
      </c>
      <c r="S493" s="1047">
        <f t="shared" si="974"/>
        <v>175.60</v>
      </c>
      <c r="T493" s="1047">
        <f t="shared" si="974"/>
        <v>197</v>
      </c>
      <c r="U493" s="1047">
        <f t="shared" si="974"/>
        <v>431.70</v>
      </c>
      <c r="V493" s="1351">
        <f t="shared" si="974"/>
        <v>1091.1000000000001</v>
      </c>
      <c r="W493" s="1047">
        <f t="shared" si="974"/>
        <v>500</v>
      </c>
      <c r="X493" s="1047">
        <f t="shared" si="974"/>
        <v>427.99999999999994</v>
      </c>
      <c r="Y493" s="1047">
        <f t="shared" si="974"/>
        <v>172</v>
      </c>
      <c r="Z493" s="1047">
        <f t="shared" si="974"/>
        <v>586.9000000000002</v>
      </c>
      <c r="AA493" s="1351">
        <f t="shared" si="974"/>
        <v>1686.90</v>
      </c>
      <c r="AB493" s="1047">
        <f t="shared" si="974"/>
        <v>830.60</v>
      </c>
      <c r="AC493" s="1047">
        <f t="shared" si="974"/>
        <v>697.20</v>
      </c>
      <c r="AD493" s="1047">
        <f t="shared" si="974"/>
        <v>771.40</v>
      </c>
      <c r="AE493" s="1047">
        <f t="shared" si="974"/>
        <v>615.79999999999995</v>
      </c>
      <c r="AF493" s="1351">
        <f t="shared" si="974"/>
        <v>2915</v>
      </c>
      <c r="AG493" s="1047">
        <f t="shared" si="974"/>
        <v>949.20</v>
      </c>
      <c r="AH493" s="1047">
        <f t="shared" si="974"/>
        <v>851.30</v>
      </c>
      <c r="AI493" s="1047">
        <f t="shared" si="974"/>
        <v>732.50</v>
      </c>
      <c r="AJ493" s="1047">
        <f t="shared" si="974"/>
        <v>754.30</v>
      </c>
      <c r="AK493" s="1351">
        <f t="shared" si="974"/>
        <v>3287.3000000000006</v>
      </c>
      <c r="AL493" s="1047">
        <f t="shared" si="974"/>
        <v>1236.30</v>
      </c>
      <c r="AM493" s="1047">
        <f t="shared" si="974"/>
        <v>1188.9000000000001</v>
      </c>
      <c r="AN493" s="1047">
        <f t="shared" si="974"/>
        <v>1217.0999999999999</v>
      </c>
      <c r="AO493" s="1047">
        <f t="shared" si="974"/>
        <v>1180.3999999999996</v>
      </c>
      <c r="AP493" s="1351">
        <f t="shared" si="974"/>
        <v>4822.70</v>
      </c>
      <c r="AQ493" s="1047">
        <f t="shared" si="974"/>
        <v>1119.8999999999999</v>
      </c>
      <c r="AR493" s="1047">
        <f t="shared" si="974"/>
        <v>382.80</v>
      </c>
      <c r="AS493" s="1047">
        <f t="shared" si="974"/>
        <v>-46.899999999999991</v>
      </c>
      <c r="AT493" s="1047">
        <f t="shared" si="974"/>
        <v>609.59999999999991</v>
      </c>
      <c r="AU493" s="1351">
        <f t="shared" si="975" ref="AU493:AZ493">AU299</f>
        <v>2065.40</v>
      </c>
      <c r="AV493" s="1047">
        <f t="shared" si="975"/>
        <v>648.79999999999995</v>
      </c>
      <c r="AW493" s="1047">
        <f t="shared" si="975"/>
        <v>538.50000000000011</v>
      </c>
      <c r="AX493" s="1047">
        <f t="shared" si="975"/>
        <v>94.300000000000011</v>
      </c>
      <c r="AY493" s="1047">
        <f>AY299</f>
        <v>782.39999999999986</v>
      </c>
      <c r="AZ493" s="1351">
        <f t="shared" si="975"/>
        <v>2064</v>
      </c>
      <c r="BA493" s="1047">
        <f t="shared" si="976" ref="BA493:BR493">BA299</f>
        <v>141.60000000000218</v>
      </c>
      <c r="BB493" s="1047">
        <f t="shared" si="976"/>
        <v>-64.299999999997453</v>
      </c>
      <c r="BC493" s="1047">
        <f t="shared" si="976"/>
        <v>1136.20</v>
      </c>
      <c r="BD493" s="1047">
        <f t="shared" si="976"/>
        <v>1778.7999999999979</v>
      </c>
      <c r="BE493" s="1351">
        <f t="shared" si="976"/>
        <v>2992.30</v>
      </c>
      <c r="BF493" s="1047">
        <f>BF299</f>
        <v>2249.8999999999978</v>
      </c>
      <c r="BG493" s="1047">
        <f>BG299</f>
        <v>1386.60</v>
      </c>
      <c r="BH493" s="1048">
        <f>BH299</f>
        <v>2004.40</v>
      </c>
      <c r="BI493" s="1047">
        <f t="shared" si="976"/>
        <v>1262.2447189208506</v>
      </c>
      <c r="BJ493" s="1351">
        <f t="shared" si="976"/>
        <v>6903.1447189208557</v>
      </c>
      <c r="BK493" s="1047">
        <f t="shared" si="976"/>
        <v>1553.6775793879351</v>
      </c>
      <c r="BL493" s="1047">
        <f t="shared" si="976"/>
        <v>1014.4262430745803</v>
      </c>
      <c r="BM493" s="1047">
        <f t="shared" si="976"/>
        <v>1149.1094475753307</v>
      </c>
      <c r="BN493" s="1047">
        <f t="shared" si="976"/>
        <v>1915.710297749818</v>
      </c>
      <c r="BO493" s="1351">
        <f t="shared" si="976"/>
        <v>5632.9235677876641</v>
      </c>
      <c r="BP493" s="1351">
        <f t="shared" si="976"/>
        <v>6043.6608031935029</v>
      </c>
      <c r="BQ493" s="1351">
        <f t="shared" si="976"/>
        <v>6389.8925365869363</v>
      </c>
      <c r="BR493" s="1351">
        <f t="shared" si="976"/>
        <v>6754.3390612805524</v>
      </c>
      <c r="BS493" s="648"/>
    </row>
    <row r="494" spans="1:71" s="665" customFormat="1" ht="15">
      <c r="A494" s="999" t="s">
        <v>47</v>
      </c>
      <c r="B494" s="490"/>
      <c r="C494" s="1351">
        <f t="shared" si="977" ref="C494:AU494">C459+C462</f>
        <v>523</v>
      </c>
      <c r="D494" s="1351">
        <f t="shared" si="977"/>
        <v>604.30000000000007</v>
      </c>
      <c r="E494" s="1351">
        <f t="shared" si="977"/>
        <v>569.10</v>
      </c>
      <c r="F494" s="1351">
        <f t="shared" si="977"/>
        <v>734.40000000000009</v>
      </c>
      <c r="G494" s="1351">
        <f t="shared" si="977"/>
        <v>721.59999999999991</v>
      </c>
      <c r="H494" s="1047">
        <f t="shared" si="977"/>
        <v>218.60000000000002</v>
      </c>
      <c r="I494" s="1047">
        <f t="shared" si="977"/>
        <v>133.59999999999999</v>
      </c>
      <c r="J494" s="1047">
        <f t="shared" si="977"/>
        <v>136</v>
      </c>
      <c r="K494" s="1047">
        <f t="shared" si="977"/>
        <v>125.49999999999999</v>
      </c>
      <c r="L494" s="1351">
        <f t="shared" si="977"/>
        <v>613.70000000000005</v>
      </c>
      <c r="M494" s="1047">
        <f t="shared" si="977"/>
        <v>132.80000000000001</v>
      </c>
      <c r="N494" s="1047">
        <f t="shared" si="977"/>
        <v>183.60000000000002</v>
      </c>
      <c r="O494" s="1047">
        <f t="shared" si="977"/>
        <v>96.800000000000011</v>
      </c>
      <c r="P494" s="1047">
        <f t="shared" si="977"/>
        <v>131.30000000000001</v>
      </c>
      <c r="Q494" s="1351">
        <f t="shared" si="977"/>
        <v>544.50</v>
      </c>
      <c r="R494" s="1047">
        <f t="shared" si="977"/>
        <v>131.39999999999998</v>
      </c>
      <c r="S494" s="1047">
        <f t="shared" si="977"/>
        <v>141.60000000000002</v>
      </c>
      <c r="T494" s="1047">
        <f t="shared" si="977"/>
        <v>93.799999999999983</v>
      </c>
      <c r="U494" s="1047">
        <f t="shared" si="977"/>
        <v>140.79999999999998</v>
      </c>
      <c r="V494" s="1351">
        <f t="shared" si="977"/>
        <v>507.60</v>
      </c>
      <c r="W494" s="1047">
        <f t="shared" si="977"/>
        <v>175.50000000000003</v>
      </c>
      <c r="X494" s="1047">
        <f t="shared" si="977"/>
        <v>164.29999999999998</v>
      </c>
      <c r="Y494" s="1047">
        <f t="shared" si="977"/>
        <v>112.39999999999999</v>
      </c>
      <c r="Z494" s="1047">
        <f t="shared" si="977"/>
        <v>136.60000000000002</v>
      </c>
      <c r="AA494" s="1351">
        <f t="shared" si="977"/>
        <v>588.80000000000007</v>
      </c>
      <c r="AB494" s="1047">
        <f t="shared" si="977"/>
        <v>112.10000000000002</v>
      </c>
      <c r="AC494" s="1047">
        <f t="shared" si="977"/>
        <v>218.70</v>
      </c>
      <c r="AD494" s="1047">
        <f t="shared" si="977"/>
        <v>394.40</v>
      </c>
      <c r="AE494" s="1047">
        <f t="shared" si="977"/>
        <v>-334.50</v>
      </c>
      <c r="AF494" s="1351">
        <f t="shared" si="977"/>
        <v>390.70000000000005</v>
      </c>
      <c r="AG494" s="1047">
        <f t="shared" si="977"/>
        <v>661.20</v>
      </c>
      <c r="AH494" s="1047">
        <f t="shared" si="977"/>
        <v>435</v>
      </c>
      <c r="AI494" s="1047">
        <f t="shared" si="977"/>
        <v>322.50</v>
      </c>
      <c r="AJ494" s="1047">
        <f t="shared" si="977"/>
        <v>627.90</v>
      </c>
      <c r="AK494" s="1351">
        <f t="shared" si="977"/>
        <v>2046.60</v>
      </c>
      <c r="AL494" s="1047">
        <f t="shared" si="977"/>
        <v>-317.69999999999993</v>
      </c>
      <c r="AM494" s="1047">
        <f t="shared" si="977"/>
        <v>1130.0999999999999</v>
      </c>
      <c r="AN494" s="1047">
        <f t="shared" si="977"/>
        <v>758.40000000000009</v>
      </c>
      <c r="AO494" s="1047">
        <f t="shared" si="977"/>
        <v>975.80</v>
      </c>
      <c r="AP494" s="1351">
        <f t="shared" si="977"/>
        <v>2546.60</v>
      </c>
      <c r="AQ494" s="1047">
        <f t="shared" si="977"/>
        <v>799.90</v>
      </c>
      <c r="AR494" s="1047">
        <f t="shared" si="977"/>
        <v>666.20</v>
      </c>
      <c r="AS494" s="1047">
        <f t="shared" si="977"/>
        <v>239.10000000000002</v>
      </c>
      <c r="AT494" s="1047">
        <f t="shared" si="977"/>
        <v>639.40</v>
      </c>
      <c r="AU494" s="1351">
        <f t="shared" si="977"/>
        <v>2344.60</v>
      </c>
      <c r="AV494" s="1047">
        <f t="shared" si="978" ref="AV494:AZ494">AV459+AV462</f>
        <v>-208.80</v>
      </c>
      <c r="AW494" s="1047">
        <f t="shared" si="978"/>
        <v>-891.20000000000027</v>
      </c>
      <c r="AX494" s="1047">
        <f t="shared" si="978"/>
        <v>111.40000000000003</v>
      </c>
      <c r="AY494" s="1047">
        <f t="shared" si="978"/>
        <v>312.40000000000038</v>
      </c>
      <c r="AZ494" s="1351">
        <f t="shared" si="978"/>
        <v>-676.19999999999982</v>
      </c>
      <c r="BA494" s="1047">
        <f t="shared" si="979" ref="BA494:BR494">BA459+BA462</f>
        <v>485.90</v>
      </c>
      <c r="BB494" s="1047">
        <f t="shared" si="979"/>
        <v>575.29999999999995</v>
      </c>
      <c r="BC494" s="1047">
        <f t="shared" si="979"/>
        <v>354</v>
      </c>
      <c r="BD494" s="1047">
        <f t="shared" si="979"/>
        <v>803.50</v>
      </c>
      <c r="BE494" s="1351">
        <f t="shared" si="979"/>
        <v>2218.6999999999998</v>
      </c>
      <c r="BF494" s="1047">
        <f>BF459+BF462</f>
        <v>767.50</v>
      </c>
      <c r="BG494" s="1047">
        <f>BG459+BG462</f>
        <v>551.39999999999986</v>
      </c>
      <c r="BH494" s="1048">
        <f>BH459+BH462</f>
        <v>1019.6999999999998</v>
      </c>
      <c r="BI494" s="1047">
        <f t="shared" si="979"/>
        <v>896.74528191256843</v>
      </c>
      <c r="BJ494" s="1351">
        <f t="shared" si="979"/>
        <v>3235.3452819125682</v>
      </c>
      <c r="BK494" s="1047">
        <f t="shared" si="979"/>
        <v>1035.8717979452056</v>
      </c>
      <c r="BL494" s="1047">
        <f t="shared" si="979"/>
        <v>869.55858653424673</v>
      </c>
      <c r="BM494" s="1047">
        <f t="shared" si="979"/>
        <v>943.95544331506858</v>
      </c>
      <c r="BN494" s="1047">
        <f t="shared" si="979"/>
        <v>944.16222421643829</v>
      </c>
      <c r="BO494" s="1351">
        <f t="shared" si="979"/>
        <v>3793.5480520109595</v>
      </c>
      <c r="BP494" s="1351">
        <f t="shared" si="979"/>
        <v>3662.1966971625006</v>
      </c>
      <c r="BQ494" s="1351">
        <f t="shared" si="979"/>
        <v>3845.3065320206251</v>
      </c>
      <c r="BR494" s="1351">
        <f t="shared" si="979"/>
        <v>4037.5718586216572</v>
      </c>
      <c r="BS494" s="648"/>
    </row>
    <row r="495" spans="1:71" s="665" customFormat="1" ht="15">
      <c r="A495" s="999" t="s">
        <v>691</v>
      </c>
      <c r="B495" s="490"/>
      <c r="C495" s="1351">
        <f t="shared" si="980" ref="C495:AT495">C481-C473</f>
        <v>-2.6999999999999993</v>
      </c>
      <c r="D495" s="1351">
        <f t="shared" si="980"/>
        <v>4.50</v>
      </c>
      <c r="E495" s="1351">
        <f t="shared" si="980"/>
        <v>3.4000000000000021</v>
      </c>
      <c r="F495" s="1351">
        <f t="shared" si="980"/>
        <v>0</v>
      </c>
      <c r="G495" s="1351">
        <f t="shared" si="980"/>
        <v>0.80000000000000426</v>
      </c>
      <c r="H495" s="1047">
        <f t="shared" si="980"/>
        <v>0.10000000000000142</v>
      </c>
      <c r="I495" s="1047">
        <f t="shared" si="980"/>
        <v>1.0999999999999996</v>
      </c>
      <c r="J495" s="1047">
        <f t="shared" si="980"/>
        <v>1.50</v>
      </c>
      <c r="K495" s="1047">
        <f t="shared" si="980"/>
        <v>2.4000000000000057</v>
      </c>
      <c r="L495" s="1351">
        <f t="shared" si="980"/>
        <v>5.1000000000000014</v>
      </c>
      <c r="M495" s="1047">
        <f t="shared" si="980"/>
        <v>1.2999999999999989</v>
      </c>
      <c r="N495" s="1047">
        <f t="shared" si="980"/>
        <v>2.8000000000000007</v>
      </c>
      <c r="O495" s="1047">
        <f t="shared" si="980"/>
        <v>2.7000000000000028</v>
      </c>
      <c r="P495" s="1047">
        <f t="shared" si="980"/>
        <v>1.9999999999999929</v>
      </c>
      <c r="Q495" s="1351">
        <f t="shared" si="980"/>
        <v>8.7999999999999972</v>
      </c>
      <c r="R495" s="1047">
        <f t="shared" si="980"/>
        <v>3.3999999999999986</v>
      </c>
      <c r="S495" s="1047">
        <f t="shared" si="980"/>
        <v>2.8000000000000007</v>
      </c>
      <c r="T495" s="1047">
        <f t="shared" si="980"/>
        <v>3</v>
      </c>
      <c r="U495" s="1047">
        <f t="shared" si="980"/>
        <v>2.0999999999999943</v>
      </c>
      <c r="V495" s="1351">
        <f t="shared" si="980"/>
        <v>11.299999999999997</v>
      </c>
      <c r="W495" s="1047">
        <f t="shared" si="980"/>
        <v>2.6000000000000014</v>
      </c>
      <c r="X495" s="1047">
        <f t="shared" si="980"/>
        <v>5.7000000000000028</v>
      </c>
      <c r="Y495" s="1047">
        <f t="shared" si="980"/>
        <v>4.3999999999999986</v>
      </c>
      <c r="Z495" s="1047">
        <f t="shared" si="980"/>
        <v>4.5999999999999943</v>
      </c>
      <c r="AA495" s="1351">
        <f t="shared" si="980"/>
        <v>17.299999999999997</v>
      </c>
      <c r="AB495" s="1047">
        <f t="shared" si="980"/>
        <v>4.9000000000000021</v>
      </c>
      <c r="AC495" s="1047">
        <f t="shared" si="980"/>
        <v>5.8999999999999986</v>
      </c>
      <c r="AD495" s="1047">
        <f t="shared" si="980"/>
        <v>6.7000000000000028</v>
      </c>
      <c r="AE495" s="1047">
        <f t="shared" si="980"/>
        <v>6.9000000000000057</v>
      </c>
      <c r="AF495" s="1351">
        <f t="shared" si="980"/>
        <v>24.400000000000006</v>
      </c>
      <c r="AG495" s="1047">
        <f t="shared" si="980"/>
        <v>4.50</v>
      </c>
      <c r="AH495" s="1047">
        <f t="shared" si="980"/>
        <v>4.7000000000000028</v>
      </c>
      <c r="AI495" s="1047">
        <f t="shared" si="980"/>
        <v>2.7999999999999972</v>
      </c>
      <c r="AJ495" s="1047">
        <f t="shared" si="980"/>
        <v>4.1000000000000227</v>
      </c>
      <c r="AK495" s="1351">
        <f t="shared" si="980"/>
        <v>16.099999999999994</v>
      </c>
      <c r="AL495" s="1047">
        <f t="shared" si="980"/>
        <v>4.1000000000000014</v>
      </c>
      <c r="AM495" s="1047">
        <f t="shared" si="980"/>
        <v>6.2000000000000028</v>
      </c>
      <c r="AN495" s="1047">
        <f t="shared" si="980"/>
        <v>4.3999999999999986</v>
      </c>
      <c r="AO495" s="1047">
        <f t="shared" si="980"/>
        <v>6.2000000000000171</v>
      </c>
      <c r="AP495" s="1351">
        <f t="shared" si="980"/>
        <v>20.900000000000006</v>
      </c>
      <c r="AQ495" s="1047">
        <f t="shared" si="980"/>
        <v>4.50</v>
      </c>
      <c r="AR495" s="1047">
        <f t="shared" si="980"/>
        <v>6.6000000000000085</v>
      </c>
      <c r="AS495" s="1047">
        <f t="shared" si="980"/>
        <v>1</v>
      </c>
      <c r="AT495" s="1047">
        <f t="shared" si="980"/>
        <v>6.4999999999999432</v>
      </c>
      <c r="AU495" s="1351">
        <f t="shared" si="981" ref="AU495:AZ495">AU481-AU473</f>
        <v>18.599999999999966</v>
      </c>
      <c r="AV495" s="1047">
        <f t="shared" si="981"/>
        <v>4.50</v>
      </c>
      <c r="AW495" s="1047">
        <f t="shared" si="981"/>
        <v>4.6000000000000227</v>
      </c>
      <c r="AX495" s="1047">
        <f t="shared" si="981"/>
        <v>-0.099999999999994316</v>
      </c>
      <c r="AY495" s="1047">
        <f t="shared" si="981"/>
        <v>-6.3999999999999773</v>
      </c>
      <c r="AZ495" s="1351">
        <f t="shared" si="981"/>
        <v>2.6000000000000227</v>
      </c>
      <c r="BA495" s="1047">
        <f t="shared" si="982" ref="BA495:BR495">BA481-BA473</f>
        <v>-9.7999999999999972</v>
      </c>
      <c r="BB495" s="1047">
        <f t="shared" si="982"/>
        <v>-9.6000000000000085</v>
      </c>
      <c r="BC495" s="1047">
        <f t="shared" si="982"/>
        <v>-10.299999999999997</v>
      </c>
      <c r="BD495" s="1047">
        <f t="shared" si="982"/>
        <v>-9.1999999999999602</v>
      </c>
      <c r="BE495" s="1351">
        <f t="shared" si="982"/>
        <v>-38.899999999999977</v>
      </c>
      <c r="BF495" s="1047">
        <f>BF481-BF473</f>
        <v>-7.8999999999999915</v>
      </c>
      <c r="BG495" s="1047">
        <f>BG481-BG473</f>
        <v>-8.0000000000000142</v>
      </c>
      <c r="BH495" s="1048">
        <f>BH481-BH473</f>
        <v>-9.4000000000000199</v>
      </c>
      <c r="BI495" s="1047">
        <f t="shared" si="982"/>
        <v>3.9480000000000075</v>
      </c>
      <c r="BJ495" s="1351">
        <f t="shared" si="982"/>
        <v>-21.351999999999975</v>
      </c>
      <c r="BK495" s="1047">
        <f t="shared" si="982"/>
        <v>0.88410000000000366</v>
      </c>
      <c r="BL495" s="1047">
        <f t="shared" si="982"/>
        <v>5.580750000000009</v>
      </c>
      <c r="BM495" s="1047">
        <f t="shared" si="982"/>
        <v>6.1582500000000095</v>
      </c>
      <c r="BN495" s="1047">
        <f t="shared" si="982"/>
        <v>4.1454000000000093</v>
      </c>
      <c r="BO495" s="1351">
        <f t="shared" si="982"/>
        <v>16.768500000000017</v>
      </c>
      <c r="BP495" s="1351">
        <f t="shared" si="982"/>
        <v>21.320145000000025</v>
      </c>
      <c r="BQ495" s="1351">
        <f t="shared" si="982"/>
        <v>22.386152250000009</v>
      </c>
      <c r="BR495" s="1351">
        <f t="shared" si="982"/>
        <v>23.505459862500004</v>
      </c>
      <c r="BS495" s="648"/>
    </row>
    <row r="496" spans="1:71" s="665" customFormat="1" ht="15">
      <c r="A496" s="371" t="s">
        <v>688</v>
      </c>
      <c r="B496" s="490"/>
      <c r="C496" s="1351">
        <f t="shared" si="983" ref="C496:AU496">-C618</f>
        <v>-139</v>
      </c>
      <c r="D496" s="1351">
        <f t="shared" si="983"/>
        <v>-133.50</v>
      </c>
      <c r="E496" s="1351">
        <f t="shared" si="983"/>
        <v>-132.69999999999999</v>
      </c>
      <c r="F496" s="1351">
        <f t="shared" si="983"/>
        <v>-123.80</v>
      </c>
      <c r="G496" s="1351">
        <f t="shared" si="983"/>
        <v>-118.20</v>
      </c>
      <c r="H496" s="1047">
        <f t="shared" si="983"/>
        <v>-26.70</v>
      </c>
      <c r="I496" s="1047">
        <f t="shared" si="983"/>
        <v>-29.60</v>
      </c>
      <c r="J496" s="1047">
        <f t="shared" si="983"/>
        <v>-30.70</v>
      </c>
      <c r="K496" s="1047">
        <f t="shared" si="983"/>
        <v>-29.900000000000006</v>
      </c>
      <c r="L496" s="1351">
        <f t="shared" si="983"/>
        <v>-116.90000000000001</v>
      </c>
      <c r="M496" s="1047">
        <f t="shared" si="983"/>
        <v>-32.50</v>
      </c>
      <c r="N496" s="1047">
        <f t="shared" si="983"/>
        <v>-34.90</v>
      </c>
      <c r="O496" s="1047">
        <f t="shared" si="983"/>
        <v>-34.50</v>
      </c>
      <c r="P496" s="1047">
        <f t="shared" si="983"/>
        <v>-34.099999999999994</v>
      </c>
      <c r="Q496" s="1351">
        <f t="shared" si="983"/>
        <v>-136</v>
      </c>
      <c r="R496" s="1047">
        <f t="shared" si="983"/>
        <v>-34.200000000000003</v>
      </c>
      <c r="S496" s="1047">
        <f t="shared" si="983"/>
        <v>-34.299999999999997</v>
      </c>
      <c r="T496" s="1047">
        <f t="shared" si="983"/>
        <v>-35.299999999999997</v>
      </c>
      <c r="U496" s="1047">
        <f t="shared" si="983"/>
        <v>-37.100000000000009</v>
      </c>
      <c r="V496" s="1351">
        <f t="shared" si="983"/>
        <v>-140.90000000000001</v>
      </c>
      <c r="W496" s="1047">
        <f t="shared" si="983"/>
        <v>-36.799999999999997</v>
      </c>
      <c r="X496" s="1047">
        <f t="shared" si="983"/>
        <v>-43.40</v>
      </c>
      <c r="Y496" s="1047">
        <f t="shared" si="983"/>
        <v>-37.40</v>
      </c>
      <c r="Z496" s="1047">
        <f t="shared" si="983"/>
        <v>-35.499999999999986</v>
      </c>
      <c r="AA496" s="1351">
        <f t="shared" si="983"/>
        <v>-153.09999999999999</v>
      </c>
      <c r="AB496" s="1047">
        <f t="shared" si="983"/>
        <v>-36.799999999999997</v>
      </c>
      <c r="AC496" s="1047">
        <f t="shared" si="983"/>
        <v>-41.70</v>
      </c>
      <c r="AD496" s="1047">
        <f t="shared" si="983"/>
        <v>-42</v>
      </c>
      <c r="AE496" s="1047">
        <f t="shared" si="983"/>
        <v>-46</v>
      </c>
      <c r="AF496" s="1351">
        <f t="shared" si="983"/>
        <v>-166.50</v>
      </c>
      <c r="AG496" s="1047">
        <f t="shared" si="983"/>
        <v>-47.40</v>
      </c>
      <c r="AH496" s="1047">
        <f t="shared" si="983"/>
        <v>-47.40</v>
      </c>
      <c r="AI496" s="1047">
        <f t="shared" si="983"/>
        <v>-47.50</v>
      </c>
      <c r="AJ496" s="1047">
        <f t="shared" si="983"/>
        <v>-47.399999999999984</v>
      </c>
      <c r="AK496" s="1351">
        <f t="shared" si="983"/>
        <v>-189.70</v>
      </c>
      <c r="AL496" s="1047">
        <f t="shared" si="983"/>
        <v>-48</v>
      </c>
      <c r="AM496" s="1047">
        <f t="shared" si="983"/>
        <v>-56.40</v>
      </c>
      <c r="AN496" s="1047">
        <f t="shared" si="983"/>
        <v>-56.40</v>
      </c>
      <c r="AO496" s="1047">
        <f t="shared" si="983"/>
        <v>-56.199999999999989</v>
      </c>
      <c r="AP496" s="1351">
        <f t="shared" si="983"/>
        <v>-217</v>
      </c>
      <c r="AQ496" s="1047">
        <f t="shared" si="983"/>
        <v>-56.40</v>
      </c>
      <c r="AR496" s="1047">
        <f t="shared" si="983"/>
        <v>-56.40</v>
      </c>
      <c r="AS496" s="1047">
        <f t="shared" si="983"/>
        <v>-54.20</v>
      </c>
      <c r="AT496" s="1047">
        <f t="shared" si="983"/>
        <v>-51.599999999999973</v>
      </c>
      <c r="AU496" s="1351">
        <f t="shared" si="983"/>
        <v>-218.60</v>
      </c>
      <c r="AV496" s="1047">
        <f t="shared" si="984" ref="AV496:AZ496">-AV618</f>
        <v>-54.30</v>
      </c>
      <c r="AW496" s="1047">
        <f t="shared" si="984"/>
        <v>-63</v>
      </c>
      <c r="AX496" s="1047">
        <f t="shared" si="984"/>
        <v>-63.10</v>
      </c>
      <c r="AY496" s="1047">
        <f t="shared" si="984"/>
        <v>-63.100000000000009</v>
      </c>
      <c r="AZ496" s="1351">
        <f t="shared" si="984"/>
        <v>-243.50</v>
      </c>
      <c r="BA496" s="1047">
        <f t="shared" si="985" ref="BA496:BR496">-BA618</f>
        <v>-63.30</v>
      </c>
      <c r="BB496" s="1047">
        <f t="shared" si="985"/>
        <v>-65.70</v>
      </c>
      <c r="BC496" s="1047">
        <f t="shared" si="985"/>
        <v>-69.70</v>
      </c>
      <c r="BD496" s="1047">
        <f t="shared" si="985"/>
        <v>-69.70</v>
      </c>
      <c r="BE496" s="1351">
        <f t="shared" si="985"/>
        <v>-268.39999999999998</v>
      </c>
      <c r="BF496" s="1047">
        <f>-BF618</f>
        <v>-69.599999999999994</v>
      </c>
      <c r="BG496" s="1047">
        <f>-BG618</f>
        <v>-69.599999999999994</v>
      </c>
      <c r="BH496" s="1048">
        <f>-BH618</f>
        <v>-69.900000000000006</v>
      </c>
      <c r="BI496" s="1047">
        <f t="shared" si="985"/>
        <v>-72.759331147540976</v>
      </c>
      <c r="BJ496" s="1351">
        <f t="shared" si="985"/>
        <v>-281.85933114754096</v>
      </c>
      <c r="BK496" s="1047">
        <f t="shared" si="985"/>
        <v>-71.372613698630133</v>
      </c>
      <c r="BL496" s="1047">
        <f t="shared" si="985"/>
        <v>-72.165642739726039</v>
      </c>
      <c r="BM496" s="1047">
        <f t="shared" si="985"/>
        <v>-72.958671780821916</v>
      </c>
      <c r="BN496" s="1047">
        <f t="shared" si="985"/>
        <v>-72.958671780821916</v>
      </c>
      <c r="BO496" s="1351">
        <f t="shared" si="985"/>
        <v>-289.4556</v>
      </c>
      <c r="BP496" s="1351">
        <f t="shared" si="985"/>
        <v>-289.45560000000006</v>
      </c>
      <c r="BQ496" s="1351">
        <f t="shared" si="985"/>
        <v>-289.45560000000006</v>
      </c>
      <c r="BR496" s="1351">
        <f t="shared" si="985"/>
        <v>-289.45560000000006</v>
      </c>
      <c r="BS496" s="648"/>
    </row>
    <row r="497" spans="1:71" s="665" customFormat="1" ht="15">
      <c r="A497" s="371" t="str">
        <f>A482</f>
        <v>Gains (Losses) on Extinguishment of Debt, mm</v>
      </c>
      <c r="B497" s="490"/>
      <c r="C497" s="1351">
        <f>C482</f>
        <v>0</v>
      </c>
      <c r="D497" s="1351">
        <f t="shared" si="986" ref="D497:AU497">D482</f>
        <v>6.40</v>
      </c>
      <c r="E497" s="1351">
        <f t="shared" si="986"/>
        <v>-0.10000000000000001</v>
      </c>
      <c r="F497" s="1351">
        <f t="shared" si="986"/>
        <v>-1.80</v>
      </c>
      <c r="G497" s="1351">
        <f t="shared" si="986"/>
        <v>-4.30</v>
      </c>
      <c r="H497" s="1047">
        <f t="shared" si="986"/>
        <v>0</v>
      </c>
      <c r="I497" s="1047">
        <f t="shared" si="986"/>
        <v>0</v>
      </c>
      <c r="J497" s="1047">
        <f t="shared" si="986"/>
        <v>-4.80</v>
      </c>
      <c r="K497" s="1047">
        <f t="shared" si="986"/>
        <v>0</v>
      </c>
      <c r="L497" s="1351">
        <f t="shared" si="986"/>
        <v>-4.80</v>
      </c>
      <c r="M497" s="1047">
        <f t="shared" si="986"/>
        <v>0</v>
      </c>
      <c r="N497" s="1047">
        <f t="shared" si="986"/>
        <v>0</v>
      </c>
      <c r="O497" s="1047">
        <f t="shared" si="986"/>
        <v>-0.90</v>
      </c>
      <c r="P497" s="1047">
        <f t="shared" si="986"/>
        <v>0</v>
      </c>
      <c r="Q497" s="1351">
        <f t="shared" si="986"/>
        <v>-0.90</v>
      </c>
      <c r="R497" s="1047">
        <f t="shared" si="986"/>
        <v>0</v>
      </c>
      <c r="S497" s="1047">
        <f t="shared" si="986"/>
        <v>1.60</v>
      </c>
      <c r="T497" s="1047">
        <f t="shared" si="986"/>
        <v>0</v>
      </c>
      <c r="U497" s="1047">
        <f t="shared" si="986"/>
        <v>0</v>
      </c>
      <c r="V497" s="1351">
        <f t="shared" si="986"/>
        <v>1.60</v>
      </c>
      <c r="W497" s="1047">
        <f t="shared" si="986"/>
        <v>0.20</v>
      </c>
      <c r="X497" s="1047">
        <f t="shared" si="986"/>
        <v>0</v>
      </c>
      <c r="Y497" s="1047">
        <f t="shared" si="986"/>
        <v>0</v>
      </c>
      <c r="Z497" s="1047">
        <f t="shared" si="986"/>
        <v>-1.20</v>
      </c>
      <c r="AA497" s="1351">
        <f t="shared" si="986"/>
        <v>-1</v>
      </c>
      <c r="AB497" s="1047">
        <f t="shared" si="986"/>
        <v>0</v>
      </c>
      <c r="AC497" s="1047">
        <f t="shared" si="986"/>
        <v>0</v>
      </c>
      <c r="AD497" s="1047">
        <f t="shared" si="986"/>
        <v>0</v>
      </c>
      <c r="AE497" s="1047">
        <f t="shared" si="986"/>
        <v>0</v>
      </c>
      <c r="AF497" s="1351">
        <f t="shared" si="986"/>
        <v>0</v>
      </c>
      <c r="AG497" s="1047">
        <f t="shared" si="986"/>
        <v>0</v>
      </c>
      <c r="AH497" s="1047">
        <f t="shared" si="986"/>
        <v>0</v>
      </c>
      <c r="AI497" s="1047">
        <f t="shared" si="986"/>
        <v>0</v>
      </c>
      <c r="AJ497" s="1047">
        <f t="shared" si="986"/>
        <v>0</v>
      </c>
      <c r="AK497" s="1351">
        <f t="shared" si="986"/>
        <v>0</v>
      </c>
      <c r="AL497" s="1047">
        <f t="shared" si="986"/>
        <v>0</v>
      </c>
      <c r="AM497" s="1047">
        <f t="shared" si="986"/>
        <v>0</v>
      </c>
      <c r="AN497" s="1047">
        <f t="shared" si="986"/>
        <v>0</v>
      </c>
      <c r="AO497" s="1047">
        <f t="shared" si="986"/>
        <v>0</v>
      </c>
      <c r="AP497" s="1351">
        <f t="shared" si="986"/>
        <v>0</v>
      </c>
      <c r="AQ497" s="1047">
        <f t="shared" si="986"/>
        <v>0</v>
      </c>
      <c r="AR497" s="1047">
        <f t="shared" si="986"/>
        <v>0</v>
      </c>
      <c r="AS497" s="1047">
        <f t="shared" si="986"/>
        <v>0</v>
      </c>
      <c r="AT497" s="1047">
        <f t="shared" si="986"/>
        <v>0</v>
      </c>
      <c r="AU497" s="1351">
        <f t="shared" si="986"/>
        <v>0</v>
      </c>
      <c r="AV497" s="1047">
        <f t="shared" si="987" ref="AV497:AZ497">AV482</f>
        <v>0</v>
      </c>
      <c r="AW497" s="1047">
        <f t="shared" si="987"/>
        <v>0</v>
      </c>
      <c r="AX497" s="1047">
        <f t="shared" si="987"/>
        <v>0</v>
      </c>
      <c r="AY497" s="1047">
        <f t="shared" si="987"/>
        <v>0</v>
      </c>
      <c r="AZ497" s="1351">
        <f t="shared" si="987"/>
        <v>0</v>
      </c>
      <c r="BA497" s="1047">
        <f t="shared" si="988" ref="BA497:BR497">BA482</f>
        <v>0</v>
      </c>
      <c r="BB497" s="1047">
        <f t="shared" si="988"/>
        <v>0</v>
      </c>
      <c r="BC497" s="1047">
        <f t="shared" si="988"/>
        <v>0</v>
      </c>
      <c r="BD497" s="1047">
        <f t="shared" si="988"/>
        <v>0</v>
      </c>
      <c r="BE497" s="1351">
        <f t="shared" si="988"/>
        <v>0</v>
      </c>
      <c r="BF497" s="1047">
        <f>BF482</f>
        <v>0</v>
      </c>
      <c r="BG497" s="1047">
        <f>BG482</f>
        <v>0</v>
      </c>
      <c r="BH497" s="1048">
        <f>BH482</f>
        <v>0</v>
      </c>
      <c r="BI497" s="1047">
        <f t="shared" si="988"/>
        <v>0</v>
      </c>
      <c r="BJ497" s="1351">
        <f t="shared" si="988"/>
        <v>0</v>
      </c>
      <c r="BK497" s="1047">
        <f t="shared" si="988"/>
        <v>0</v>
      </c>
      <c r="BL497" s="1047">
        <f t="shared" si="988"/>
        <v>0</v>
      </c>
      <c r="BM497" s="1047">
        <f t="shared" si="988"/>
        <v>0</v>
      </c>
      <c r="BN497" s="1047">
        <f t="shared" si="988"/>
        <v>0</v>
      </c>
      <c r="BO497" s="1351">
        <f t="shared" si="988"/>
        <v>0</v>
      </c>
      <c r="BP497" s="1351">
        <f t="shared" si="988"/>
        <v>0</v>
      </c>
      <c r="BQ497" s="1351">
        <f t="shared" si="988"/>
        <v>0</v>
      </c>
      <c r="BR497" s="1351">
        <f t="shared" si="988"/>
        <v>0</v>
      </c>
      <c r="BS497" s="648"/>
    </row>
    <row r="498" spans="1:71" s="668" customFormat="1" ht="15">
      <c r="A498" s="475" t="s">
        <v>692</v>
      </c>
      <c r="B498" s="389"/>
      <c r="C498" s="1356">
        <f t="shared" si="989" ref="C498:AU498">SUM(C493:C497)</f>
        <v>1556.90</v>
      </c>
      <c r="D498" s="1356">
        <f t="shared" si="989"/>
        <v>1565.2000000000003</v>
      </c>
      <c r="E498" s="1356">
        <f t="shared" si="989"/>
        <v>1487.0000000000002</v>
      </c>
      <c r="F498" s="1356">
        <f t="shared" si="989"/>
        <v>1317.7000000000003</v>
      </c>
      <c r="G498" s="1356">
        <f t="shared" si="989"/>
        <v>1719.9999999999998</v>
      </c>
      <c r="H498" s="1054">
        <f t="shared" si="989"/>
        <v>481.80000000000007</v>
      </c>
      <c r="I498" s="1054">
        <f t="shared" si="989"/>
        <v>437.40</v>
      </c>
      <c r="J498" s="1054">
        <f t="shared" si="989"/>
        <v>441.80</v>
      </c>
      <c r="K498" s="1054">
        <f t="shared" si="989"/>
        <v>546.40</v>
      </c>
      <c r="L498" s="1356">
        <f t="shared" si="989"/>
        <v>1907.40</v>
      </c>
      <c r="M498" s="1054">
        <f t="shared" si="989"/>
        <v>443.20</v>
      </c>
      <c r="N498" s="1054">
        <f t="shared" si="989"/>
        <v>525.30000000000007</v>
      </c>
      <c r="O498" s="1054">
        <f t="shared" si="989"/>
        <v>429.00000000000006</v>
      </c>
      <c r="P498" s="1054">
        <f t="shared" si="989"/>
        <v>514.10</v>
      </c>
      <c r="Q498" s="1356">
        <f t="shared" si="989"/>
        <v>1911.60</v>
      </c>
      <c r="R498" s="1054">
        <f t="shared" si="989"/>
        <v>387.40</v>
      </c>
      <c r="S498" s="1054">
        <f t="shared" si="989"/>
        <v>287.30000000000007</v>
      </c>
      <c r="T498" s="1054">
        <f t="shared" si="989"/>
        <v>258.49999999999994</v>
      </c>
      <c r="U498" s="1054">
        <f t="shared" si="989"/>
        <v>537.50</v>
      </c>
      <c r="V498" s="1356">
        <f t="shared" si="989"/>
        <v>1470.70</v>
      </c>
      <c r="W498" s="1054">
        <f t="shared" si="989"/>
        <v>641.50000000000011</v>
      </c>
      <c r="X498" s="1054">
        <f t="shared" si="989"/>
        <v>554.60</v>
      </c>
      <c r="Y498" s="1054">
        <f t="shared" si="989"/>
        <v>251.39999999999995</v>
      </c>
      <c r="Z498" s="1054">
        <f t="shared" si="989"/>
        <v>691.4000000000002</v>
      </c>
      <c r="AA498" s="1356">
        <f t="shared" si="989"/>
        <v>2138.9000000000005</v>
      </c>
      <c r="AB498" s="1054">
        <f t="shared" si="989"/>
        <v>910.80</v>
      </c>
      <c r="AC498" s="1054">
        <f t="shared" si="989"/>
        <v>880.0999999999998</v>
      </c>
      <c r="AD498" s="1054">
        <f t="shared" si="989"/>
        <v>1130.50</v>
      </c>
      <c r="AE498" s="1054">
        <f t="shared" si="989"/>
        <v>242.19999999999993</v>
      </c>
      <c r="AF498" s="1356">
        <f t="shared" si="989"/>
        <v>3163.60</v>
      </c>
      <c r="AG498" s="1054">
        <f t="shared" si="989"/>
        <v>1567.50</v>
      </c>
      <c r="AH498" s="1054">
        <f t="shared" si="989"/>
        <v>1243.5999999999999</v>
      </c>
      <c r="AI498" s="1054">
        <f t="shared" si="989"/>
        <v>1010.30</v>
      </c>
      <c r="AJ498" s="1054">
        <f t="shared" si="989"/>
        <v>1338.90</v>
      </c>
      <c r="AK498" s="1356">
        <f t="shared" si="989"/>
        <v>5160.3000000000011</v>
      </c>
      <c r="AL498" s="1054">
        <f t="shared" si="989"/>
        <v>874.70</v>
      </c>
      <c r="AM498" s="1054">
        <f t="shared" si="989"/>
        <v>2268.7999999999997</v>
      </c>
      <c r="AN498" s="1054">
        <f t="shared" si="989"/>
        <v>1923.50</v>
      </c>
      <c r="AO498" s="1054">
        <f t="shared" si="989"/>
        <v>2106.1999999999998</v>
      </c>
      <c r="AP498" s="1356">
        <f t="shared" si="989"/>
        <v>7173.1999999999989</v>
      </c>
      <c r="AQ498" s="1054">
        <f t="shared" si="989"/>
        <v>1867.8999999999996</v>
      </c>
      <c r="AR498" s="1054">
        <f t="shared" si="989"/>
        <v>999.20</v>
      </c>
      <c r="AS498" s="1054">
        <f t="shared" si="989"/>
        <v>139.00000000000006</v>
      </c>
      <c r="AT498" s="1054">
        <f t="shared" si="989"/>
        <v>1203.9000000000001</v>
      </c>
      <c r="AU498" s="1356">
        <f t="shared" si="989"/>
        <v>4210</v>
      </c>
      <c r="AV498" s="1054">
        <f t="shared" si="990" ref="AV498:AZ498">SUM(AV493:AV497)</f>
        <v>390.19999999999993</v>
      </c>
      <c r="AW498" s="1054">
        <f t="shared" si="990"/>
        <v>-411.10000000000014</v>
      </c>
      <c r="AX498" s="1054">
        <f t="shared" si="990"/>
        <v>142.50000000000006</v>
      </c>
      <c r="AY498" s="1054">
        <f t="shared" si="990"/>
        <v>1025.3000000000002</v>
      </c>
      <c r="AZ498" s="1356">
        <f t="shared" si="990"/>
        <v>1146.9000000000001</v>
      </c>
      <c r="BA498" s="1054">
        <f t="shared" si="991" ref="BA498:BR498">SUM(BA493:BA497)</f>
        <v>554.40000000000236</v>
      </c>
      <c r="BB498" s="1054">
        <f t="shared" si="991"/>
        <v>435.70000000000249</v>
      </c>
      <c r="BC498" s="1054">
        <f t="shared" si="991"/>
        <v>1410.20</v>
      </c>
      <c r="BD498" s="1054">
        <f t="shared" si="991"/>
        <v>2503.3999999999983</v>
      </c>
      <c r="BE498" s="1356">
        <f t="shared" si="991"/>
        <v>4903.7000000000007</v>
      </c>
      <c r="BF498" s="1054">
        <f>SUM(BF493:BF497)</f>
        <v>2939.8999999999978</v>
      </c>
      <c r="BG498" s="1054">
        <f>SUM(BG493:BG497)</f>
        <v>1860.40</v>
      </c>
      <c r="BH498" s="1100">
        <f>SUM(BH493:BH497)</f>
        <v>2944.7999999999997</v>
      </c>
      <c r="BI498" s="1054">
        <f t="shared" si="991"/>
        <v>2090.1786696858776</v>
      </c>
      <c r="BJ498" s="1356">
        <f t="shared" si="991"/>
        <v>9835.2786696858821</v>
      </c>
      <c r="BK498" s="1054">
        <f t="shared" si="991"/>
        <v>2519.060863634511</v>
      </c>
      <c r="BL498" s="1054">
        <f t="shared" si="991"/>
        <v>1817.3999368691011</v>
      </c>
      <c r="BM498" s="1054">
        <f t="shared" si="991"/>
        <v>2026.2644691095775</v>
      </c>
      <c r="BN498" s="1054">
        <f t="shared" si="991"/>
        <v>2791.0592501854344</v>
      </c>
      <c r="BO498" s="1356">
        <f t="shared" si="991"/>
        <v>9153.7845197986244</v>
      </c>
      <c r="BP498" s="1356">
        <f t="shared" si="991"/>
        <v>9437.7220453560039</v>
      </c>
      <c r="BQ498" s="1356">
        <f t="shared" si="991"/>
        <v>9968.1296208575623</v>
      </c>
      <c r="BR498" s="1356">
        <f t="shared" si="991"/>
        <v>10525.96077976471</v>
      </c>
      <c r="BS498" s="648"/>
    </row>
    <row r="499" spans="1:71" s="665" customFormat="1" ht="15">
      <c r="A499" s="999"/>
      <c r="B499" s="308"/>
      <c r="C499" s="1351"/>
      <c r="D499" s="1351"/>
      <c r="E499" s="1351"/>
      <c r="F499" s="1351"/>
      <c r="G499" s="1351"/>
      <c r="H499" s="1047"/>
      <c r="I499" s="1047"/>
      <c r="J499" s="1047"/>
      <c r="K499" s="1047"/>
      <c r="L499" s="1351"/>
      <c r="M499" s="1047"/>
      <c r="N499" s="1047"/>
      <c r="O499" s="1047"/>
      <c r="P499" s="1047"/>
      <c r="Q499" s="1351"/>
      <c r="R499" s="1047"/>
      <c r="S499" s="1047"/>
      <c r="T499" s="1047"/>
      <c r="U499" s="1047"/>
      <c r="V499" s="1351"/>
      <c r="W499" s="1047"/>
      <c r="X499" s="1047"/>
      <c r="Y499" s="1047"/>
      <c r="Z499" s="1047"/>
      <c r="AA499" s="1351"/>
      <c r="AB499" s="1047"/>
      <c r="AC499" s="1047"/>
      <c r="AD499" s="1047"/>
      <c r="AE499" s="1047"/>
      <c r="AF499" s="1351"/>
      <c r="AG499" s="1047"/>
      <c r="AH499" s="1047"/>
      <c r="AI499" s="1047"/>
      <c r="AJ499" s="1047"/>
      <c r="AK499" s="1351"/>
      <c r="AL499" s="1047"/>
      <c r="AM499" s="1047"/>
      <c r="AN499" s="1047"/>
      <c r="AO499" s="1047"/>
      <c r="AP499" s="1351"/>
      <c r="AQ499" s="1047"/>
      <c r="AR499" s="1047"/>
      <c r="AS499" s="1047"/>
      <c r="AT499" s="1047"/>
      <c r="AU499" s="1351"/>
      <c r="AV499" s="1047"/>
      <c r="AW499" s="1047"/>
      <c r="AX499" s="1047"/>
      <c r="AY499" s="1047"/>
      <c r="AZ499" s="1351"/>
      <c r="BA499" s="1047"/>
      <c r="BB499" s="1047"/>
      <c r="BC499" s="1047"/>
      <c r="BD499" s="1047"/>
      <c r="BE499" s="1351"/>
      <c r="BF499" s="1047"/>
      <c r="BG499" s="1047"/>
      <c r="BH499" s="1048"/>
      <c r="BI499" s="1044"/>
      <c r="BJ499" s="1350"/>
      <c r="BK499" s="1044"/>
      <c r="BL499" s="1044"/>
      <c r="BM499" s="1044"/>
      <c r="BN499" s="1044"/>
      <c r="BO499" s="1350"/>
      <c r="BP499" s="1351"/>
      <c r="BQ499" s="1351"/>
      <c r="BR499" s="1350"/>
      <c r="BS499" s="648"/>
    </row>
    <row r="500" spans="1:71" s="671" customFormat="1" ht="15">
      <c r="A500" s="33" t="s">
        <v>535</v>
      </c>
      <c r="B500" s="33"/>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192"/>
      <c r="AA500" s="192"/>
      <c r="AB500" s="192"/>
      <c r="AC500" s="192"/>
      <c r="AD500" s="192"/>
      <c r="AE500" s="192"/>
      <c r="AF500" s="192"/>
      <c r="AG500" s="192"/>
      <c r="AH500" s="192"/>
      <c r="AI500" s="192"/>
      <c r="AJ500" s="192"/>
      <c r="AK500" s="192"/>
      <c r="AL500" s="192"/>
      <c r="AM500" s="192"/>
      <c r="AN500" s="192"/>
      <c r="AO500" s="192"/>
      <c r="AP500" s="192"/>
      <c r="AQ500" s="192"/>
      <c r="AR500" s="192"/>
      <c r="AS500" s="192"/>
      <c r="AT500" s="192"/>
      <c r="AU500" s="192"/>
      <c r="AV500" s="192"/>
      <c r="AW500" s="192"/>
      <c r="AX500" s="192"/>
      <c r="AY500" s="192"/>
      <c r="AZ500" s="192"/>
      <c r="BA500" s="192"/>
      <c r="BB500" s="192"/>
      <c r="BC500" s="192"/>
      <c r="BD500" s="192"/>
      <c r="BE500" s="192"/>
      <c r="BF500" s="192"/>
      <c r="BG500" s="192"/>
      <c r="BH500" s="375"/>
      <c r="BI500" s="33"/>
      <c r="BJ500" s="33"/>
      <c r="BK500" s="33"/>
      <c r="BL500" s="33"/>
      <c r="BM500" s="33"/>
      <c r="BN500" s="33"/>
      <c r="BO500" s="33"/>
      <c r="BP500" s="192"/>
      <c r="BQ500" s="192"/>
      <c r="BR500" s="33"/>
      <c r="BS500" s="648"/>
    </row>
    <row r="501" spans="1:71" s="668" customFormat="1" ht="15" hidden="1" outlineLevel="1">
      <c r="A501" s="904" t="str">
        <f>A236</f>
        <v>Total Net Earned Premiums, mm</v>
      </c>
      <c r="B501" s="367"/>
      <c r="C501" s="1322">
        <f t="shared" si="992" ref="C501:AH501">C236</f>
        <v>14012.80</v>
      </c>
      <c r="D501" s="1322">
        <f t="shared" si="992"/>
        <v>14314.80</v>
      </c>
      <c r="E501" s="1322">
        <f t="shared" si="992"/>
        <v>14902.80</v>
      </c>
      <c r="F501" s="1322">
        <f t="shared" si="992"/>
        <v>16017.999999999998</v>
      </c>
      <c r="G501" s="1322">
        <f t="shared" si="992"/>
        <v>17103.40</v>
      </c>
      <c r="H501" s="1031">
        <f t="shared" si="992"/>
        <v>4402.2999999999993</v>
      </c>
      <c r="I501" s="1031">
        <f t="shared" si="992"/>
        <v>4513.50</v>
      </c>
      <c r="J501" s="1031">
        <f t="shared" si="992"/>
        <v>4540.1000000000004</v>
      </c>
      <c r="K501" s="1031">
        <f t="shared" si="992"/>
        <v>4942.6000000000004</v>
      </c>
      <c r="L501" s="1322">
        <f t="shared" si="992"/>
        <v>18398.50</v>
      </c>
      <c r="M501" s="1031">
        <f t="shared" si="992"/>
        <v>4666.2999999999993</v>
      </c>
      <c r="N501" s="1031">
        <f t="shared" si="992"/>
        <v>4995.80</v>
      </c>
      <c r="O501" s="1031">
        <f t="shared" si="992"/>
        <v>5070.6000000000004</v>
      </c>
      <c r="P501" s="1031">
        <f t="shared" si="992"/>
        <v>5166.4000000000005</v>
      </c>
      <c r="Q501" s="1322">
        <f t="shared" si="992"/>
        <v>19899.099999999999</v>
      </c>
      <c r="R501" s="1031">
        <f t="shared" si="992"/>
        <v>5317.40</v>
      </c>
      <c r="S501" s="1031">
        <f t="shared" si="992"/>
        <v>5561.80</v>
      </c>
      <c r="T501" s="1031">
        <f t="shared" si="992"/>
        <v>5723.40</v>
      </c>
      <c r="U501" s="1031">
        <f t="shared" si="992"/>
        <v>5871.40</v>
      </c>
      <c r="V501" s="1322">
        <f t="shared" si="992"/>
        <v>22474</v>
      </c>
      <c r="W501" s="1031">
        <f t="shared" si="992"/>
        <v>6026.70</v>
      </c>
      <c r="X501" s="1031">
        <f t="shared" si="992"/>
        <v>6313.30</v>
      </c>
      <c r="Y501" s="1031">
        <f t="shared" si="992"/>
        <v>6544</v>
      </c>
      <c r="Z501" s="1031">
        <f t="shared" si="992"/>
        <v>6845.90</v>
      </c>
      <c r="AA501" s="1322">
        <f t="shared" si="992"/>
        <v>25729.900000000001</v>
      </c>
      <c r="AB501" s="1031">
        <f t="shared" si="992"/>
        <v>7174.0000000000009</v>
      </c>
      <c r="AC501" s="1031">
        <f t="shared" si="992"/>
        <v>7634.20</v>
      </c>
      <c r="AD501" s="1031">
        <f t="shared" si="992"/>
        <v>7930.50</v>
      </c>
      <c r="AE501" s="1031">
        <f t="shared" si="992"/>
        <v>8194.60</v>
      </c>
      <c r="AF501" s="1322">
        <f t="shared" si="992"/>
        <v>30933.300000000003</v>
      </c>
      <c r="AG501" s="1031">
        <f t="shared" si="992"/>
        <v>8459.7999999999993</v>
      </c>
      <c r="AH501" s="1031">
        <f t="shared" si="992"/>
        <v>8824.7000000000007</v>
      </c>
      <c r="AI501" s="1031">
        <f t="shared" si="993" ref="AI501:AU501">AI236</f>
        <v>9012.1999999999989</v>
      </c>
      <c r="AJ501" s="1031">
        <f t="shared" si="993"/>
        <v>9895.7000000000007</v>
      </c>
      <c r="AK501" s="1322">
        <f t="shared" si="993"/>
        <v>36192.40</v>
      </c>
      <c r="AL501" s="1031">
        <f t="shared" si="993"/>
        <v>9430.7000000000007</v>
      </c>
      <c r="AM501" s="1031">
        <f t="shared" si="993"/>
        <v>9648.60</v>
      </c>
      <c r="AN501" s="1031">
        <f t="shared" si="993"/>
        <v>9973.4999999999982</v>
      </c>
      <c r="AO501" s="1031">
        <f t="shared" si="993"/>
        <v>10208.800000000001</v>
      </c>
      <c r="AP501" s="1322">
        <f t="shared" si="993"/>
        <v>39261.60</v>
      </c>
      <c r="AQ501" s="1031">
        <f t="shared" si="993"/>
        <v>10420.199999999999</v>
      </c>
      <c r="AR501" s="1031">
        <f t="shared" si="993"/>
        <v>10982.299999999999</v>
      </c>
      <c r="AS501" s="1031">
        <f t="shared" si="993"/>
        <v>11364.799999999997</v>
      </c>
      <c r="AT501" s="1031">
        <f t="shared" si="993"/>
        <v>11601.40</v>
      </c>
      <c r="AU501" s="1322">
        <f t="shared" si="993"/>
        <v>44368.699999999997</v>
      </c>
      <c r="AV501" s="1031">
        <f t="shared" si="994" ref="AV501:AZ501">AV236</f>
        <v>11802.900000000003</v>
      </c>
      <c r="AW501" s="1031">
        <f t="shared" si="994"/>
        <v>12147.90</v>
      </c>
      <c r="AX501" s="1031">
        <f t="shared" si="994"/>
        <v>12398.90</v>
      </c>
      <c r="AY501" s="1031">
        <f t="shared" si="994"/>
        <v>12891.500000000002</v>
      </c>
      <c r="AZ501" s="1322">
        <f t="shared" si="994"/>
        <v>49241.199999999997</v>
      </c>
      <c r="BA501" s="1031">
        <f t="shared" si="995" ref="BA501:BR501">BA236</f>
        <v>13533.10</v>
      </c>
      <c r="BB501" s="1031">
        <f t="shared" si="995"/>
        <v>14464.40</v>
      </c>
      <c r="BC501" s="1031">
        <f t="shared" si="995"/>
        <v>14894.299999999999</v>
      </c>
      <c r="BD501" s="1031">
        <f t="shared" si="995"/>
        <v>15772.600000000004</v>
      </c>
      <c r="BE501" s="1322">
        <f t="shared" si="995"/>
        <v>58664.400000000001</v>
      </c>
      <c r="BF501" s="1031">
        <f>BF236</f>
        <v>16148.60</v>
      </c>
      <c r="BG501" s="1031">
        <f>BG236</f>
        <v>17209.500000000004</v>
      </c>
      <c r="BH501" s="1049">
        <f>BH236</f>
        <v>18296.700000000001</v>
      </c>
      <c r="BI501" s="1023">
        <f t="shared" si="995"/>
        <v>17559.301553150228</v>
      </c>
      <c r="BJ501" s="1321">
        <f t="shared" si="995"/>
        <v>69214.101553150234</v>
      </c>
      <c r="BK501" s="1023">
        <f t="shared" si="995"/>
        <v>21442.044134334246</v>
      </c>
      <c r="BL501" s="1023">
        <f t="shared" si="995"/>
        <v>19683.62081517437</v>
      </c>
      <c r="BM501" s="1023">
        <f t="shared" si="995"/>
        <v>21013.268236616033</v>
      </c>
      <c r="BN501" s="1023">
        <f t="shared" si="995"/>
        <v>19779.357817031436</v>
      </c>
      <c r="BO501" s="1321">
        <f t="shared" si="995"/>
        <v>81918.291003156075</v>
      </c>
      <c r="BP501" s="1322">
        <f t="shared" si="995"/>
        <v>87742.953041527231</v>
      </c>
      <c r="BQ501" s="1322">
        <f t="shared" si="995"/>
        <v>91287.768344404933</v>
      </c>
      <c r="BR501" s="1321">
        <f t="shared" si="995"/>
        <v>94975.794185518884</v>
      </c>
      <c r="BS501" s="648"/>
    </row>
    <row r="502" spans="1:71" s="668" customFormat="1" ht="15" hidden="1" outlineLevel="1">
      <c r="A502" s="287" t="s">
        <v>339</v>
      </c>
      <c r="B502" s="393"/>
      <c r="C502" s="1363">
        <f t="shared" si="996" ref="C502:AT502">C579</f>
        <v>0</v>
      </c>
      <c r="D502" s="1348">
        <f t="shared" si="996"/>
        <v>252.20</v>
      </c>
      <c r="E502" s="1348">
        <f t="shared" si="996"/>
        <v>266.50</v>
      </c>
      <c r="F502" s="1348">
        <f t="shared" si="996"/>
        <v>281.80</v>
      </c>
      <c r="G502" s="1348">
        <f t="shared" si="996"/>
        <v>291.80</v>
      </c>
      <c r="H502" s="1039">
        <f t="shared" si="996"/>
        <v>72.80</v>
      </c>
      <c r="I502" s="1039">
        <f t="shared" si="996"/>
        <v>74.400000000000006</v>
      </c>
      <c r="J502" s="1039">
        <f t="shared" si="996"/>
        <v>75.900000000000006</v>
      </c>
      <c r="K502" s="1039">
        <f t="shared" si="996"/>
        <v>86.000000000000028</v>
      </c>
      <c r="L502" s="1348">
        <f t="shared" si="996"/>
        <v>309.10000000000002</v>
      </c>
      <c r="M502" s="1039">
        <f t="shared" si="996"/>
        <v>73.70</v>
      </c>
      <c r="N502" s="1039">
        <f t="shared" si="996"/>
        <v>74.900000000000006</v>
      </c>
      <c r="O502" s="1039">
        <f t="shared" si="996"/>
        <v>79.30</v>
      </c>
      <c r="P502" s="1039">
        <f t="shared" si="996"/>
        <v>74.099999999999966</v>
      </c>
      <c r="Q502" s="1348">
        <f t="shared" si="996"/>
        <v>302</v>
      </c>
      <c r="R502" s="1039">
        <f t="shared" si="996"/>
        <v>78.900000000000006</v>
      </c>
      <c r="S502" s="1039">
        <f t="shared" si="996"/>
        <v>82.50</v>
      </c>
      <c r="T502" s="1039">
        <f t="shared" si="996"/>
        <v>86.80</v>
      </c>
      <c r="U502" s="1039">
        <f t="shared" si="996"/>
        <v>84.300000000000011</v>
      </c>
      <c r="V502" s="1348">
        <f t="shared" si="996"/>
        <v>332.50</v>
      </c>
      <c r="W502" s="1039">
        <f t="shared" si="996"/>
        <v>85.20</v>
      </c>
      <c r="X502" s="1039">
        <f t="shared" si="996"/>
        <v>88.80</v>
      </c>
      <c r="Y502" s="1039">
        <f t="shared" si="996"/>
        <v>96.30</v>
      </c>
      <c r="Z502" s="1039">
        <f t="shared" si="996"/>
        <v>100.30000000000001</v>
      </c>
      <c r="AA502" s="1348">
        <f t="shared" si="996"/>
        <v>370.60</v>
      </c>
      <c r="AB502" s="1039">
        <f t="shared" si="996"/>
        <v>103.80</v>
      </c>
      <c r="AC502" s="1039">
        <f t="shared" si="996"/>
        <v>116</v>
      </c>
      <c r="AD502" s="1039">
        <f t="shared" si="996"/>
        <v>122.59999999999999</v>
      </c>
      <c r="AE502" s="1039">
        <f t="shared" si="996"/>
        <v>129.80000000000001</v>
      </c>
      <c r="AF502" s="1348">
        <f t="shared" si="996"/>
        <v>472.20</v>
      </c>
      <c r="AG502" s="1039">
        <f t="shared" si="996"/>
        <v>130.19999999999999</v>
      </c>
      <c r="AH502" s="1039">
        <f t="shared" si="996"/>
        <v>134.80000000000001</v>
      </c>
      <c r="AI502" s="1039">
        <f t="shared" si="996"/>
        <v>138.40000000000001</v>
      </c>
      <c r="AJ502" s="1039">
        <f t="shared" si="996"/>
        <v>160.30000000000007</v>
      </c>
      <c r="AK502" s="1348">
        <f t="shared" si="996"/>
        <v>563.70000000000005</v>
      </c>
      <c r="AL502" s="1039">
        <f t="shared" si="996"/>
        <v>153.50</v>
      </c>
      <c r="AM502" s="1039">
        <f t="shared" si="996"/>
        <v>129.50</v>
      </c>
      <c r="AN502" s="1039">
        <f t="shared" si="996"/>
        <v>151.80000000000001</v>
      </c>
      <c r="AO502" s="1039">
        <f t="shared" si="996"/>
        <v>168.70</v>
      </c>
      <c r="AP502" s="1348">
        <f t="shared" si="996"/>
        <v>603.50</v>
      </c>
      <c r="AQ502" s="1039">
        <f t="shared" si="996"/>
        <v>165.70</v>
      </c>
      <c r="AR502" s="1039">
        <f t="shared" si="996"/>
        <v>176.20</v>
      </c>
      <c r="AS502" s="1039">
        <f t="shared" si="996"/>
        <v>174.90</v>
      </c>
      <c r="AT502" s="1039">
        <f t="shared" si="996"/>
        <v>175</v>
      </c>
      <c r="AU502" s="1348">
        <f t="shared" si="997" ref="AU502:AZ502">AU579</f>
        <v>691.80</v>
      </c>
      <c r="AV502" s="1039">
        <f t="shared" si="997"/>
        <v>174</v>
      </c>
      <c r="AW502" s="1039">
        <f t="shared" si="997"/>
        <v>176.50</v>
      </c>
      <c r="AX502" s="1039">
        <f t="shared" si="997"/>
        <v>181.40</v>
      </c>
      <c r="AY502" s="1039">
        <f t="shared" si="997"/>
        <v>190.20000000000005</v>
      </c>
      <c r="AZ502" s="1348">
        <f t="shared" si="997"/>
        <v>722.10</v>
      </c>
      <c r="BA502" s="1039">
        <f t="shared" si="998" ref="BA502:BF502">BA579</f>
        <v>206.20</v>
      </c>
      <c r="BB502" s="1039">
        <f t="shared" si="998"/>
        <v>226.70</v>
      </c>
      <c r="BC502" s="1039">
        <f t="shared" si="998"/>
        <v>223.70</v>
      </c>
      <c r="BD502" s="1039">
        <f t="shared" si="998"/>
        <v>232.50000000000011</v>
      </c>
      <c r="BE502" s="1348">
        <f t="shared" si="998"/>
        <v>889.10</v>
      </c>
      <c r="BF502" s="1039">
        <f t="shared" si="998"/>
        <v>236.50</v>
      </c>
      <c r="BG502" s="1039">
        <f>BG579</f>
        <v>259.80</v>
      </c>
      <c r="BH502" s="1040">
        <f>BH579</f>
        <v>278.09999999999991</v>
      </c>
      <c r="BI502" s="1062">
        <f t="shared" si="999" ref="BI502:BR502">BI480</f>
        <v>244.12500000000014</v>
      </c>
      <c r="BJ502" s="1363">
        <f t="shared" si="999"/>
        <v>1018.525</v>
      </c>
      <c r="BK502" s="1062">
        <f t="shared" si="999"/>
        <v>248.32500000000002</v>
      </c>
      <c r="BL502" s="1062">
        <f t="shared" si="999"/>
        <v>272.79000000000002</v>
      </c>
      <c r="BM502" s="1062">
        <f t="shared" si="999"/>
        <v>292.00499999999994</v>
      </c>
      <c r="BN502" s="1062">
        <f t="shared" si="999"/>
        <v>256.33125000000018</v>
      </c>
      <c r="BO502" s="1363">
        <f t="shared" si="999"/>
        <v>1069.4512500000001</v>
      </c>
      <c r="BP502" s="1363">
        <f t="shared" si="999"/>
        <v>1122.9238125000002</v>
      </c>
      <c r="BQ502" s="1363">
        <f t="shared" si="999"/>
        <v>1179.0700031250003</v>
      </c>
      <c r="BR502" s="1363">
        <f t="shared" si="999"/>
        <v>1238.0235032812504</v>
      </c>
      <c r="BS502" s="648"/>
    </row>
    <row r="503" spans="1:71" s="668" customFormat="1" ht="15" hidden="1" outlineLevel="1">
      <c r="A503" s="904"/>
      <c r="B503" s="367"/>
      <c r="C503" s="1322"/>
      <c r="D503" s="1322"/>
      <c r="E503" s="1322"/>
      <c r="F503" s="1322"/>
      <c r="G503" s="1322"/>
      <c r="H503" s="1031"/>
      <c r="I503" s="1031"/>
      <c r="J503" s="1031"/>
      <c r="K503" s="1031"/>
      <c r="L503" s="1322"/>
      <c r="M503" s="1031"/>
      <c r="N503" s="1031"/>
      <c r="O503" s="1031"/>
      <c r="P503" s="1031"/>
      <c r="Q503" s="1322"/>
      <c r="R503" s="1031"/>
      <c r="S503" s="1031"/>
      <c r="T503" s="1031"/>
      <c r="U503" s="1031"/>
      <c r="V503" s="1322"/>
      <c r="W503" s="1031"/>
      <c r="X503" s="1031"/>
      <c r="Y503" s="1031"/>
      <c r="Z503" s="1031"/>
      <c r="AA503" s="1322"/>
      <c r="AB503" s="1031"/>
      <c r="AC503" s="1031"/>
      <c r="AD503" s="1031"/>
      <c r="AE503" s="1031"/>
      <c r="AF503" s="1322"/>
      <c r="AG503" s="1031"/>
      <c r="AH503" s="1031"/>
      <c r="AI503" s="1031"/>
      <c r="AJ503" s="1031"/>
      <c r="AK503" s="1322"/>
      <c r="AL503" s="1031"/>
      <c r="AM503" s="1031"/>
      <c r="AN503" s="1031"/>
      <c r="AO503" s="1031"/>
      <c r="AP503" s="1322"/>
      <c r="AQ503" s="1031"/>
      <c r="AR503" s="1031"/>
      <c r="AS503" s="1031"/>
      <c r="AT503" s="1031"/>
      <c r="AU503" s="1322"/>
      <c r="AV503" s="1031"/>
      <c r="AW503" s="1031"/>
      <c r="AX503" s="1031"/>
      <c r="AY503" s="1031"/>
      <c r="AZ503" s="1322"/>
      <c r="BA503" s="1031"/>
      <c r="BB503" s="1031"/>
      <c r="BC503" s="1031"/>
      <c r="BD503" s="1031"/>
      <c r="BE503" s="1322"/>
      <c r="BF503" s="1031"/>
      <c r="BG503" s="1031"/>
      <c r="BH503" s="1049"/>
      <c r="BI503" s="1023"/>
      <c r="BJ503" s="1321"/>
      <c r="BK503" s="1023"/>
      <c r="BL503" s="1023"/>
      <c r="BM503" s="1023"/>
      <c r="BN503" s="1023"/>
      <c r="BO503" s="1321"/>
      <c r="BP503" s="1322"/>
      <c r="BQ503" s="1322"/>
      <c r="BR503" s="1321"/>
      <c r="BS503" s="648"/>
    </row>
    <row r="504" spans="1:71" s="665" customFormat="1" ht="15" hidden="1" outlineLevel="1">
      <c r="A504" s="307" t="str">
        <f>A269</f>
        <v>Loss and LAE excl. Catastrophe Losses Incurred and Prior Accident Years Development, mm</v>
      </c>
      <c r="B504" s="321"/>
      <c r="C504" s="1351">
        <f t="shared" si="1000" ref="C504:AH504">C269</f>
        <v>9942.8104000000003</v>
      </c>
      <c r="D504" s="1351">
        <f t="shared" si="1000"/>
        <v>10337.181599999998</v>
      </c>
      <c r="E504" s="1351">
        <f t="shared" si="1000"/>
        <v>10664.90</v>
      </c>
      <c r="F504" s="1351">
        <f t="shared" si="1000"/>
        <v>11646.90</v>
      </c>
      <c r="G504" s="1351">
        <f t="shared" si="1000"/>
        <v>12252.20</v>
      </c>
      <c r="H504" s="1047">
        <f t="shared" si="1000"/>
        <v>3133.80</v>
      </c>
      <c r="I504" s="1047">
        <f t="shared" si="1000"/>
        <v>3146.7999999999997</v>
      </c>
      <c r="J504" s="1047">
        <f t="shared" si="1000"/>
        <v>3282.2000000000003</v>
      </c>
      <c r="K504" s="1047">
        <f t="shared" si="1000"/>
        <v>3575.3000000000011</v>
      </c>
      <c r="L504" s="1351">
        <f t="shared" si="1000"/>
        <v>13138.10</v>
      </c>
      <c r="M504" s="1047">
        <f t="shared" si="1000"/>
        <v>3457.10</v>
      </c>
      <c r="N504" s="1047">
        <f t="shared" si="1000"/>
        <v>3551.40</v>
      </c>
      <c r="O504" s="1047">
        <f t="shared" si="1000"/>
        <v>3708.9000000000005</v>
      </c>
      <c r="P504" s="1047">
        <f t="shared" si="1000"/>
        <v>3685.2000000000012</v>
      </c>
      <c r="Q504" s="1351">
        <f t="shared" si="1000"/>
        <v>14402.60</v>
      </c>
      <c r="R504" s="1047">
        <f t="shared" si="1000"/>
        <v>3750.60</v>
      </c>
      <c r="S504" s="1047">
        <f t="shared" si="1000"/>
        <v>4057.30</v>
      </c>
      <c r="T504" s="1047">
        <f t="shared" si="1000"/>
        <v>4292</v>
      </c>
      <c r="U504" s="1047">
        <f t="shared" si="1000"/>
        <v>4315.4000000000005</v>
      </c>
      <c r="V504" s="1351">
        <f t="shared" si="1000"/>
        <v>16415.299999999999</v>
      </c>
      <c r="W504" s="1047">
        <f t="shared" si="1000"/>
        <v>4058</v>
      </c>
      <c r="X504" s="1047">
        <f t="shared" si="1000"/>
        <v>4416.2999999999993</v>
      </c>
      <c r="Y504" s="1047">
        <f t="shared" si="1000"/>
        <v>4656.50</v>
      </c>
      <c r="Z504" s="1047">
        <f t="shared" si="1000"/>
        <v>4820.8000000000011</v>
      </c>
      <c r="AA504" s="1351">
        <f t="shared" si="1000"/>
        <v>17951.60</v>
      </c>
      <c r="AB504" s="1047">
        <f t="shared" si="1000"/>
        <v>4765.8999999999996</v>
      </c>
      <c r="AC504" s="1047">
        <f t="shared" si="1000"/>
        <v>5142.9000000000005</v>
      </c>
      <c r="AD504" s="1047">
        <f t="shared" si="1000"/>
        <v>5430.40</v>
      </c>
      <c r="AE504" s="1047">
        <f t="shared" si="1000"/>
        <v>5687.40</v>
      </c>
      <c r="AF504" s="1351">
        <f t="shared" si="1000"/>
        <v>21026.599999999999</v>
      </c>
      <c r="AG504" s="1047">
        <f t="shared" si="1000"/>
        <v>5544.50</v>
      </c>
      <c r="AH504" s="1047">
        <f t="shared" si="1000"/>
        <v>5859.0000000000009</v>
      </c>
      <c r="AI504" s="1047">
        <f t="shared" si="1001" ref="AI504:AU504">AI269</f>
        <v>6262.30</v>
      </c>
      <c r="AJ504" s="1047">
        <f t="shared" si="1001"/>
        <v>7020.8999999999978</v>
      </c>
      <c r="AK504" s="1351">
        <f t="shared" si="1001"/>
        <v>24686.700000000001</v>
      </c>
      <c r="AL504" s="1047">
        <f t="shared" si="1001"/>
        <v>5930.70</v>
      </c>
      <c r="AM504" s="1047">
        <f t="shared" si="1001"/>
        <v>4943.5999999999995</v>
      </c>
      <c r="AN504" s="1047">
        <f t="shared" si="1001"/>
        <v>6663.70</v>
      </c>
      <c r="AO504" s="1047">
        <f t="shared" si="1001"/>
        <v>6510.5000000000027</v>
      </c>
      <c r="AP504" s="1351">
        <f t="shared" si="1001"/>
        <v>24048.50</v>
      </c>
      <c r="AQ504" s="1047">
        <f t="shared" si="1001"/>
        <v>6774.60</v>
      </c>
      <c r="AR504" s="1047">
        <f t="shared" si="1001"/>
        <v>7987.40</v>
      </c>
      <c r="AS504" s="1047">
        <f t="shared" si="1001"/>
        <v>8841.9000000000015</v>
      </c>
      <c r="AT504" s="1047">
        <f t="shared" si="1001"/>
        <v>8716.3000000000011</v>
      </c>
      <c r="AU504" s="1351">
        <f t="shared" si="1001"/>
        <v>32320.199999999997</v>
      </c>
      <c r="AV504" s="1047">
        <f t="shared" si="1002" ref="AV504:AZ504">AV269</f>
        <v>8521</v>
      </c>
      <c r="AW504" s="1047">
        <f t="shared" si="1002"/>
        <v>9134.0000000000018</v>
      </c>
      <c r="AX504" s="1047">
        <f t="shared" si="1002"/>
        <v>9188.10</v>
      </c>
      <c r="AY504" s="1047">
        <f t="shared" si="1002"/>
        <v>9724.6999999999971</v>
      </c>
      <c r="AZ504" s="1351">
        <f t="shared" si="1002"/>
        <v>36567.799999999996</v>
      </c>
      <c r="BA504" s="1047">
        <f t="shared" si="1003" ref="BA504:BR504">BA269</f>
        <v>10382.800000000001</v>
      </c>
      <c r="BB504" s="1047">
        <f t="shared" si="1003"/>
        <v>11352.399999999998</v>
      </c>
      <c r="BC504" s="1047">
        <f t="shared" si="1003"/>
        <v>11050.10</v>
      </c>
      <c r="BD504" s="1047">
        <f t="shared" si="1003"/>
        <v>11529.399999999998</v>
      </c>
      <c r="BE504" s="1351">
        <f t="shared" si="1003"/>
        <v>44314.699999999997</v>
      </c>
      <c r="BF504" s="1047">
        <f>BF269</f>
        <v>10688.40</v>
      </c>
      <c r="BG504" s="1047">
        <f>BG269</f>
        <v>11381.200000000003</v>
      </c>
      <c r="BH504" s="1048">
        <f>BH269</f>
        <v>11890.999999999993</v>
      </c>
      <c r="BI504" s="1044">
        <f t="shared" si="1003"/>
        <v>13095.686309836667</v>
      </c>
      <c r="BJ504" s="1350">
        <f t="shared" si="1003"/>
        <v>47056.286309836658</v>
      </c>
      <c r="BK504" s="1044">
        <f t="shared" si="1003"/>
        <v>15540.208319046609</v>
      </c>
      <c r="BL504" s="1044">
        <f t="shared" si="1003"/>
        <v>14189.538324347779</v>
      </c>
      <c r="BM504" s="1044">
        <f t="shared" si="1003"/>
        <v>14900.57020654912</v>
      </c>
      <c r="BN504" s="1044">
        <f t="shared" si="1003"/>
        <v>14339.355673968441</v>
      </c>
      <c r="BO504" s="1350">
        <f t="shared" si="1003"/>
        <v>58969.672523911955</v>
      </c>
      <c r="BP504" s="1351">
        <f t="shared" si="1003"/>
        <v>63618.129052774879</v>
      </c>
      <c r="BQ504" s="1351">
        <f t="shared" si="1003"/>
        <v>66188.301466506979</v>
      </c>
      <c r="BR504" s="1350">
        <f t="shared" si="1003"/>
        <v>68862.308845753869</v>
      </c>
      <c r="BS504" s="648"/>
    </row>
    <row r="505" spans="1:71" s="665" customFormat="1" ht="15" hidden="1" outlineLevel="1">
      <c r="A505" s="307" t="str">
        <f>A273</f>
        <v>Catastrophe Losses Incurred, mm</v>
      </c>
      <c r="B505" s="321"/>
      <c r="C505" s="1351">
        <f t="shared" si="1004" ref="C505:AH505">C273</f>
        <v>98.089600000000004</v>
      </c>
      <c r="D505" s="1351">
        <f t="shared" si="1004"/>
        <v>114.51840000000001</v>
      </c>
      <c r="E505" s="1351">
        <f t="shared" si="1004"/>
        <v>211.90</v>
      </c>
      <c r="F505" s="1351">
        <f t="shared" si="1004"/>
        <v>279.10000000000002</v>
      </c>
      <c r="G505" s="1351">
        <f t="shared" si="1004"/>
        <v>175.10</v>
      </c>
      <c r="H505" s="1047">
        <f t="shared" si="1004"/>
        <v>9.1999999999999993</v>
      </c>
      <c r="I505" s="1047">
        <f t="shared" si="1004"/>
        <v>129.80000000000001</v>
      </c>
      <c r="J505" s="1047">
        <f t="shared" si="1004"/>
        <v>32.40</v>
      </c>
      <c r="K505" s="1047">
        <f t="shared" si="1004"/>
        <v>20.799999999999983</v>
      </c>
      <c r="L505" s="1351">
        <f t="shared" si="1004"/>
        <v>192.20</v>
      </c>
      <c r="M505" s="1047">
        <f t="shared" si="1004"/>
        <v>9.40</v>
      </c>
      <c r="N505" s="1047">
        <f t="shared" si="1004"/>
        <v>154.59999999999999</v>
      </c>
      <c r="O505" s="1047">
        <f t="shared" si="1004"/>
        <v>37.700000000000003</v>
      </c>
      <c r="P505" s="1047">
        <f t="shared" si="1004"/>
        <v>52.800000000000011</v>
      </c>
      <c r="Q505" s="1351">
        <f t="shared" si="1004"/>
        <v>254.50</v>
      </c>
      <c r="R505" s="1047">
        <f t="shared" si="1004"/>
        <v>102.40000000000001</v>
      </c>
      <c r="S505" s="1047">
        <f t="shared" si="1004"/>
        <v>216.50</v>
      </c>
      <c r="T505" s="1047">
        <f t="shared" si="1004"/>
        <v>158.69999999999999</v>
      </c>
      <c r="U505" s="1047">
        <f t="shared" si="1004"/>
        <v>74.199999999999989</v>
      </c>
      <c r="V505" s="1351">
        <f t="shared" si="1004"/>
        <v>551.79999999999995</v>
      </c>
      <c r="W505" s="1047">
        <f t="shared" si="1004"/>
        <v>94.20</v>
      </c>
      <c r="X505" s="1047">
        <f t="shared" si="1004"/>
        <v>235.60</v>
      </c>
      <c r="Y505" s="1047">
        <f t="shared" si="1004"/>
        <v>431.10</v>
      </c>
      <c r="Z505" s="1047">
        <f t="shared" si="1004"/>
        <v>69.599999999999909</v>
      </c>
      <c r="AA505" s="1351">
        <f t="shared" si="1004"/>
        <v>830.50</v>
      </c>
      <c r="AB505" s="1047">
        <f t="shared" si="1004"/>
        <v>49.30</v>
      </c>
      <c r="AC505" s="1047">
        <f t="shared" si="1004"/>
        <v>206.50</v>
      </c>
      <c r="AD505" s="1047">
        <f t="shared" si="1004"/>
        <v>127.20</v>
      </c>
      <c r="AE505" s="1047">
        <f t="shared" si="1004"/>
        <v>222.89999999999998</v>
      </c>
      <c r="AF505" s="1351">
        <f t="shared" si="1004"/>
        <v>605.90</v>
      </c>
      <c r="AG505" s="1047">
        <f t="shared" si="1004"/>
        <v>71.900000000000006</v>
      </c>
      <c r="AH505" s="1047">
        <f t="shared" si="1004"/>
        <v>211.70</v>
      </c>
      <c r="AI505" s="1047">
        <f t="shared" si="1005" ref="AI505:AU505">AI273</f>
        <v>158.80000000000001</v>
      </c>
      <c r="AJ505" s="1047">
        <f t="shared" si="1005"/>
        <v>109.09999999999997</v>
      </c>
      <c r="AK505" s="1351">
        <f t="shared" si="1005"/>
        <v>551.50</v>
      </c>
      <c r="AL505" s="1047">
        <f t="shared" si="1005"/>
        <v>80.400000000000006</v>
      </c>
      <c r="AM505" s="1047">
        <f t="shared" si="1005"/>
        <v>405.80</v>
      </c>
      <c r="AN505" s="1047">
        <f t="shared" si="1005"/>
        <v>281.60000000000002</v>
      </c>
      <c r="AO505" s="1047">
        <f t="shared" si="1005"/>
        <v>110.19999999999993</v>
      </c>
      <c r="AP505" s="1351">
        <f t="shared" si="1005"/>
        <v>878</v>
      </c>
      <c r="AQ505" s="1047">
        <f t="shared" si="1005"/>
        <v>211.50</v>
      </c>
      <c r="AR505" s="1047">
        <f t="shared" si="1005"/>
        <v>346.40</v>
      </c>
      <c r="AS505" s="1047">
        <f t="shared" si="1005"/>
        <v>721.90000000000009</v>
      </c>
      <c r="AT505" s="1047">
        <f t="shared" si="1005"/>
        <v>32.299999999999926</v>
      </c>
      <c r="AU505" s="1351">
        <f t="shared" si="1005"/>
        <v>1312.10</v>
      </c>
      <c r="AV505" s="1047">
        <f t="shared" si="1006" ref="AV505:AZ505">AV273</f>
        <v>146.59999999999999</v>
      </c>
      <c r="AW505" s="1047">
        <f t="shared" si="1006"/>
        <v>528.29999999999995</v>
      </c>
      <c r="AX505" s="1047">
        <f t="shared" si="1006"/>
        <v>883.20</v>
      </c>
      <c r="AY505" s="1047">
        <f t="shared" si="1006"/>
        <v>102.29999999999988</v>
      </c>
      <c r="AZ505" s="1351">
        <f t="shared" si="1006"/>
        <v>1660.40</v>
      </c>
      <c r="BA505" s="1047">
        <f t="shared" si="1007" ref="BA505:BR505">BA273</f>
        <v>240.90</v>
      </c>
      <c r="BB505" s="1047">
        <f t="shared" si="1007"/>
        <v>1024.5999999999999</v>
      </c>
      <c r="BC505" s="1047">
        <f t="shared" si="1007"/>
        <v>470.80</v>
      </c>
      <c r="BD505" s="1047">
        <f t="shared" si="1007"/>
        <v>57.500000000000057</v>
      </c>
      <c r="BE505" s="1351">
        <f t="shared" si="1007"/>
        <v>1793.8000000000002</v>
      </c>
      <c r="BF505" s="1047">
        <f>BF273</f>
        <v>346.50</v>
      </c>
      <c r="BG505" s="1047">
        <f>BG273</f>
        <v>1269.30</v>
      </c>
      <c r="BH505" s="1048">
        <f>BH273</f>
        <v>732.20</v>
      </c>
      <c r="BI505" s="1044">
        <f t="shared" si="1007"/>
        <v>379.85218483131905</v>
      </c>
      <c r="BJ505" s="1350">
        <f t="shared" si="1007"/>
        <v>2727.8521848313189</v>
      </c>
      <c r="BK505" s="1044">
        <f t="shared" si="1007"/>
        <v>438.74222598748406</v>
      </c>
      <c r="BL505" s="1044">
        <f t="shared" si="1007"/>
        <v>724.31134965146748</v>
      </c>
      <c r="BM505" s="1044">
        <f t="shared" si="1007"/>
        <v>529.64651627192427</v>
      </c>
      <c r="BN505" s="1044">
        <f t="shared" si="1007"/>
        <v>426.28136183845197</v>
      </c>
      <c r="BO505" s="1350">
        <f t="shared" si="1007"/>
        <v>2118.9814537493276</v>
      </c>
      <c r="BP505" s="1351">
        <f t="shared" si="1007"/>
        <v>1869.0627374564835</v>
      </c>
      <c r="BQ505" s="1351">
        <f t="shared" si="1007"/>
        <v>1944.5728720497257</v>
      </c>
      <c r="BR505" s="1350">
        <f t="shared" si="1007"/>
        <v>2023.1336160805345</v>
      </c>
      <c r="BS505" s="648"/>
    </row>
    <row r="506" spans="1:71" s="668" customFormat="1" ht="15" hidden="1" outlineLevel="1">
      <c r="A506" s="567" t="str">
        <f>A274</f>
        <v>Loss and LAE excl. Prior Accident Years Development, mm</v>
      </c>
      <c r="B506" s="415"/>
      <c r="C506" s="1359">
        <f t="shared" si="1008" ref="C506:AT506">C504+C505</f>
        <v>10040.90</v>
      </c>
      <c r="D506" s="1359">
        <f t="shared" si="1008"/>
        <v>10451.699999999999</v>
      </c>
      <c r="E506" s="1359">
        <f t="shared" si="1008"/>
        <v>10876.80</v>
      </c>
      <c r="F506" s="1359">
        <f t="shared" si="1008"/>
        <v>11926</v>
      </c>
      <c r="G506" s="1359">
        <f t="shared" si="1008"/>
        <v>12427.299999999999</v>
      </c>
      <c r="H506" s="1057">
        <f t="shared" si="1008"/>
        <v>3143</v>
      </c>
      <c r="I506" s="1057">
        <f t="shared" si="1008"/>
        <v>3276.60</v>
      </c>
      <c r="J506" s="1057">
        <f t="shared" si="1008"/>
        <v>3314.6000000000004</v>
      </c>
      <c r="K506" s="1057">
        <f t="shared" si="1008"/>
        <v>3596.1000000000013</v>
      </c>
      <c r="L506" s="1359">
        <f t="shared" si="1008"/>
        <v>13330.300000000001</v>
      </c>
      <c r="M506" s="1057">
        <f t="shared" si="1008"/>
        <v>3466.50</v>
      </c>
      <c r="N506" s="1057">
        <f t="shared" si="1008"/>
        <v>3706</v>
      </c>
      <c r="O506" s="1057">
        <f t="shared" si="1008"/>
        <v>3746.6000000000004</v>
      </c>
      <c r="P506" s="1057">
        <f t="shared" si="1008"/>
        <v>3738.0000000000014</v>
      </c>
      <c r="Q506" s="1359">
        <f t="shared" si="1008"/>
        <v>14657.10</v>
      </c>
      <c r="R506" s="1057">
        <f t="shared" si="1008"/>
        <v>3853</v>
      </c>
      <c r="S506" s="1057">
        <f t="shared" si="1008"/>
        <v>4273.80</v>
      </c>
      <c r="T506" s="1057">
        <f t="shared" si="1008"/>
        <v>4450.70</v>
      </c>
      <c r="U506" s="1057">
        <f t="shared" si="1008"/>
        <v>4389.6000000000004</v>
      </c>
      <c r="V506" s="1359">
        <f t="shared" si="1008"/>
        <v>16967.099999999999</v>
      </c>
      <c r="W506" s="1057">
        <f t="shared" si="1008"/>
        <v>4152.20</v>
      </c>
      <c r="X506" s="1057">
        <f t="shared" si="1008"/>
        <v>4651.8999999999996</v>
      </c>
      <c r="Y506" s="1057">
        <f t="shared" si="1008"/>
        <v>5087.6000000000004</v>
      </c>
      <c r="Z506" s="1057">
        <f t="shared" si="1008"/>
        <v>4890.4000000000015</v>
      </c>
      <c r="AA506" s="1359">
        <f t="shared" si="1008"/>
        <v>18782.099999999999</v>
      </c>
      <c r="AB506" s="1057">
        <f t="shared" si="1008"/>
        <v>4815.20</v>
      </c>
      <c r="AC506" s="1057">
        <f t="shared" si="1008"/>
        <v>5349.40</v>
      </c>
      <c r="AD506" s="1057">
        <f t="shared" si="1008"/>
        <v>5557.60</v>
      </c>
      <c r="AE506" s="1057">
        <f t="shared" si="1008"/>
        <v>5910.2999999999993</v>
      </c>
      <c r="AF506" s="1359">
        <f t="shared" si="1008"/>
        <v>21632.50</v>
      </c>
      <c r="AG506" s="1057">
        <f t="shared" si="1008"/>
        <v>5616.40</v>
      </c>
      <c r="AH506" s="1057">
        <f t="shared" si="1008"/>
        <v>6070.7000000000007</v>
      </c>
      <c r="AI506" s="1057">
        <f t="shared" si="1008"/>
        <v>6421.10</v>
      </c>
      <c r="AJ506" s="1057">
        <f t="shared" si="1008"/>
        <v>7129.9999999999982</v>
      </c>
      <c r="AK506" s="1359">
        <f t="shared" si="1008"/>
        <v>25238.200000000001</v>
      </c>
      <c r="AL506" s="1057">
        <f t="shared" si="1008"/>
        <v>6011.10</v>
      </c>
      <c r="AM506" s="1057">
        <f t="shared" si="1008"/>
        <v>5349.40</v>
      </c>
      <c r="AN506" s="1057">
        <f t="shared" si="1008"/>
        <v>6945.30</v>
      </c>
      <c r="AO506" s="1057">
        <f t="shared" si="1008"/>
        <v>6620.7000000000025</v>
      </c>
      <c r="AP506" s="1359">
        <f t="shared" si="1008"/>
        <v>24926.50</v>
      </c>
      <c r="AQ506" s="1057">
        <f t="shared" si="1008"/>
        <v>6986.10</v>
      </c>
      <c r="AR506" s="1057">
        <f t="shared" si="1008"/>
        <v>8333.7999999999993</v>
      </c>
      <c r="AS506" s="1057">
        <f t="shared" si="1008"/>
        <v>9563.8000000000011</v>
      </c>
      <c r="AT506" s="1057">
        <f t="shared" si="1008"/>
        <v>8748.60</v>
      </c>
      <c r="AU506" s="1359">
        <f t="shared" si="1009" ref="AU506:AZ506">AU504+AU505</f>
        <v>33632.299999999996</v>
      </c>
      <c r="AV506" s="1057">
        <f t="shared" si="1009"/>
        <v>8667.60</v>
      </c>
      <c r="AW506" s="1057">
        <f t="shared" si="1009"/>
        <v>9662.3000000000011</v>
      </c>
      <c r="AX506" s="1057">
        <f t="shared" si="1009"/>
        <v>10071.300000000001</v>
      </c>
      <c r="AY506" s="1057">
        <f t="shared" si="1009"/>
        <v>9826.9999999999964</v>
      </c>
      <c r="AZ506" s="1359">
        <f t="shared" si="1009"/>
        <v>38228.199999999997</v>
      </c>
      <c r="BA506" s="1057">
        <f t="shared" si="1010" ref="BA506:BR506">BA504+BA505</f>
        <v>10623.700000000001</v>
      </c>
      <c r="BB506" s="1057">
        <f t="shared" si="1010"/>
        <v>12376.999999999998</v>
      </c>
      <c r="BC506" s="1057">
        <f t="shared" si="1010"/>
        <v>11520.90</v>
      </c>
      <c r="BD506" s="1057">
        <f t="shared" si="1010"/>
        <v>11586.899999999998</v>
      </c>
      <c r="BE506" s="1359">
        <f t="shared" si="1010"/>
        <v>46108.50</v>
      </c>
      <c r="BF506" s="1057">
        <f>BF504+BF505</f>
        <v>11034.90</v>
      </c>
      <c r="BG506" s="1057">
        <f>BG504+BG505</f>
        <v>12650.500000000002</v>
      </c>
      <c r="BH506" s="1119">
        <f>BH504+BH505</f>
        <v>12623.199999999993</v>
      </c>
      <c r="BI506" s="1057">
        <f t="shared" si="1010"/>
        <v>13475.538494667986</v>
      </c>
      <c r="BJ506" s="1359">
        <f t="shared" si="1010"/>
        <v>49784.138494667975</v>
      </c>
      <c r="BK506" s="1057">
        <f t="shared" si="1010"/>
        <v>15978.950545034093</v>
      </c>
      <c r="BL506" s="1057">
        <f t="shared" si="1010"/>
        <v>14913.849673999246</v>
      </c>
      <c r="BM506" s="1057">
        <f t="shared" si="1010"/>
        <v>15430.216722821046</v>
      </c>
      <c r="BN506" s="1057">
        <f t="shared" si="1010"/>
        <v>14765.637035806893</v>
      </c>
      <c r="BO506" s="1359">
        <f t="shared" si="1010"/>
        <v>61088.653977661284</v>
      </c>
      <c r="BP506" s="1359">
        <f t="shared" si="1010"/>
        <v>65487.191790231365</v>
      </c>
      <c r="BQ506" s="1359">
        <f t="shared" si="1010"/>
        <v>68132.874338556707</v>
      </c>
      <c r="BR506" s="1359">
        <f t="shared" si="1010"/>
        <v>70885.442461834406</v>
      </c>
      <c r="BS506" s="648"/>
    </row>
    <row r="507" spans="1:71" s="668" customFormat="1" ht="15" hidden="1" outlineLevel="1">
      <c r="A507" s="1001" t="str">
        <f>A275</f>
        <v>Prior Accident Years Development, mm</v>
      </c>
      <c r="B507" s="261"/>
      <c r="C507" s="1324">
        <f t="shared" si="1011" ref="C507:AH507">C275</f>
        <v>-136</v>
      </c>
      <c r="D507" s="1324">
        <f t="shared" si="1011"/>
        <v>-320.39999999999998</v>
      </c>
      <c r="E507" s="1324">
        <f t="shared" si="1011"/>
        <v>-242</v>
      </c>
      <c r="F507" s="1324">
        <f t="shared" si="1011"/>
        <v>22</v>
      </c>
      <c r="G507" s="1324">
        <f t="shared" si="1011"/>
        <v>45.10</v>
      </c>
      <c r="H507" s="1029">
        <f t="shared" si="1011"/>
        <v>62.90</v>
      </c>
      <c r="I507" s="1029">
        <f t="shared" si="1011"/>
        <v>-7.50</v>
      </c>
      <c r="J507" s="1029">
        <f t="shared" si="1011"/>
        <v>-22.80</v>
      </c>
      <c r="K507" s="1029">
        <f t="shared" si="1011"/>
        <v>-56.70</v>
      </c>
      <c r="L507" s="1324">
        <f t="shared" si="1011"/>
        <v>-24.10</v>
      </c>
      <c r="M507" s="1029">
        <f t="shared" si="1011"/>
        <v>-97.90</v>
      </c>
      <c r="N507" s="1029">
        <f t="shared" si="1011"/>
        <v>-88.80</v>
      </c>
      <c r="O507" s="1029">
        <f t="shared" si="1011"/>
        <v>-92.30</v>
      </c>
      <c r="P507" s="1029">
        <f t="shared" si="1011"/>
        <v>-36.100000000000023</v>
      </c>
      <c r="Q507" s="1324">
        <f t="shared" si="1011"/>
        <v>-315.10000000000002</v>
      </c>
      <c r="R507" s="1029">
        <f t="shared" si="1011"/>
        <v>60.40</v>
      </c>
      <c r="S507" s="1029">
        <f t="shared" si="1011"/>
        <v>-30.80</v>
      </c>
      <c r="T507" s="1029">
        <f t="shared" si="1011"/>
        <v>-52.50</v>
      </c>
      <c r="U507" s="1029">
        <f t="shared" si="1011"/>
        <v>-64.599999999999994</v>
      </c>
      <c r="V507" s="1324">
        <f t="shared" si="1011"/>
        <v>-87.50</v>
      </c>
      <c r="W507" s="1029">
        <f t="shared" si="1011"/>
        <v>111.20</v>
      </c>
      <c r="X507" s="1029">
        <f t="shared" si="1011"/>
        <v>-37</v>
      </c>
      <c r="Y507" s="1029">
        <f t="shared" si="1011"/>
        <v>-37.10</v>
      </c>
      <c r="Z507" s="1029">
        <f t="shared" si="1011"/>
        <v>-11.200000000000003</v>
      </c>
      <c r="AA507" s="1324">
        <f t="shared" si="1011"/>
        <v>25.90</v>
      </c>
      <c r="AB507" s="1029">
        <f t="shared" si="1011"/>
        <v>55.60</v>
      </c>
      <c r="AC507" s="1029">
        <f t="shared" si="1011"/>
        <v>25.90</v>
      </c>
      <c r="AD507" s="1029">
        <f t="shared" si="1011"/>
        <v>-34.50</v>
      </c>
      <c r="AE507" s="1029">
        <f t="shared" si="1011"/>
        <v>41.50</v>
      </c>
      <c r="AF507" s="1324">
        <f t="shared" si="1011"/>
        <v>88.50</v>
      </c>
      <c r="AG507" s="1029">
        <f t="shared" si="1011"/>
        <v>142.59999999999999</v>
      </c>
      <c r="AH507" s="1029">
        <f t="shared" si="1011"/>
        <v>67.400000000000006</v>
      </c>
      <c r="AI507" s="1029">
        <f t="shared" si="1012" ref="AI507:AU507">AI275</f>
        <v>5.20</v>
      </c>
      <c r="AJ507" s="1029">
        <f t="shared" si="1012"/>
        <v>17.100000000000023</v>
      </c>
      <c r="AK507" s="1324">
        <f t="shared" si="1012"/>
        <v>232.30</v>
      </c>
      <c r="AL507" s="1029">
        <f t="shared" si="1012"/>
        <v>144.09999999999999</v>
      </c>
      <c r="AM507" s="1029">
        <f t="shared" si="1012"/>
        <v>-28</v>
      </c>
      <c r="AN507" s="1029">
        <f t="shared" si="1012"/>
        <v>-232.20</v>
      </c>
      <c r="AO507" s="1029">
        <f t="shared" si="1012"/>
        <v>311.39999999999998</v>
      </c>
      <c r="AP507" s="1324">
        <f t="shared" si="1012"/>
        <v>195.30</v>
      </c>
      <c r="AQ507" s="1029">
        <f t="shared" si="1012"/>
        <v>124.40000000000001</v>
      </c>
      <c r="AR507" s="1029">
        <f t="shared" si="1012"/>
        <v>72.599999999999994</v>
      </c>
      <c r="AS507" s="1029">
        <f t="shared" si="1012"/>
        <v>-313.10000000000002</v>
      </c>
      <c r="AT507" s="1029">
        <f t="shared" si="1012"/>
        <v>111.40000000000002</v>
      </c>
      <c r="AU507" s="1324">
        <f t="shared" si="1012"/>
        <v>-4.70</v>
      </c>
      <c r="AV507" s="1029">
        <f t="shared" si="1013" ref="AV507:AZ507">AV275</f>
        <v>190.80</v>
      </c>
      <c r="AW507" s="1029">
        <f t="shared" si="1013"/>
        <v>-241.20000000000002</v>
      </c>
      <c r="AX507" s="1029">
        <f t="shared" si="1013"/>
        <v>-52.599999999999994</v>
      </c>
      <c r="AY507" s="1029">
        <f t="shared" si="1013"/>
        <v>-2.50</v>
      </c>
      <c r="AZ507" s="1324">
        <f t="shared" si="1013"/>
        <v>-105.50</v>
      </c>
      <c r="BA507" s="1029">
        <f t="shared" si="1014" ref="BA507:BR507">BA275</f>
        <v>0.30</v>
      </c>
      <c r="BB507" s="1029">
        <f t="shared" si="1014"/>
        <v>-206.90</v>
      </c>
      <c r="BC507" s="1029">
        <f t="shared" si="1014"/>
        <v>-133</v>
      </c>
      <c r="BD507" s="1029">
        <f t="shared" si="1014"/>
        <v>-114.29999999999995</v>
      </c>
      <c r="BE507" s="1324">
        <f t="shared" si="1014"/>
        <v>-453.90</v>
      </c>
      <c r="BF507" s="1029">
        <f>BF275</f>
        <v>-63.30</v>
      </c>
      <c r="BG507" s="1029">
        <f>BG275</f>
        <v>-55.20</v>
      </c>
      <c r="BH507" s="1050">
        <f>BH275</f>
        <v>-112.90000000000001</v>
      </c>
      <c r="BI507" s="1029">
        <f t="shared" si="1014"/>
        <v>87.796507765751144</v>
      </c>
      <c r="BJ507" s="1324">
        <f t="shared" si="1014"/>
        <v>-143.60349223424885</v>
      </c>
      <c r="BK507" s="1029">
        <f t="shared" si="1014"/>
        <v>107.21022067167124</v>
      </c>
      <c r="BL507" s="1029">
        <f t="shared" si="1014"/>
        <v>98.418104075871852</v>
      </c>
      <c r="BM507" s="1029">
        <f t="shared" si="1014"/>
        <v>105.06634118308017</v>
      </c>
      <c r="BN507" s="1029">
        <f t="shared" si="1014"/>
        <v>98.896789085157181</v>
      </c>
      <c r="BO507" s="1324">
        <f t="shared" si="1014"/>
        <v>409.59145501578047</v>
      </c>
      <c r="BP507" s="1324">
        <f t="shared" si="1014"/>
        <v>438.71476520763616</v>
      </c>
      <c r="BQ507" s="1324">
        <f t="shared" si="1014"/>
        <v>456.43884172202468</v>
      </c>
      <c r="BR507" s="1324">
        <f t="shared" si="1014"/>
        <v>474.87897092759442</v>
      </c>
      <c r="BS507" s="648"/>
    </row>
    <row r="508" spans="1:71" s="668" customFormat="1" ht="15" collapsed="1">
      <c r="A508" s="904" t="str">
        <f>A276</f>
        <v>Total Loss and LAE, mm</v>
      </c>
      <c r="B508" s="367"/>
      <c r="C508" s="1322">
        <f t="shared" si="1015" ref="C508:AT508">C506+C507</f>
        <v>9904.90</v>
      </c>
      <c r="D508" s="1322">
        <f t="shared" si="1015"/>
        <v>10131.299999999999</v>
      </c>
      <c r="E508" s="1322">
        <f t="shared" si="1015"/>
        <v>10634.80</v>
      </c>
      <c r="F508" s="1322">
        <f t="shared" si="1015"/>
        <v>11948</v>
      </c>
      <c r="G508" s="1322">
        <f t="shared" si="1015"/>
        <v>12472.40</v>
      </c>
      <c r="H508" s="1031">
        <f t="shared" si="1015"/>
        <v>3205.90</v>
      </c>
      <c r="I508" s="1031">
        <f t="shared" si="1015"/>
        <v>3269.10</v>
      </c>
      <c r="J508" s="1031">
        <f t="shared" si="1015"/>
        <v>3291.80</v>
      </c>
      <c r="K508" s="1031">
        <f t="shared" si="1015"/>
        <v>3539.4000000000015</v>
      </c>
      <c r="L508" s="1322">
        <f t="shared" si="1015"/>
        <v>13306.20</v>
      </c>
      <c r="M508" s="1031">
        <f t="shared" si="1015"/>
        <v>3368.60</v>
      </c>
      <c r="N508" s="1031">
        <f t="shared" si="1015"/>
        <v>3617.20</v>
      </c>
      <c r="O508" s="1031">
        <f t="shared" si="1015"/>
        <v>3654.30</v>
      </c>
      <c r="P508" s="1031">
        <f t="shared" si="1015"/>
        <v>3701.9000000000015</v>
      </c>
      <c r="Q508" s="1322">
        <f t="shared" si="1015"/>
        <v>14342</v>
      </c>
      <c r="R508" s="1031">
        <f t="shared" si="1015"/>
        <v>3913.40</v>
      </c>
      <c r="S508" s="1031">
        <f t="shared" si="1015"/>
        <v>4243</v>
      </c>
      <c r="T508" s="1031">
        <f t="shared" si="1015"/>
        <v>4398.20</v>
      </c>
      <c r="U508" s="1031">
        <f t="shared" si="1015"/>
        <v>4325</v>
      </c>
      <c r="V508" s="1322">
        <f t="shared" si="1015"/>
        <v>16879.60</v>
      </c>
      <c r="W508" s="1031">
        <f t="shared" si="1015"/>
        <v>4263.3999999999996</v>
      </c>
      <c r="X508" s="1031">
        <f t="shared" si="1015"/>
        <v>4614.8999999999996</v>
      </c>
      <c r="Y508" s="1031">
        <f t="shared" si="1015"/>
        <v>5050.50</v>
      </c>
      <c r="Z508" s="1031">
        <f t="shared" si="1015"/>
        <v>4879.2000000000016</v>
      </c>
      <c r="AA508" s="1322">
        <f t="shared" si="1015"/>
        <v>18808</v>
      </c>
      <c r="AB508" s="1031">
        <f t="shared" si="1015"/>
        <v>4870.80</v>
      </c>
      <c r="AC508" s="1031">
        <f t="shared" si="1015"/>
        <v>5375.30</v>
      </c>
      <c r="AD508" s="1031">
        <f t="shared" si="1015"/>
        <v>5523.10</v>
      </c>
      <c r="AE508" s="1031">
        <f t="shared" si="1015"/>
        <v>5951.7999999999993</v>
      </c>
      <c r="AF508" s="1322">
        <f t="shared" si="1015"/>
        <v>21721</v>
      </c>
      <c r="AG508" s="1031">
        <f t="shared" si="1015"/>
        <v>5759</v>
      </c>
      <c r="AH508" s="1031">
        <f t="shared" si="1015"/>
        <v>6138.10</v>
      </c>
      <c r="AI508" s="1031">
        <f t="shared" si="1015"/>
        <v>6426.30</v>
      </c>
      <c r="AJ508" s="1031">
        <f t="shared" si="1015"/>
        <v>7147.0999999999985</v>
      </c>
      <c r="AK508" s="1322">
        <f t="shared" si="1015"/>
        <v>25470.50</v>
      </c>
      <c r="AL508" s="1031">
        <f t="shared" si="1015"/>
        <v>6155.20</v>
      </c>
      <c r="AM508" s="1031">
        <f t="shared" si="1015"/>
        <v>5321.40</v>
      </c>
      <c r="AN508" s="1031">
        <f t="shared" si="1015"/>
        <v>6713.10</v>
      </c>
      <c r="AO508" s="1031">
        <f t="shared" si="1015"/>
        <v>6932.1000000000022</v>
      </c>
      <c r="AP508" s="1322">
        <f t="shared" si="1015"/>
        <v>25121.799999999999</v>
      </c>
      <c r="AQ508" s="1031">
        <f t="shared" si="1015"/>
        <v>7110.50</v>
      </c>
      <c r="AR508" s="1031">
        <f t="shared" si="1015"/>
        <v>8406.40</v>
      </c>
      <c r="AS508" s="1031">
        <f t="shared" si="1015"/>
        <v>9250.7000000000007</v>
      </c>
      <c r="AT508" s="1031">
        <f t="shared" si="1015"/>
        <v>8860</v>
      </c>
      <c r="AU508" s="1322">
        <f t="shared" si="1016" ref="AU508:AZ508">AU506+AU507</f>
        <v>33627.60</v>
      </c>
      <c r="AV508" s="1031">
        <f t="shared" si="1016"/>
        <v>8858.40</v>
      </c>
      <c r="AW508" s="1031">
        <f t="shared" si="1016"/>
        <v>9421.10</v>
      </c>
      <c r="AX508" s="1031">
        <f t="shared" si="1016"/>
        <v>10018.700000000001</v>
      </c>
      <c r="AY508" s="1031">
        <f t="shared" si="1016"/>
        <v>9824.4999999999964</v>
      </c>
      <c r="AZ508" s="1322">
        <f t="shared" si="1016"/>
        <v>38122.699999999997</v>
      </c>
      <c r="BA508" s="1031">
        <f t="shared" si="1017" ref="BA508:BR508">BA506+BA507</f>
        <v>10624</v>
      </c>
      <c r="BB508" s="1031">
        <f t="shared" si="1017"/>
        <v>12170.099999999999</v>
      </c>
      <c r="BC508" s="1031">
        <f t="shared" si="1017"/>
        <v>11387.90</v>
      </c>
      <c r="BD508" s="1031">
        <f t="shared" si="1017"/>
        <v>11472.60</v>
      </c>
      <c r="BE508" s="1322">
        <f t="shared" si="1017"/>
        <v>45654.599999999999</v>
      </c>
      <c r="BF508" s="1031">
        <f>BF506+BF507</f>
        <v>10971.60</v>
      </c>
      <c r="BG508" s="1031">
        <f>BG506+BG507</f>
        <v>12595.300000000001</v>
      </c>
      <c r="BH508" s="1049">
        <f>BH506+BH507</f>
        <v>12510.299999999994</v>
      </c>
      <c r="BI508" s="1023">
        <f t="shared" si="1017"/>
        <v>13563.335002433738</v>
      </c>
      <c r="BJ508" s="1321">
        <f t="shared" si="1017"/>
        <v>49640.535002433724</v>
      </c>
      <c r="BK508" s="1023">
        <f t="shared" si="1017"/>
        <v>16086.160765705765</v>
      </c>
      <c r="BL508" s="1023">
        <f t="shared" si="1017"/>
        <v>15012.267778075118</v>
      </c>
      <c r="BM508" s="1023">
        <f t="shared" si="1017"/>
        <v>15535.283064004127</v>
      </c>
      <c r="BN508" s="1023">
        <f t="shared" si="1017"/>
        <v>14864.533824892049</v>
      </c>
      <c r="BO508" s="1321">
        <f t="shared" si="1017"/>
        <v>61498.245432677068</v>
      </c>
      <c r="BP508" s="1322">
        <f t="shared" si="1017"/>
        <v>65925.906555438996</v>
      </c>
      <c r="BQ508" s="1322">
        <f t="shared" si="1017"/>
        <v>68589.313180278725</v>
      </c>
      <c r="BR508" s="1321">
        <f t="shared" si="1017"/>
        <v>71360.321432761993</v>
      </c>
      <c r="BS508" s="648"/>
    </row>
    <row r="509" spans="1:71" s="669" customFormat="1" ht="15">
      <c r="A509" s="22" t="s">
        <v>636</v>
      </c>
      <c r="B509" s="50"/>
      <c r="C509" s="1333"/>
      <c r="D509" s="1429">
        <f>D508/C508-1</f>
        <v>0.022857373623156096</v>
      </c>
      <c r="E509" s="1429">
        <f>E508/D508-1</f>
        <v>0.04969747219014331</v>
      </c>
      <c r="F509" s="1429">
        <f>F508/E508-1</f>
        <v>0.12348140068454505</v>
      </c>
      <c r="G509" s="1429">
        <f>G508/F508-1</f>
        <v>0.043890190826916697</v>
      </c>
      <c r="H509" s="201"/>
      <c r="I509" s="201"/>
      <c r="J509" s="201"/>
      <c r="K509" s="201"/>
      <c r="L509" s="1429">
        <f t="shared" si="1018" ref="L509">L508/G508-1</f>
        <v>0.0668516083512396</v>
      </c>
      <c r="M509" s="507">
        <f t="shared" si="1019" ref="M509">M508/H508-1</f>
        <v>0.050750179356810809</v>
      </c>
      <c r="N509" s="507">
        <f t="shared" si="1020" ref="N509">N508/I508-1</f>
        <v>0.10648190633507681</v>
      </c>
      <c r="O509" s="507">
        <f t="shared" si="1021" ref="O509">O508/J508-1</f>
        <v>0.11012212163557922</v>
      </c>
      <c r="P509" s="507">
        <f t="shared" si="1022" ref="P509">P508/K508-1</f>
        <v>0.045911736452506124</v>
      </c>
      <c r="Q509" s="1429">
        <f t="shared" si="1023" ref="Q509">Q508/L508-1</f>
        <v>0.07784341134208117</v>
      </c>
      <c r="R509" s="507">
        <f t="shared" si="1024" ref="R509">R508/M508-1</f>
        <v>0.16172890815175456</v>
      </c>
      <c r="S509" s="507">
        <f t="shared" si="1025" ref="S509">S508/N508-1</f>
        <v>0.17300674554904361</v>
      </c>
      <c r="T509" s="507">
        <f t="shared" si="1026" ref="T509">T508/O508-1</f>
        <v>0.20356839887256095</v>
      </c>
      <c r="U509" s="507">
        <f t="shared" si="1027" ref="U509">U508/P508-1</f>
        <v>0.16831897133904161</v>
      </c>
      <c r="V509" s="1429">
        <f t="shared" si="1028" ref="V509">V508/Q508-1</f>
        <v>0.17693487658625018</v>
      </c>
      <c r="W509" s="507">
        <f t="shared" si="1029" ref="W509">W508/R508-1</f>
        <v>0.089436295804159904</v>
      </c>
      <c r="X509" s="507">
        <f t="shared" si="1030" ref="X509">X508/S508-1</f>
        <v>0.087650247466415143</v>
      </c>
      <c r="Y509" s="507">
        <f t="shared" si="1031" ref="Y509">Y508/T508-1</f>
        <v>0.14831067254786046</v>
      </c>
      <c r="Z509" s="507">
        <f t="shared" si="1032" ref="Z509">Z508/U508-1</f>
        <v>0.12813872832369988</v>
      </c>
      <c r="AA509" s="1429">
        <f t="shared" si="1033" ref="AA509">AA508/V508-1</f>
        <v>0.11424441337472468</v>
      </c>
      <c r="AB509" s="507">
        <f t="shared" si="1034" ref="AB509">AB508/W508-1</f>
        <v>0.14246845240887573</v>
      </c>
      <c r="AC509" s="507">
        <f t="shared" si="1035" ref="AC509">AC508/X508-1</f>
        <v>0.16477063424992977</v>
      </c>
      <c r="AD509" s="507">
        <f t="shared" si="1036" ref="AD509">AD508/Y508-1</f>
        <v>0.093574893574893681</v>
      </c>
      <c r="AE509" s="507">
        <f t="shared" si="1037" ref="AE509">AE508/Z508-1</f>
        <v>0.21983111985571346</v>
      </c>
      <c r="AF509" s="1429">
        <f t="shared" si="1038" ref="AF509">AF508/AA508-1</f>
        <v>0.15488090174393876</v>
      </c>
      <c r="AG509" s="507">
        <f t="shared" si="1039" ref="AG509">AG508/AB508-1</f>
        <v>0.18235197503490186</v>
      </c>
      <c r="AH509" s="507">
        <f t="shared" si="1040" ref="AH509">AH508/AC508-1</f>
        <v>0.1419083586032408</v>
      </c>
      <c r="AI509" s="507">
        <f t="shared" si="1041" ref="AI509">AI508/AD508-1</f>
        <v>0.16353135014756193</v>
      </c>
      <c r="AJ509" s="507">
        <f t="shared" si="1042" ref="AJ509">AJ508/AE508-1</f>
        <v>0.20083000100809834</v>
      </c>
      <c r="AK509" s="1429">
        <f t="shared" si="1043" ref="AK509">AK508/AF508-1</f>
        <v>0.17262096588554865</v>
      </c>
      <c r="AL509" s="507">
        <f t="shared" si="1044" ref="AL509">AL508/AG508-1</f>
        <v>0.068796666087862501</v>
      </c>
      <c r="AM509" s="507">
        <f t="shared" si="1045" ref="AM509">AM508/AH508-1</f>
        <v>-0.13305420244049471</v>
      </c>
      <c r="AN509" s="507">
        <f t="shared" si="1046" ref="AN509">AN508/AI508-1</f>
        <v>0.044629102282806699</v>
      </c>
      <c r="AO509" s="507">
        <f t="shared" si="1047" ref="AO509">AO508/AJ508-1</f>
        <v>-0.030082131214058339</v>
      </c>
      <c r="AP509" s="1429">
        <f t="shared" si="1048" ref="AP509">AP508/AK508-1</f>
        <v>-0.013690347657093538</v>
      </c>
      <c r="AQ509" s="507">
        <f t="shared" si="1049" ref="AQ509">AQ508/AL508-1</f>
        <v>0.15520210553678204</v>
      </c>
      <c r="AR509" s="507">
        <f t="shared" si="1050" ref="AR509">AR508/AM508-1</f>
        <v>0.57973465629345666</v>
      </c>
      <c r="AS509" s="507">
        <f t="shared" si="1051" ref="AS509">AS508/AN508-1</f>
        <v>0.37800717999136024</v>
      </c>
      <c r="AT509" s="507">
        <f t="shared" si="1052" ref="AT509">AT508/AO508-1</f>
        <v>0.27811197184114445</v>
      </c>
      <c r="AU509" s="1429">
        <f t="shared" si="1053" ref="AU509:AZ509">AU508/AP508-1</f>
        <v>0.33858242641848912</v>
      </c>
      <c r="AV509" s="507">
        <f t="shared" si="1053"/>
        <v>0.24581956261866256</v>
      </c>
      <c r="AW509" s="507">
        <f t="shared" si="1053"/>
        <v>0.12070565283593471</v>
      </c>
      <c r="AX509" s="507">
        <f t="shared" si="1053"/>
        <v>0.083020744376101296</v>
      </c>
      <c r="AY509" s="507">
        <f t="shared" si="1053"/>
        <v>0.10886004514672654</v>
      </c>
      <c r="AZ509" s="1429">
        <f t="shared" si="1053"/>
        <v>0.1336729353269337</v>
      </c>
      <c r="BA509" s="507">
        <f t="shared" si="1054" ref="BA509:BO509">BA508/AV508-1</f>
        <v>0.19931364580511168</v>
      </c>
      <c r="BB509" s="507">
        <f t="shared" si="1054"/>
        <v>0.29179182897963063</v>
      </c>
      <c r="BC509" s="507">
        <f t="shared" si="1054"/>
        <v>0.13666443750187129</v>
      </c>
      <c r="BD509" s="507">
        <f t="shared" si="1054"/>
        <v>0.16775408417731219</v>
      </c>
      <c r="BE509" s="1429">
        <f t="shared" si="1054"/>
        <v>0.19756995176102432</v>
      </c>
      <c r="BF509" s="507">
        <f>BF508/BA508-1</f>
        <v>0.032718373493975994</v>
      </c>
      <c r="BG509" s="507">
        <f>BG508/BB508-1</f>
        <v>0.034938085964782761</v>
      </c>
      <c r="BH509" s="830">
        <f>BH508/BC508-1</f>
        <v>0.098560753080022989</v>
      </c>
      <c r="BI509" s="488">
        <f t="shared" si="1054"/>
        <v>0.18223724373147676</v>
      </c>
      <c r="BJ509" s="1332">
        <f t="shared" si="1054"/>
        <v>0.087306317489009411</v>
      </c>
      <c r="BK509" s="488">
        <f t="shared" si="1054"/>
        <v>0.46616361931767147</v>
      </c>
      <c r="BL509" s="488">
        <f t="shared" si="1054"/>
        <v>0.19189441919407368</v>
      </c>
      <c r="BM509" s="488">
        <f t="shared" si="1054"/>
        <v>0.24179940241274256</v>
      </c>
      <c r="BN509" s="488">
        <f t="shared" si="1054"/>
        <v>0.095935020570149687</v>
      </c>
      <c r="BO509" s="1332">
        <f t="shared" si="1054"/>
        <v>0.23887152766709696</v>
      </c>
      <c r="BP509" s="1333">
        <f>BP508/BO508-1</f>
        <v>0.071996543830001647</v>
      </c>
      <c r="BQ509" s="1333">
        <f>BQ508/BP508-1</f>
        <v>0.040399999999999991</v>
      </c>
      <c r="BR509" s="1332">
        <f>BR508/BQ508-1</f>
        <v>0.040400000000000214</v>
      </c>
      <c r="BS509" s="648"/>
    </row>
    <row r="510" spans="1:71" s="669" customFormat="1" ht="7.5" customHeight="1">
      <c r="A510" s="487"/>
      <c r="B510" s="108"/>
      <c r="C510" s="1325"/>
      <c r="D510" s="1325"/>
      <c r="E510" s="1325"/>
      <c r="F510" s="1325"/>
      <c r="G510" s="1325"/>
      <c r="H510" s="726"/>
      <c r="I510" s="726"/>
      <c r="J510" s="726"/>
      <c r="K510" s="726"/>
      <c r="L510" s="1325"/>
      <c r="M510" s="726"/>
      <c r="N510" s="726"/>
      <c r="O510" s="726"/>
      <c r="P510" s="726"/>
      <c r="Q510" s="1325"/>
      <c r="R510" s="726"/>
      <c r="S510" s="726"/>
      <c r="T510" s="726"/>
      <c r="U510" s="726"/>
      <c r="V510" s="1325"/>
      <c r="W510" s="726"/>
      <c r="X510" s="726"/>
      <c r="Y510" s="726"/>
      <c r="Z510" s="726"/>
      <c r="AA510" s="1325"/>
      <c r="AB510" s="726"/>
      <c r="AC510" s="726"/>
      <c r="AD510" s="726"/>
      <c r="AE510" s="726"/>
      <c r="AF510" s="1325"/>
      <c r="AG510" s="726"/>
      <c r="AH510" s="726"/>
      <c r="AI510" s="726"/>
      <c r="AJ510" s="726"/>
      <c r="AK510" s="1325"/>
      <c r="AL510" s="726"/>
      <c r="AM510" s="726"/>
      <c r="AN510" s="726"/>
      <c r="AO510" s="726"/>
      <c r="AP510" s="1325"/>
      <c r="AQ510" s="726"/>
      <c r="AR510" s="726"/>
      <c r="AS510" s="726"/>
      <c r="AT510" s="726"/>
      <c r="AU510" s="1325"/>
      <c r="AV510" s="726"/>
      <c r="AW510" s="726"/>
      <c r="AX510" s="726"/>
      <c r="AY510" s="726"/>
      <c r="AZ510" s="1325"/>
      <c r="BA510" s="726"/>
      <c r="BB510" s="726"/>
      <c r="BC510" s="726"/>
      <c r="BD510" s="726"/>
      <c r="BE510" s="1325"/>
      <c r="BF510" s="726"/>
      <c r="BG510" s="726"/>
      <c r="BH510" s="808"/>
      <c r="BI510" s="98"/>
      <c r="BJ510" s="1326"/>
      <c r="BK510" s="98"/>
      <c r="BL510" s="98"/>
      <c r="BM510" s="98"/>
      <c r="BN510" s="98"/>
      <c r="BO510" s="1326"/>
      <c r="BP510" s="1325"/>
      <c r="BQ510" s="1325"/>
      <c r="BR510" s="1326"/>
      <c r="BS510" s="648"/>
    </row>
    <row r="511" spans="1:71" s="665" customFormat="1" ht="15">
      <c r="A511" s="371" t="s">
        <v>16</v>
      </c>
      <c r="B511" s="1003"/>
      <c r="C511" s="1370">
        <f t="shared" si="1055" ref="C511:AU511">C584</f>
        <v>1364.60</v>
      </c>
      <c r="D511" s="1370">
        <f t="shared" si="1055"/>
        <v>1359.90</v>
      </c>
      <c r="E511" s="1370">
        <f t="shared" si="1055"/>
        <v>1399.20</v>
      </c>
      <c r="F511" s="1370">
        <f t="shared" si="1055"/>
        <v>1436.60</v>
      </c>
      <c r="G511" s="1370">
        <f t="shared" si="1055"/>
        <v>1451.80</v>
      </c>
      <c r="H511" s="1066">
        <f t="shared" si="1055"/>
        <v>369</v>
      </c>
      <c r="I511" s="1066">
        <f t="shared" si="1055"/>
        <v>374.80</v>
      </c>
      <c r="J511" s="1066">
        <f t="shared" si="1055"/>
        <v>375.20</v>
      </c>
      <c r="K511" s="1066">
        <f t="shared" si="1055"/>
        <v>405</v>
      </c>
      <c r="L511" s="1370">
        <f t="shared" si="1055"/>
        <v>1524</v>
      </c>
      <c r="M511" s="1066">
        <f t="shared" si="1055"/>
        <v>379.40</v>
      </c>
      <c r="N511" s="1066">
        <f t="shared" si="1055"/>
        <v>417.30</v>
      </c>
      <c r="O511" s="1066">
        <f t="shared" si="1055"/>
        <v>423.20</v>
      </c>
      <c r="P511" s="1066">
        <f t="shared" si="1055"/>
        <v>431.89999999999986</v>
      </c>
      <c r="Q511" s="1370">
        <f t="shared" si="1055"/>
        <v>1651.80</v>
      </c>
      <c r="R511" s="1066">
        <f t="shared" si="1055"/>
        <v>440.30</v>
      </c>
      <c r="S511" s="1066">
        <f t="shared" si="1055"/>
        <v>458.90</v>
      </c>
      <c r="T511" s="1066">
        <f t="shared" si="1055"/>
        <v>475.40</v>
      </c>
      <c r="U511" s="1066">
        <f t="shared" si="1055"/>
        <v>489.20000000000005</v>
      </c>
      <c r="V511" s="1370">
        <f t="shared" si="1055"/>
        <v>1863.80</v>
      </c>
      <c r="W511" s="1066">
        <f t="shared" si="1055"/>
        <v>502.90</v>
      </c>
      <c r="X511" s="1066">
        <f t="shared" si="1055"/>
        <v>514.20000000000005</v>
      </c>
      <c r="Y511" s="1066">
        <f t="shared" si="1055"/>
        <v>540.10</v>
      </c>
      <c r="Z511" s="1066">
        <f t="shared" si="1055"/>
        <v>567.70000000000005</v>
      </c>
      <c r="AA511" s="1370">
        <f t="shared" si="1055"/>
        <v>2124.90</v>
      </c>
      <c r="AB511" s="1066">
        <f t="shared" si="1055"/>
        <v>596.20000000000005</v>
      </c>
      <c r="AC511" s="1066">
        <f t="shared" si="1055"/>
        <v>630.79999999999995</v>
      </c>
      <c r="AD511" s="1066">
        <f t="shared" si="1055"/>
        <v>662.70</v>
      </c>
      <c r="AE511" s="1066">
        <f t="shared" si="1055"/>
        <v>683.99999999999977</v>
      </c>
      <c r="AF511" s="1370">
        <f t="shared" si="1055"/>
        <v>2573.6999999999998</v>
      </c>
      <c r="AG511" s="1066">
        <f t="shared" si="1055"/>
        <v>710.60</v>
      </c>
      <c r="AH511" s="1066">
        <f t="shared" si="1055"/>
        <v>738.60</v>
      </c>
      <c r="AI511" s="1066">
        <f t="shared" si="1055"/>
        <v>751.50</v>
      </c>
      <c r="AJ511" s="1066">
        <f t="shared" si="1055"/>
        <v>822.50</v>
      </c>
      <c r="AK511" s="1370">
        <f t="shared" si="1055"/>
        <v>3023.20</v>
      </c>
      <c r="AL511" s="1066">
        <f t="shared" si="1055"/>
        <v>782.80</v>
      </c>
      <c r="AM511" s="1066">
        <f t="shared" si="1055"/>
        <v>795.50</v>
      </c>
      <c r="AN511" s="1066">
        <f t="shared" si="1055"/>
        <v>835.20</v>
      </c>
      <c r="AO511" s="1066">
        <f t="shared" si="1055"/>
        <v>859.69999999999982</v>
      </c>
      <c r="AP511" s="1370">
        <f t="shared" si="1055"/>
        <v>3273.20</v>
      </c>
      <c r="AQ511" s="1066">
        <f t="shared" si="1055"/>
        <v>874.40</v>
      </c>
      <c r="AR511" s="1066">
        <f t="shared" si="1055"/>
        <v>928.80</v>
      </c>
      <c r="AS511" s="1066">
        <f t="shared" si="1055"/>
        <v>951.50</v>
      </c>
      <c r="AT511" s="1066">
        <f t="shared" si="1055"/>
        <v>958.10000000000036</v>
      </c>
      <c r="AU511" s="1370">
        <f t="shared" si="1055"/>
        <v>3712.80</v>
      </c>
      <c r="AV511" s="1066">
        <f t="shared" si="1056" ref="AV511:BA511">AV584</f>
        <v>963.40</v>
      </c>
      <c r="AW511" s="1066">
        <f t="shared" si="1056"/>
        <v>933.60</v>
      </c>
      <c r="AX511" s="1066">
        <f t="shared" si="1056"/>
        <v>970.90</v>
      </c>
      <c r="AY511" s="1066">
        <f t="shared" si="1056"/>
        <v>1049.0999999999999</v>
      </c>
      <c r="AZ511" s="1370">
        <f t="shared" si="1056"/>
        <v>3917</v>
      </c>
      <c r="BA511" s="1066">
        <f t="shared" si="1056"/>
        <v>1115.80</v>
      </c>
      <c r="BB511" s="1066">
        <f t="shared" si="1057" ref="BB511:BG511">BB584</f>
        <v>1153.6000000000001</v>
      </c>
      <c r="BC511" s="1066">
        <f t="shared" si="1057"/>
        <v>1173.20</v>
      </c>
      <c r="BD511" s="1066">
        <f t="shared" si="1057"/>
        <v>1222.50</v>
      </c>
      <c r="BE511" s="1370">
        <f t="shared" si="1057"/>
        <v>4665.1000000000004</v>
      </c>
      <c r="BF511" s="1066">
        <f t="shared" si="1057"/>
        <v>1232.20</v>
      </c>
      <c r="BG511" s="1066">
        <f t="shared" si="1057"/>
        <v>1307.6000000000001</v>
      </c>
      <c r="BH511" s="1067">
        <f>BH584</f>
        <v>1390.1999999999996</v>
      </c>
      <c r="BI511" s="1068">
        <f>BI501*BI513</f>
        <v>1343.4270432284175</v>
      </c>
      <c r="BJ511" s="1371">
        <f>SUM(BF511,BG511,BH511,BI511)</f>
        <v>5273.4270432284175</v>
      </c>
      <c r="BK511" s="1068">
        <f>BK501*BK513</f>
        <v>1593.2296473575718</v>
      </c>
      <c r="BL511" s="1068">
        <f>BL501*BL513</f>
        <v>1475.8975723425897</v>
      </c>
      <c r="BM511" s="1068">
        <f>BM501*BM513</f>
        <v>1575.5958656497069</v>
      </c>
      <c r="BN511" s="1068">
        <f>BN501*BN513</f>
        <v>1493.4997500484094</v>
      </c>
      <c r="BO511" s="1371">
        <f>SUM(BK511,BL511,BM511,BN511)</f>
        <v>6138.2228353982782</v>
      </c>
      <c r="BP511" s="1372">
        <f>BP236*BP513</f>
        <v>6486.9242613131491</v>
      </c>
      <c r="BQ511" s="1372">
        <f>BQ236*BQ513</f>
        <v>6657.7082331257961</v>
      </c>
      <c r="BR511" s="1371">
        <f>BR236*BR513</f>
        <v>6831.7038515585582</v>
      </c>
      <c r="BS511" s="648"/>
    </row>
    <row r="512" spans="1:71" s="669" customFormat="1" ht="15">
      <c r="A512" s="541" t="s">
        <v>553</v>
      </c>
      <c r="B512" s="50"/>
      <c r="C512" s="1333"/>
      <c r="D512" s="1429">
        <f>D511/C511-1</f>
        <v>-0.0034442327421954078</v>
      </c>
      <c r="E512" s="1429">
        <f>E511/D511-1</f>
        <v>0.028899183763511971</v>
      </c>
      <c r="F512" s="1429">
        <f>F511/E511-1</f>
        <v>0.026729559748427612</v>
      </c>
      <c r="G512" s="1429">
        <f>G511/F511-1</f>
        <v>0.010580537379924815</v>
      </c>
      <c r="H512" s="201"/>
      <c r="I512" s="201"/>
      <c r="J512" s="201"/>
      <c r="K512" s="201"/>
      <c r="L512" s="1429">
        <f t="shared" si="1058" ref="L512:AT512">L511/G511-1</f>
        <v>0.049731367957018824</v>
      </c>
      <c r="M512" s="507">
        <f t="shared" si="1058"/>
        <v>0.028184281842818404</v>
      </c>
      <c r="N512" s="507">
        <f t="shared" si="1058"/>
        <v>0.11339381003201709</v>
      </c>
      <c r="O512" s="507">
        <f t="shared" si="1058"/>
        <v>0.12793176972281439</v>
      </c>
      <c r="P512" s="507">
        <f t="shared" si="1058"/>
        <v>0.066419753086419453</v>
      </c>
      <c r="Q512" s="1429">
        <f t="shared" si="1058"/>
        <v>0.083858267716535373</v>
      </c>
      <c r="R512" s="507">
        <f t="shared" si="1058"/>
        <v>0.16051660516605182</v>
      </c>
      <c r="S512" s="507">
        <f t="shared" si="1058"/>
        <v>0.099688473520249232</v>
      </c>
      <c r="T512" s="507">
        <f t="shared" si="1058"/>
        <v>0.12334593572778818</v>
      </c>
      <c r="U512" s="507">
        <f t="shared" si="1058"/>
        <v>0.13266959944431633</v>
      </c>
      <c r="V512" s="1429">
        <f t="shared" si="1058"/>
        <v>0.12834483593655399</v>
      </c>
      <c r="W512" s="507">
        <f t="shared" si="1058"/>
        <v>0.14217578923461272</v>
      </c>
      <c r="X512" s="507">
        <f t="shared" si="1058"/>
        <v>0.12050555676618013</v>
      </c>
      <c r="Y512" s="507">
        <f t="shared" si="1058"/>
        <v>0.13609591922591502</v>
      </c>
      <c r="Z512" s="507">
        <f t="shared" si="1058"/>
        <v>0.16046606704824207</v>
      </c>
      <c r="AA512" s="1429">
        <f t="shared" si="1058"/>
        <v>0.14009013842687001</v>
      </c>
      <c r="AB512" s="507">
        <f t="shared" si="1058"/>
        <v>0.18552396102604907</v>
      </c>
      <c r="AC512" s="507">
        <f t="shared" si="1058"/>
        <v>0.2267600155581484</v>
      </c>
      <c r="AD512" s="507">
        <f t="shared" si="1058"/>
        <v>0.22699500092575442</v>
      </c>
      <c r="AE512" s="507">
        <f t="shared" si="1058"/>
        <v>0.20486172274088377</v>
      </c>
      <c r="AF512" s="1429">
        <f t="shared" si="1058"/>
        <v>0.21120993929126053</v>
      </c>
      <c r="AG512" s="507">
        <f t="shared" si="1058"/>
        <v>0.19188191881918804</v>
      </c>
      <c r="AH512" s="507">
        <f t="shared" si="1058"/>
        <v>0.17089410272669636</v>
      </c>
      <c r="AI512" s="507">
        <f t="shared" si="1058"/>
        <v>0.13399728383884102</v>
      </c>
      <c r="AJ512" s="507">
        <f t="shared" si="1058"/>
        <v>0.20248538011695949</v>
      </c>
      <c r="AK512" s="1429">
        <f t="shared" si="1058"/>
        <v>0.17465128025799426</v>
      </c>
      <c r="AL512" s="507">
        <f t="shared" si="1058"/>
        <v>0.10160427807486627</v>
      </c>
      <c r="AM512" s="507">
        <f t="shared" si="1058"/>
        <v>0.077037638776062733</v>
      </c>
      <c r="AN512" s="507">
        <f t="shared" si="1058"/>
        <v>0.11137724550898209</v>
      </c>
      <c r="AO512" s="507">
        <f t="shared" si="1058"/>
        <v>0.04522796352583569</v>
      </c>
      <c r="AP512" s="1429">
        <f t="shared" si="1058"/>
        <v>0.082693834347711048</v>
      </c>
      <c r="AQ512" s="507">
        <f t="shared" si="1058"/>
        <v>0.11701584057230452</v>
      </c>
      <c r="AR512" s="507">
        <f t="shared" si="1058"/>
        <v>0.16756756756756763</v>
      </c>
      <c r="AS512" s="507">
        <f t="shared" si="1058"/>
        <v>0.13924808429118762</v>
      </c>
      <c r="AT512" s="507">
        <f t="shared" si="1058"/>
        <v>0.11445853204606316</v>
      </c>
      <c r="AU512" s="1429">
        <f t="shared" si="1059" ref="AU512:AZ512">AU511/AP511-1</f>
        <v>0.1343028229255776</v>
      </c>
      <c r="AV512" s="507">
        <f t="shared" si="1059"/>
        <v>0.10178408051235133</v>
      </c>
      <c r="AW512" s="507">
        <f t="shared" si="1059"/>
        <v>0.0051679586563306845</v>
      </c>
      <c r="AX512" s="507">
        <f t="shared" si="1059"/>
        <v>0.020388859695217976</v>
      </c>
      <c r="AY512" s="507">
        <f t="shared" si="1059"/>
        <v>0.094979647218452756</v>
      </c>
      <c r="AZ512" s="1429">
        <f t="shared" si="1059"/>
        <v>0.054998922645981496</v>
      </c>
      <c r="BA512" s="507">
        <f t="shared" si="1060" ref="BA512:BO512">BA511/AV511-1</f>
        <v>0.15818974465434921</v>
      </c>
      <c r="BB512" s="507">
        <f t="shared" si="1060"/>
        <v>0.23564695801199664</v>
      </c>
      <c r="BC512" s="507">
        <f t="shared" si="1060"/>
        <v>0.20836337418889705</v>
      </c>
      <c r="BD512" s="507">
        <f t="shared" si="1060"/>
        <v>0.16528452959679729</v>
      </c>
      <c r="BE512" s="1429">
        <f t="shared" si="1060"/>
        <v>0.19098800102118973</v>
      </c>
      <c r="BF512" s="507">
        <f>BF511/BA511-1</f>
        <v>0.10431977056820219</v>
      </c>
      <c r="BG512" s="507">
        <f>BG511/BB511-1</f>
        <v>0.13349514563106801</v>
      </c>
      <c r="BH512" s="830">
        <f>BH511/BC511-1</f>
        <v>0.18496420047732665</v>
      </c>
      <c r="BI512" s="488">
        <f t="shared" si="1060"/>
        <v>0.098917826771711681</v>
      </c>
      <c r="BJ512" s="1332">
        <f t="shared" si="1060"/>
        <v>0.13039957197668151</v>
      </c>
      <c r="BK512" s="488">
        <f t="shared" si="1060"/>
        <v>0.2929959806505209</v>
      </c>
      <c r="BL512" s="488">
        <f t="shared" si="1060"/>
        <v>0.12870722877224661</v>
      </c>
      <c r="BM512" s="488">
        <f t="shared" si="1060"/>
        <v>0.13335913224694806</v>
      </c>
      <c r="BN512" s="488">
        <f t="shared" si="1060"/>
        <v>0.11170886247707879</v>
      </c>
      <c r="BO512" s="1332">
        <f t="shared" si="1060"/>
        <v>0.16399123095489498</v>
      </c>
      <c r="BP512" s="1333">
        <f>BP511/BO511-1</f>
        <v>0.05680820577316914</v>
      </c>
      <c r="BQ512" s="1333">
        <f>BQ511/BP511-1</f>
        <v>0.026327418809430458</v>
      </c>
      <c r="BR512" s="1332">
        <f>BR511/BQ511-1</f>
        <v>0.026134461340170612</v>
      </c>
      <c r="BS512" s="648"/>
    </row>
    <row r="513" spans="1:71" s="676" customFormat="1" ht="15">
      <c r="A513" s="925" t="s">
        <v>22</v>
      </c>
      <c r="B513" s="397"/>
      <c r="C513" s="1386">
        <f t="shared" si="1061" ref="C513:AU513">ROUND(INDEX(MO_UI_PAE,0,COLUMN())/C501,6)</f>
        <v>0.097381999999999996</v>
      </c>
      <c r="D513" s="1339">
        <f t="shared" si="1061"/>
        <v>0.095</v>
      </c>
      <c r="E513" s="1339">
        <f t="shared" si="1061"/>
        <v>0.093887999999999999</v>
      </c>
      <c r="F513" s="1339">
        <f t="shared" si="1061"/>
        <v>0.089687000000000003</v>
      </c>
      <c r="G513" s="1339">
        <f t="shared" si="1061"/>
        <v>0.084884000000000001</v>
      </c>
      <c r="H513" s="381">
        <f t="shared" si="1061"/>
        <v>0.083820000000000006</v>
      </c>
      <c r="I513" s="381">
        <f t="shared" si="1061"/>
        <v>0.083040000000000003</v>
      </c>
      <c r="J513" s="381">
        <f t="shared" si="1061"/>
        <v>0.082641000000000006</v>
      </c>
      <c r="K513" s="381">
        <f t="shared" si="1061"/>
        <v>0.081941</v>
      </c>
      <c r="L513" s="1339">
        <f t="shared" si="1061"/>
        <v>0.082833000000000004</v>
      </c>
      <c r="M513" s="381">
        <f t="shared" si="1061"/>
        <v>0.081306000000000003</v>
      </c>
      <c r="N513" s="381">
        <f t="shared" si="1061"/>
        <v>0.083529999999999993</v>
      </c>
      <c r="O513" s="381">
        <f t="shared" si="1061"/>
        <v>0.083461999999999995</v>
      </c>
      <c r="P513" s="381">
        <f t="shared" si="1061"/>
        <v>0.083598000000000006</v>
      </c>
      <c r="Q513" s="1339">
        <f t="shared" si="1061"/>
        <v>0.083008999999999999</v>
      </c>
      <c r="R513" s="381">
        <f t="shared" si="1061"/>
        <v>0.082804000000000003</v>
      </c>
      <c r="S513" s="381">
        <f t="shared" si="1061"/>
        <v>0.082508999999999999</v>
      </c>
      <c r="T513" s="381">
        <f t="shared" si="1061"/>
        <v>0.083062999999999998</v>
      </c>
      <c r="U513" s="381">
        <f t="shared" si="1061"/>
        <v>0.083319000000000004</v>
      </c>
      <c r="V513" s="1339">
        <f t="shared" si="1061"/>
        <v>0.082931000000000005</v>
      </c>
      <c r="W513" s="381">
        <f t="shared" si="1061"/>
        <v>0.083445000000000005</v>
      </c>
      <c r="X513" s="381">
        <f t="shared" si="1061"/>
        <v>0.081447000000000006</v>
      </c>
      <c r="Y513" s="381">
        <f t="shared" si="1061"/>
        <v>0.082533999999999996</v>
      </c>
      <c r="Z513" s="381">
        <f t="shared" si="1061"/>
        <v>0.082926</v>
      </c>
      <c r="AA513" s="1339">
        <f t="shared" si="1061"/>
        <v>0.082585000000000006</v>
      </c>
      <c r="AB513" s="381">
        <f t="shared" si="1061"/>
        <v>0.083105999999999999</v>
      </c>
      <c r="AC513" s="381">
        <f t="shared" si="1061"/>
        <v>0.082627999999999993</v>
      </c>
      <c r="AD513" s="381">
        <f t="shared" si="1061"/>
        <v>0.083562999999999998</v>
      </c>
      <c r="AE513" s="381">
        <f t="shared" si="1061"/>
        <v>0.083470000000000003</v>
      </c>
      <c r="AF513" s="1339">
        <f t="shared" si="1061"/>
        <v>0.083201999999999998</v>
      </c>
      <c r="AG513" s="381">
        <f t="shared" si="1061"/>
        <v>0.083997000000000002</v>
      </c>
      <c r="AH513" s="381">
        <f t="shared" si="1061"/>
        <v>0.083696999999999994</v>
      </c>
      <c r="AI513" s="381">
        <f t="shared" si="1061"/>
        <v>0.083387000000000003</v>
      </c>
      <c r="AJ513" s="381">
        <f t="shared" si="1061"/>
        <v>0.083116999999999996</v>
      </c>
      <c r="AK513" s="1339">
        <f t="shared" si="1061"/>
        <v>0.083530999999999994</v>
      </c>
      <c r="AL513" s="381">
        <f t="shared" si="1061"/>
        <v>0.083005999999999996</v>
      </c>
      <c r="AM513" s="381">
        <f t="shared" si="1061"/>
        <v>0.082447000000000006</v>
      </c>
      <c r="AN513" s="381">
        <f t="shared" si="1061"/>
        <v>0.083741999999999997</v>
      </c>
      <c r="AO513" s="381">
        <f t="shared" si="1061"/>
        <v>0.084211999999999995</v>
      </c>
      <c r="AP513" s="1339">
        <f t="shared" si="1061"/>
        <v>0.083368999999999999</v>
      </c>
      <c r="AQ513" s="381">
        <f t="shared" si="1061"/>
        <v>0.083914000000000002</v>
      </c>
      <c r="AR513" s="381">
        <f t="shared" si="1061"/>
        <v>0.084571999999999994</v>
      </c>
      <c r="AS513" s="381">
        <f t="shared" si="1061"/>
        <v>0.083723000000000006</v>
      </c>
      <c r="AT513" s="381">
        <f t="shared" si="1061"/>
        <v>0.082585000000000006</v>
      </c>
      <c r="AU513" s="1339">
        <f t="shared" si="1061"/>
        <v>0.083681000000000005</v>
      </c>
      <c r="AV513" s="381">
        <f t="shared" si="1062" ref="AV513:BA513">ROUND(INDEX(MO_UI_PAE,0,COLUMN())/AV501,6)</f>
        <v>0.081624000000000002</v>
      </c>
      <c r="AW513" s="381">
        <f t="shared" si="1062"/>
        <v>0.076853000000000005</v>
      </c>
      <c r="AX513" s="381">
        <f t="shared" si="1062"/>
        <v>0.078305</v>
      </c>
      <c r="AY513" s="381">
        <f t="shared" si="1062"/>
        <v>0.081379000000000007</v>
      </c>
      <c r="AZ513" s="1339">
        <f t="shared" si="1062"/>
        <v>0.079547000000000007</v>
      </c>
      <c r="BA513" s="381">
        <f t="shared" si="1062"/>
        <v>0.082449999999999996</v>
      </c>
      <c r="BB513" s="381">
        <f t="shared" si="1063" ref="BB513:BG513">ROUND(INDEX(MO_UI_PAE,0,COLUMN())/BB501,6)</f>
        <v>0.079754000000000005</v>
      </c>
      <c r="BC513" s="381">
        <f t="shared" si="1063"/>
        <v>0.078768000000000005</v>
      </c>
      <c r="BD513" s="381">
        <f t="shared" si="1063"/>
        <v>0.077507999999999994</v>
      </c>
      <c r="BE513" s="1339">
        <f t="shared" si="1063"/>
        <v>0.079521999999999995</v>
      </c>
      <c r="BF513" s="381">
        <f t="shared" si="1063"/>
        <v>0.076303999999999997</v>
      </c>
      <c r="BG513" s="381">
        <f t="shared" si="1063"/>
        <v>0.075981000000000007</v>
      </c>
      <c r="BH513" s="813">
        <f>ROUND(INDEX(MO_UI_PAE,0,COLUMN())/BH501,6)</f>
        <v>0.075981000000000007</v>
      </c>
      <c r="BI513" s="381">
        <f>BD513-BI514/10000</f>
        <v>0.076507999999999993</v>
      </c>
      <c r="BJ513" s="1339">
        <f>ROUND(INDEX(MO_UI_PAE,0,COLUMN())/BJ501,6)</f>
        <v>0.076189999999999994</v>
      </c>
      <c r="BK513" s="381">
        <f>BF513-BK514/10000</f>
        <v>0.074303999999999995</v>
      </c>
      <c r="BL513" s="381">
        <f>BG513-BL514/10000</f>
        <v>0.074981000000000006</v>
      </c>
      <c r="BM513" s="381">
        <f>BH513-BM514/10000</f>
        <v>0.074981000000000006</v>
      </c>
      <c r="BN513" s="381">
        <f>BI513-BN514/10000</f>
        <v>0.075507999999999992</v>
      </c>
      <c r="BO513" s="1339">
        <f>ROUND(INDEX(MO_UI_PAE,0,COLUMN())/BO501,6)</f>
        <v>0.074930999999999998</v>
      </c>
      <c r="BP513" s="1339">
        <f>BO513-BP514/10000</f>
        <v>0.073930999999999997</v>
      </c>
      <c r="BQ513" s="1339">
        <f>BP513-BQ514/10000</f>
        <v>0.072930999999999996</v>
      </c>
      <c r="BR513" s="1339">
        <f>BQ513-BR514/10000</f>
        <v>0.071930999999999995</v>
      </c>
      <c r="BS513" s="648"/>
    </row>
    <row r="514" spans="1:71" s="673" customFormat="1" ht="15">
      <c r="A514" s="577" t="s">
        <v>552</v>
      </c>
      <c r="B514" s="508"/>
      <c r="C514" s="1334"/>
      <c r="D514" s="1430">
        <f>(C513-D513)*10000</f>
        <v>23.819999999999951</v>
      </c>
      <c r="E514" s="1430">
        <f>(D513-E513)*10000</f>
        <v>11.120000000000019</v>
      </c>
      <c r="F514" s="1430">
        <f>(E513-F513)*10000</f>
        <v>42.009999999999962</v>
      </c>
      <c r="G514" s="1430">
        <f>(F513-G513)*10000</f>
        <v>48.030000000000015</v>
      </c>
      <c r="H514" s="945"/>
      <c r="I514" s="945"/>
      <c r="J514" s="945"/>
      <c r="K514" s="945"/>
      <c r="L514" s="1430">
        <f t="shared" si="1064" ref="L514:AU514">(G513-L513)*10000</f>
        <v>20.509999999999973</v>
      </c>
      <c r="M514" s="219">
        <f t="shared" si="1064"/>
        <v>25.140000000000022</v>
      </c>
      <c r="N514" s="219">
        <f t="shared" si="1064"/>
        <v>-4.8999999999999044</v>
      </c>
      <c r="O514" s="219">
        <f t="shared" si="1064"/>
        <v>-8.2099999999998836</v>
      </c>
      <c r="P514" s="219">
        <f t="shared" si="1064"/>
        <v>-16.570000000000057</v>
      </c>
      <c r="Q514" s="1430">
        <f t="shared" si="1064"/>
        <v>-1.759999999999956</v>
      </c>
      <c r="R514" s="219">
        <f t="shared" si="1064"/>
        <v>-14.979999999999993</v>
      </c>
      <c r="S514" s="219">
        <f t="shared" si="1064"/>
        <v>10.20999999999994</v>
      </c>
      <c r="T514" s="219">
        <f t="shared" si="1064"/>
        <v>3.9899999999999656</v>
      </c>
      <c r="U514" s="219">
        <f t="shared" si="1064"/>
        <v>2.7900000000000147</v>
      </c>
      <c r="V514" s="1430">
        <f t="shared" si="1064"/>
        <v>0.7799999999999474</v>
      </c>
      <c r="W514" s="219">
        <f t="shared" si="1064"/>
        <v>-6.4100000000000268</v>
      </c>
      <c r="X514" s="219">
        <f t="shared" si="1064"/>
        <v>10.619999999999935</v>
      </c>
      <c r="Y514" s="219">
        <f t="shared" si="1064"/>
        <v>5.2900000000000169</v>
      </c>
      <c r="Z514" s="219">
        <f t="shared" si="1064"/>
        <v>3.9300000000000446</v>
      </c>
      <c r="AA514" s="1430">
        <f t="shared" si="1064"/>
        <v>3.4599999999999911</v>
      </c>
      <c r="AB514" s="219">
        <f t="shared" si="1064"/>
        <v>3.3900000000000596</v>
      </c>
      <c r="AC514" s="219">
        <f t="shared" si="1064"/>
        <v>-11.809999999999876</v>
      </c>
      <c r="AD514" s="219">
        <f t="shared" si="1064"/>
        <v>-10.29000000000002</v>
      </c>
      <c r="AE514" s="219">
        <f t="shared" si="1064"/>
        <v>-5.4400000000000279</v>
      </c>
      <c r="AF514" s="1430">
        <f t="shared" si="1064"/>
        <v>-6.1699999999999253</v>
      </c>
      <c r="AG514" s="219">
        <f t="shared" si="1064"/>
        <v>-8.9100000000000286</v>
      </c>
      <c r="AH514" s="219">
        <f t="shared" si="1064"/>
        <v>-10.690000000000005</v>
      </c>
      <c r="AI514" s="219">
        <f t="shared" si="1064"/>
        <v>1.759999999999956</v>
      </c>
      <c r="AJ514" s="219">
        <f t="shared" si="1064"/>
        <v>3.5300000000000606</v>
      </c>
      <c r="AK514" s="1430">
        <f t="shared" si="1064"/>
        <v>-3.2899999999999596</v>
      </c>
      <c r="AL514" s="219">
        <f t="shared" si="1064"/>
        <v>9.910000000000057</v>
      </c>
      <c r="AM514" s="219">
        <f t="shared" si="1064"/>
        <v>12.499999999999872</v>
      </c>
      <c r="AN514" s="219">
        <f t="shared" si="1064"/>
        <v>-3.5499999999999421</v>
      </c>
      <c r="AO514" s="219">
        <f t="shared" si="1064"/>
        <v>-10.949999999999987</v>
      </c>
      <c r="AP514" s="1430">
        <f t="shared" si="1064"/>
        <v>1.6199999999999548</v>
      </c>
      <c r="AQ514" s="219">
        <f t="shared" si="1064"/>
        <v>-9.0800000000000605</v>
      </c>
      <c r="AR514" s="219">
        <f t="shared" si="1064"/>
        <v>-21.249999999999879</v>
      </c>
      <c r="AS514" s="219">
        <f t="shared" si="1064"/>
        <v>0.18999999999991246</v>
      </c>
      <c r="AT514" s="219">
        <f t="shared" si="1064"/>
        <v>16.269999999999897</v>
      </c>
      <c r="AU514" s="1430">
        <f t="shared" si="1064"/>
        <v>-3.1200000000000672</v>
      </c>
      <c r="AV514" s="219">
        <f t="shared" si="1065" ref="AV514:BA514">(AQ513-AV513)*10000</f>
        <v>22.90</v>
      </c>
      <c r="AW514" s="219">
        <f t="shared" si="1065"/>
        <v>77.189999999999898</v>
      </c>
      <c r="AX514" s="219">
        <f t="shared" si="1065"/>
        <v>54.180000000000064</v>
      </c>
      <c r="AY514" s="219">
        <f t="shared" si="1065"/>
        <v>12.059999999999988</v>
      </c>
      <c r="AZ514" s="1430">
        <f t="shared" si="1065"/>
        <v>41.339999999999989</v>
      </c>
      <c r="BA514" s="219">
        <f t="shared" si="1065"/>
        <v>-8.2599999999999341</v>
      </c>
      <c r="BB514" s="219">
        <f t="shared" si="1066" ref="BB514:BG514">(AW513-BB513)*10000</f>
        <v>-29.010000000000009</v>
      </c>
      <c r="BC514" s="219">
        <f t="shared" si="1066"/>
        <v>-4.6300000000000505</v>
      </c>
      <c r="BD514" s="219">
        <f t="shared" si="1066"/>
        <v>38.710000000000136</v>
      </c>
      <c r="BE514" s="1430">
        <f t="shared" si="1066"/>
        <v>0.25000000000011124</v>
      </c>
      <c r="BF514" s="219">
        <f t="shared" si="1066"/>
        <v>61.459999999999987</v>
      </c>
      <c r="BG514" s="219">
        <f t="shared" si="1066"/>
        <v>37.729999999999983</v>
      </c>
      <c r="BH514" s="831">
        <f>(BC513-BH513)*10000</f>
        <v>27.86999999999998</v>
      </c>
      <c r="BI514" s="1264">
        <v>10</v>
      </c>
      <c r="BJ514" s="1335">
        <f>(BE513-BJ513)*10000</f>
        <v>33.320000000000014</v>
      </c>
      <c r="BK514" s="1264">
        <v>20</v>
      </c>
      <c r="BL514" s="1264">
        <v>10</v>
      </c>
      <c r="BM514" s="1264">
        <v>10</v>
      </c>
      <c r="BN514" s="1264">
        <v>10</v>
      </c>
      <c r="BO514" s="1335">
        <f>(BJ513-BO513)*10000</f>
        <v>12.589999999999963</v>
      </c>
      <c r="BP514" s="1431">
        <v>10.000000000000009</v>
      </c>
      <c r="BQ514" s="1431">
        <v>10.000000000000009</v>
      </c>
      <c r="BR514" s="1431">
        <v>10.000000000000009</v>
      </c>
      <c r="BS514" s="648"/>
    </row>
    <row r="515" spans="1:71" s="669" customFormat="1" ht="7.5" customHeight="1">
      <c r="A515" s="487"/>
      <c r="B515" s="108"/>
      <c r="C515" s="1325"/>
      <c r="D515" s="1325"/>
      <c r="E515" s="1325"/>
      <c r="F515" s="1325"/>
      <c r="G515" s="1325"/>
      <c r="H515" s="726"/>
      <c r="I515" s="726"/>
      <c r="J515" s="726"/>
      <c r="K515" s="726"/>
      <c r="L515" s="1325"/>
      <c r="M515" s="726"/>
      <c r="N515" s="726"/>
      <c r="O515" s="726"/>
      <c r="P515" s="726"/>
      <c r="Q515" s="1325"/>
      <c r="R515" s="726"/>
      <c r="S515" s="726"/>
      <c r="T515" s="726"/>
      <c r="U515" s="726"/>
      <c r="V515" s="1325"/>
      <c r="W515" s="726"/>
      <c r="X515" s="726"/>
      <c r="Y515" s="726"/>
      <c r="Z515" s="726"/>
      <c r="AA515" s="1325"/>
      <c r="AB515" s="726"/>
      <c r="AC515" s="726"/>
      <c r="AD515" s="726"/>
      <c r="AE515" s="726"/>
      <c r="AF515" s="1325"/>
      <c r="AG515" s="726"/>
      <c r="AH515" s="726"/>
      <c r="AI515" s="726"/>
      <c r="AJ515" s="726"/>
      <c r="AK515" s="1325"/>
      <c r="AL515" s="726"/>
      <c r="AM515" s="726"/>
      <c r="AN515" s="726"/>
      <c r="AO515" s="726"/>
      <c r="AP515" s="1325"/>
      <c r="AQ515" s="726"/>
      <c r="AR515" s="726"/>
      <c r="AS515" s="726"/>
      <c r="AT515" s="726"/>
      <c r="AU515" s="1325"/>
      <c r="AV515" s="726"/>
      <c r="AW515" s="726"/>
      <c r="AX515" s="726"/>
      <c r="AY515" s="726"/>
      <c r="AZ515" s="1325"/>
      <c r="BA515" s="726"/>
      <c r="BB515" s="726"/>
      <c r="BC515" s="726"/>
      <c r="BD515" s="726"/>
      <c r="BE515" s="1325"/>
      <c r="BF515" s="726"/>
      <c r="BG515" s="726"/>
      <c r="BH515" s="808"/>
      <c r="BI515" s="98"/>
      <c r="BJ515" s="1326"/>
      <c r="BK515" s="98"/>
      <c r="BL515" s="98"/>
      <c r="BM515" s="98"/>
      <c r="BN515" s="98"/>
      <c r="BO515" s="1326"/>
      <c r="BP515" s="1325"/>
      <c r="BQ515" s="1325"/>
      <c r="BR515" s="1326"/>
      <c r="BS515" s="648"/>
    </row>
    <row r="516" spans="1:71" s="665" customFormat="1" ht="15">
      <c r="A516" s="997" t="s">
        <v>17</v>
      </c>
      <c r="B516" s="392"/>
      <c r="C516" s="1370">
        <f t="shared" si="1067" ref="C516:AT516">C585</f>
        <v>1567.70</v>
      </c>
      <c r="D516" s="1370">
        <f t="shared" si="1067"/>
        <v>1992.30</v>
      </c>
      <c r="E516" s="1370">
        <f t="shared" si="1067"/>
        <v>2088</v>
      </c>
      <c r="F516" s="1370">
        <f t="shared" si="1067"/>
        <v>2206.3000000000002</v>
      </c>
      <c r="G516" s="1370">
        <f t="shared" si="1067"/>
        <v>2350.90</v>
      </c>
      <c r="H516" s="1066">
        <f t="shared" si="1067"/>
        <v>610.40</v>
      </c>
      <c r="I516" s="1066">
        <f t="shared" si="1067"/>
        <v>611.70000000000005</v>
      </c>
      <c r="J516" s="1066">
        <f t="shared" si="1067"/>
        <v>609.20000000000005</v>
      </c>
      <c r="K516" s="1066">
        <f t="shared" si="1067"/>
        <v>635.79999999999995</v>
      </c>
      <c r="L516" s="1370">
        <f t="shared" si="1067"/>
        <v>2467.10</v>
      </c>
      <c r="M516" s="1066">
        <f t="shared" si="1067"/>
        <v>650.40</v>
      </c>
      <c r="N516" s="1066">
        <f t="shared" si="1067"/>
        <v>662.40</v>
      </c>
      <c r="O516" s="1066">
        <f t="shared" si="1067"/>
        <v>707.50</v>
      </c>
      <c r="P516" s="1066">
        <f t="shared" si="1067"/>
        <v>691.80</v>
      </c>
      <c r="Q516" s="1370">
        <f t="shared" si="1067"/>
        <v>2712.10</v>
      </c>
      <c r="R516" s="1066">
        <f t="shared" si="1067"/>
        <v>755.80</v>
      </c>
      <c r="S516" s="1066">
        <f t="shared" si="1067"/>
        <v>766.80</v>
      </c>
      <c r="T516" s="1066">
        <f t="shared" si="1067"/>
        <v>739.60</v>
      </c>
      <c r="U516" s="1066">
        <f t="shared" si="1067"/>
        <v>709.80000000000018</v>
      </c>
      <c r="V516" s="1370">
        <f t="shared" si="1067"/>
        <v>2972</v>
      </c>
      <c r="W516" s="1066">
        <f t="shared" si="1067"/>
        <v>845.60</v>
      </c>
      <c r="X516" s="1066">
        <f t="shared" si="1067"/>
        <v>845</v>
      </c>
      <c r="Y516" s="1066">
        <f t="shared" si="1067"/>
        <v>877.70</v>
      </c>
      <c r="Z516" s="1066">
        <f t="shared" si="1067"/>
        <v>912.39999999999964</v>
      </c>
      <c r="AA516" s="1370">
        <f t="shared" si="1067"/>
        <v>3480.70</v>
      </c>
      <c r="AB516" s="1066">
        <f t="shared" si="1067"/>
        <v>980.20</v>
      </c>
      <c r="AC516" s="1066">
        <f t="shared" si="1067"/>
        <v>1046.9000000000001</v>
      </c>
      <c r="AD516" s="1066">
        <f t="shared" si="1067"/>
        <v>1095.9000000000001</v>
      </c>
      <c r="AE516" s="1066">
        <f t="shared" si="1067"/>
        <v>1072.8000000000002</v>
      </c>
      <c r="AF516" s="1370">
        <f t="shared" si="1067"/>
        <v>4195.80</v>
      </c>
      <c r="AG516" s="1066">
        <f t="shared" si="1067"/>
        <v>1171.20</v>
      </c>
      <c r="AH516" s="1066">
        <f t="shared" si="1067"/>
        <v>1231.50</v>
      </c>
      <c r="AI516" s="1066">
        <f t="shared" si="1067"/>
        <v>1240.30</v>
      </c>
      <c r="AJ516" s="1066">
        <f t="shared" si="1067"/>
        <v>1332.1000000000004</v>
      </c>
      <c r="AK516" s="1370">
        <f t="shared" si="1067"/>
        <v>4975.1000000000004</v>
      </c>
      <c r="AL516" s="1066">
        <f t="shared" si="1067"/>
        <v>1409.90</v>
      </c>
      <c r="AM516" s="1066">
        <f t="shared" si="1067"/>
        <v>1438.90</v>
      </c>
      <c r="AN516" s="1066">
        <f t="shared" si="1067"/>
        <v>1330.90</v>
      </c>
      <c r="AO516" s="1066">
        <f t="shared" si="1067"/>
        <v>1390.2999999999993</v>
      </c>
      <c r="AP516" s="1370">
        <f t="shared" si="1067"/>
        <v>5570</v>
      </c>
      <c r="AQ516" s="1066">
        <f t="shared" si="1067"/>
        <v>1481.10</v>
      </c>
      <c r="AR516" s="1066">
        <f t="shared" si="1067"/>
        <v>1440.50</v>
      </c>
      <c r="AS516" s="1066">
        <f t="shared" si="1067"/>
        <v>1384.40</v>
      </c>
      <c r="AT516" s="1066">
        <f t="shared" si="1067"/>
        <v>1348.6999999999998</v>
      </c>
      <c r="AU516" s="1370">
        <f t="shared" si="1068" ref="AU516:AZ516">AU585</f>
        <v>5654.70</v>
      </c>
      <c r="AV516" s="1066">
        <f t="shared" si="1068"/>
        <v>1506.30</v>
      </c>
      <c r="AW516" s="1066">
        <f t="shared" si="1068"/>
        <v>1431.20</v>
      </c>
      <c r="AX516" s="1066">
        <f t="shared" si="1068"/>
        <v>1496.40</v>
      </c>
      <c r="AY516" s="1066">
        <f t="shared" si="1068"/>
        <v>1425.7000000000007</v>
      </c>
      <c r="AZ516" s="1370">
        <f t="shared" si="1068"/>
        <v>5859.60</v>
      </c>
      <c r="BA516" s="1066">
        <f t="shared" si="1069" ref="BA516:BF516">BA585</f>
        <v>1857.90</v>
      </c>
      <c r="BB516" s="1066">
        <f t="shared" si="1069"/>
        <v>1431.6999999999998</v>
      </c>
      <c r="BC516" s="1066">
        <f t="shared" si="1069"/>
        <v>1420.70</v>
      </c>
      <c r="BD516" s="1066">
        <f t="shared" si="1069"/>
        <v>1531.1999999999998</v>
      </c>
      <c r="BE516" s="1370">
        <f t="shared" si="1069"/>
        <v>6241.50</v>
      </c>
      <c r="BF516" s="1066">
        <f t="shared" si="1069"/>
        <v>1931.40</v>
      </c>
      <c r="BG516" s="1066">
        <f>BG585</f>
        <v>2179.7999999999997</v>
      </c>
      <c r="BH516" s="1067">
        <f>BH585</f>
        <v>2669.900000000001</v>
      </c>
      <c r="BI516" s="1088">
        <f>BI501*BI518</f>
        <v>1634.4197885672231</v>
      </c>
      <c r="BJ516" s="1372">
        <f>SUM(BF516,BG516,BH516,BI516)</f>
        <v>8415.5197885672242</v>
      </c>
      <c r="BK516" s="1088">
        <f>BK501*BK518</f>
        <v>2457.3011418829733</v>
      </c>
      <c r="BL516" s="1088">
        <f>BL501*BL518</f>
        <v>2453.8192216820826</v>
      </c>
      <c r="BM516" s="1088">
        <f>BM501*BM518</f>
        <v>3045.2848593868689</v>
      </c>
      <c r="BN516" s="1088">
        <f>BN501*BN518</f>
        <v>1761.9451943411602</v>
      </c>
      <c r="BO516" s="1372">
        <f>SUM(BK516,BL516,BM516,BN516)</f>
        <v>9718.3504172930861</v>
      </c>
      <c r="BP516" s="1372">
        <f>BP501*BP518</f>
        <v>10409.385234081583</v>
      </c>
      <c r="BQ516" s="1372">
        <f>BQ501*BQ518</f>
        <v>10829.92439753848</v>
      </c>
      <c r="BR516" s="1372">
        <f>BR501*BR518</f>
        <v>11267.453343199033</v>
      </c>
      <c r="BS516" s="648"/>
    </row>
    <row r="517" spans="1:71" s="669" customFormat="1" ht="15">
      <c r="A517" s="541" t="s">
        <v>554</v>
      </c>
      <c r="B517" s="50"/>
      <c r="C517" s="1333"/>
      <c r="D517" s="1429">
        <f>D516/C516-1</f>
        <v>0.27084263570836242</v>
      </c>
      <c r="E517" s="1429">
        <f>E516/D516-1</f>
        <v>0.048034934497816595</v>
      </c>
      <c r="F517" s="1429">
        <f>F516/E516-1</f>
        <v>0.056657088122605392</v>
      </c>
      <c r="G517" s="1429">
        <f>G516/F516-1</f>
        <v>0.065539591170738376</v>
      </c>
      <c r="H517" s="201"/>
      <c r="I517" s="201"/>
      <c r="J517" s="201"/>
      <c r="K517" s="201"/>
      <c r="L517" s="1429">
        <f t="shared" si="1070" ref="L517:AU517">L516/G516-1</f>
        <v>0.049427878684758841</v>
      </c>
      <c r="M517" s="507">
        <f t="shared" si="1070"/>
        <v>0.065530799475753687</v>
      </c>
      <c r="N517" s="507">
        <f t="shared" si="1070"/>
        <v>0.082883766552231286</v>
      </c>
      <c r="O517" s="507">
        <f t="shared" si="1070"/>
        <v>0.16135915955351265</v>
      </c>
      <c r="P517" s="507">
        <f t="shared" si="1070"/>
        <v>0.088078011953444557</v>
      </c>
      <c r="Q517" s="1429">
        <f t="shared" si="1070"/>
        <v>0.099306878521340902</v>
      </c>
      <c r="R517" s="507">
        <f t="shared" si="1070"/>
        <v>0.16205412054120538</v>
      </c>
      <c r="S517" s="507">
        <f t="shared" si="1070"/>
        <v>0.15760869565217384</v>
      </c>
      <c r="T517" s="507">
        <f t="shared" si="1070"/>
        <v>0.045371024734982335</v>
      </c>
      <c r="U517" s="507">
        <f t="shared" si="1070"/>
        <v>0.026019080659150484</v>
      </c>
      <c r="V517" s="1429">
        <f t="shared" si="1070"/>
        <v>0.095829799786143699</v>
      </c>
      <c r="W517" s="507">
        <f t="shared" si="1070"/>
        <v>0.11881450119079129</v>
      </c>
      <c r="X517" s="507">
        <f t="shared" si="1070"/>
        <v>0.10198226395409504</v>
      </c>
      <c r="Y517" s="507">
        <f t="shared" si="1070"/>
        <v>0.18672255273120619</v>
      </c>
      <c r="Z517" s="507">
        <f t="shared" si="1070"/>
        <v>0.28543251620174614</v>
      </c>
      <c r="AA517" s="1429">
        <f t="shared" si="1070"/>
        <v>0.17116419919246284</v>
      </c>
      <c r="AB517" s="507">
        <f t="shared" si="1070"/>
        <v>0.15917691579943227</v>
      </c>
      <c r="AC517" s="507">
        <f t="shared" si="1070"/>
        <v>0.23893491124260358</v>
      </c>
      <c r="AD517" s="507">
        <f t="shared" si="1070"/>
        <v>0.24860430671072131</v>
      </c>
      <c r="AE517" s="507">
        <f t="shared" si="1070"/>
        <v>0.17580008768084232</v>
      </c>
      <c r="AF517" s="1429">
        <f t="shared" si="1070"/>
        <v>0.20544718016490937</v>
      </c>
      <c r="AG517" s="507">
        <f t="shared" si="1070"/>
        <v>0.19485819220567224</v>
      </c>
      <c r="AH517" s="507">
        <f t="shared" si="1070"/>
        <v>0.1763301174897316</v>
      </c>
      <c r="AI517" s="507">
        <f t="shared" si="1070"/>
        <v>0.13176384706633804</v>
      </c>
      <c r="AJ517" s="507">
        <f t="shared" si="1070"/>
        <v>0.24170395227442221</v>
      </c>
      <c r="AK517" s="1429">
        <f t="shared" si="1070"/>
        <v>0.18573335240001909</v>
      </c>
      <c r="AL517" s="507">
        <f t="shared" si="1070"/>
        <v>0.20380806010928976</v>
      </c>
      <c r="AM517" s="507">
        <f t="shared" si="1070"/>
        <v>0.16841250507511174</v>
      </c>
      <c r="AN517" s="507">
        <f t="shared" si="1070"/>
        <v>0.073046843505603531</v>
      </c>
      <c r="AO517" s="507">
        <f t="shared" si="1070"/>
        <v>0.043690413632609282</v>
      </c>
      <c r="AP517" s="1429">
        <f t="shared" si="1070"/>
        <v>0.11957548591988099</v>
      </c>
      <c r="AQ517" s="507">
        <f t="shared" si="1070"/>
        <v>0.050500035463507897</v>
      </c>
      <c r="AR517" s="507">
        <f t="shared" si="1070"/>
        <v>0.001111960525401301</v>
      </c>
      <c r="AS517" s="507">
        <f t="shared" si="1070"/>
        <v>0.040198362010669397</v>
      </c>
      <c r="AT517" s="507">
        <f t="shared" si="1070"/>
        <v>-0.029921599654750386</v>
      </c>
      <c r="AU517" s="1429">
        <f t="shared" si="1070"/>
        <v>0.015206463195691189</v>
      </c>
      <c r="AV517" s="507">
        <f t="shared" si="1071" ref="AV517:AZ517">AV516/AQ516-1</f>
        <v>0.01701438120315979</v>
      </c>
      <c r="AW517" s="507">
        <f t="shared" si="1071"/>
        <v>-0.0064560916348489483</v>
      </c>
      <c r="AX517" s="507">
        <f t="shared" si="1071"/>
        <v>0.080901473562554171</v>
      </c>
      <c r="AY517" s="507">
        <f t="shared" si="1071"/>
        <v>0.057092014532513558</v>
      </c>
      <c r="AZ517" s="1429">
        <f t="shared" si="1071"/>
        <v>0.036235344050082441</v>
      </c>
      <c r="BA517" s="507">
        <f t="shared" si="1072" ref="BA517:BO517">BA516/AV516-1</f>
        <v>0.23341963752240602</v>
      </c>
      <c r="BB517" s="507">
        <f t="shared" si="1072"/>
        <v>0.00034935718278350514</v>
      </c>
      <c r="BC517" s="507">
        <f t="shared" si="1072"/>
        <v>-0.050588078053996233</v>
      </c>
      <c r="BD517" s="507">
        <f t="shared" si="1072"/>
        <v>0.073998737462298569</v>
      </c>
      <c r="BE517" s="1429">
        <f t="shared" si="1072"/>
        <v>0.065175097276264582</v>
      </c>
      <c r="BF517" s="507">
        <f>BF516/BA516-1</f>
        <v>0.039560794445341552</v>
      </c>
      <c r="BG517" s="507">
        <f>BG516/BB516-1</f>
        <v>0.52252566878536011</v>
      </c>
      <c r="BH517" s="830">
        <f>BH516/BC516-1</f>
        <v>0.8792848595762659</v>
      </c>
      <c r="BI517" s="488">
        <f t="shared" si="1072"/>
        <v>0.067411042690192824</v>
      </c>
      <c r="BJ517" s="1332">
        <f t="shared" si="1072"/>
        <v>0.34831687712364401</v>
      </c>
      <c r="BK517" s="488">
        <f t="shared" si="1072"/>
        <v>0.27229012213056492</v>
      </c>
      <c r="BL517" s="488">
        <f t="shared" si="1072"/>
        <v>0.12570842356275014</v>
      </c>
      <c r="BM517" s="488">
        <f t="shared" si="1072"/>
        <v>0.14059884616909546</v>
      </c>
      <c r="BN517" s="488">
        <f t="shared" si="1072"/>
        <v>0.078024878715968971</v>
      </c>
      <c r="BO517" s="1332">
        <f t="shared" si="1072"/>
        <v>0.15481285309266379</v>
      </c>
      <c r="BP517" s="1333">
        <f>BP516/BO516-1</f>
        <v>0.071106184395126393</v>
      </c>
      <c r="BQ517" s="1333">
        <f>BQ516/BP516-1</f>
        <v>0.040399999999999991</v>
      </c>
      <c r="BR517" s="1332">
        <f>BR516/BQ516-1</f>
        <v>0.040399999999999991</v>
      </c>
      <c r="BS517" s="648"/>
    </row>
    <row r="518" spans="1:71" s="676" customFormat="1" ht="15">
      <c r="A518" s="291" t="s">
        <v>23</v>
      </c>
      <c r="B518" s="400"/>
      <c r="C518" s="1397">
        <f t="shared" si="1073" ref="C518:AU518">ROUND(INDEX(MO_UI_OOE,0,COLUMN())/C501,6)</f>
        <v>0.111876</v>
      </c>
      <c r="D518" s="1352">
        <f t="shared" si="1073"/>
        <v>0.139178</v>
      </c>
      <c r="E518" s="1352">
        <f t="shared" si="1073"/>
        <v>0.14010800000000001</v>
      </c>
      <c r="F518" s="1352">
        <f t="shared" si="1073"/>
        <v>0.137739</v>
      </c>
      <c r="G518" s="1352">
        <f t="shared" si="1073"/>
        <v>0.13745199999999999</v>
      </c>
      <c r="H518" s="197">
        <f t="shared" si="1073"/>
        <v>0.138655</v>
      </c>
      <c r="I518" s="197">
        <f t="shared" si="1073"/>
        <v>0.13552700000000001</v>
      </c>
      <c r="J518" s="197">
        <f t="shared" si="1073"/>
        <v>0.134182</v>
      </c>
      <c r="K518" s="197">
        <f t="shared" si="1073"/>
        <v>0.128637</v>
      </c>
      <c r="L518" s="1352">
        <f t="shared" si="1073"/>
        <v>0.13409199999999999</v>
      </c>
      <c r="M518" s="197">
        <f t="shared" si="1073"/>
        <v>0.13938200000000001</v>
      </c>
      <c r="N518" s="197">
        <f t="shared" si="1073"/>
        <v>0.13259099999999999</v>
      </c>
      <c r="O518" s="197">
        <f t="shared" si="1073"/>
        <v>0.13952999999999999</v>
      </c>
      <c r="P518" s="197">
        <f t="shared" si="1073"/>
        <v>0.133904</v>
      </c>
      <c r="Q518" s="1352">
        <f t="shared" si="1073"/>
        <v>0.136293</v>
      </c>
      <c r="R518" s="197">
        <f t="shared" si="1073"/>
        <v>0.14213700000000001</v>
      </c>
      <c r="S518" s="197">
        <f t="shared" si="1073"/>
        <v>0.13786899999999999</v>
      </c>
      <c r="T518" s="197">
        <f t="shared" si="1073"/>
        <v>0.12922400000000001</v>
      </c>
      <c r="U518" s="197">
        <f t="shared" si="1073"/>
        <v>0.120891</v>
      </c>
      <c r="V518" s="1352">
        <f t="shared" si="1073"/>
        <v>0.132242</v>
      </c>
      <c r="W518" s="197">
        <f t="shared" si="1073"/>
        <v>0.14030899999999999</v>
      </c>
      <c r="X518" s="197">
        <f t="shared" si="1073"/>
        <v>0.13384399999999999</v>
      </c>
      <c r="Y518" s="197">
        <f t="shared" si="1073"/>
        <v>0.13412299999999999</v>
      </c>
      <c r="Z518" s="197">
        <f t="shared" si="1073"/>
        <v>0.13327700000000001</v>
      </c>
      <c r="AA518" s="1352">
        <f t="shared" si="1073"/>
        <v>0.13527800000000001</v>
      </c>
      <c r="AB518" s="197">
        <f t="shared" si="1073"/>
        <v>0.136632</v>
      </c>
      <c r="AC518" s="197">
        <f t="shared" si="1073"/>
        <v>0.137133</v>
      </c>
      <c r="AD518" s="197">
        <f t="shared" si="1073"/>
        <v>0.13818800000000001</v>
      </c>
      <c r="AE518" s="197">
        <f t="shared" si="1073"/>
        <v>0.130915</v>
      </c>
      <c r="AF518" s="1352">
        <f t="shared" si="1073"/>
        <v>0.13564000000000001</v>
      </c>
      <c r="AG518" s="197">
        <f t="shared" si="1073"/>
        <v>0.13844300000000001</v>
      </c>
      <c r="AH518" s="197">
        <f t="shared" si="1073"/>
        <v>0.13955100000000001</v>
      </c>
      <c r="AI518" s="197">
        <f t="shared" si="1073"/>
        <v>0.137625</v>
      </c>
      <c r="AJ518" s="197">
        <f t="shared" si="1073"/>
        <v>0.13461400000000001</v>
      </c>
      <c r="AK518" s="1352">
        <f t="shared" si="1073"/>
        <v>0.137463</v>
      </c>
      <c r="AL518" s="197">
        <f t="shared" si="1073"/>
        <v>0.149501</v>
      </c>
      <c r="AM518" s="197">
        <f t="shared" si="1073"/>
        <v>0.14913000000000001</v>
      </c>
      <c r="AN518" s="197">
        <f t="shared" si="1073"/>
        <v>0.13344400000000001</v>
      </c>
      <c r="AO518" s="197">
        <f t="shared" si="1073"/>
        <v>0.136186</v>
      </c>
      <c r="AP518" s="1352">
        <f t="shared" si="1073"/>
        <v>0.141869</v>
      </c>
      <c r="AQ518" s="197">
        <f t="shared" si="1073"/>
        <v>0.14213700000000001</v>
      </c>
      <c r="AR518" s="197">
        <f t="shared" si="1073"/>
        <v>0.131166</v>
      </c>
      <c r="AS518" s="197">
        <f t="shared" si="1073"/>
        <v>0.12181500000000001</v>
      </c>
      <c r="AT518" s="197">
        <f t="shared" si="1073"/>
        <v>0.116253</v>
      </c>
      <c r="AU518" s="1352">
        <f t="shared" si="1073"/>
        <v>0.12744800000000001</v>
      </c>
      <c r="AV518" s="197">
        <f t="shared" si="1074" ref="AV518:BA518">ROUND(INDEX(MO_UI_OOE,0,COLUMN())/AV501,6)</f>
        <v>0.12762100000000001</v>
      </c>
      <c r="AW518" s="197">
        <f t="shared" si="1074"/>
        <v>0.117815</v>
      </c>
      <c r="AX518" s="197">
        <f t="shared" si="1074"/>
        <v>0.120688</v>
      </c>
      <c r="AY518" s="197">
        <f t="shared" si="1074"/>
        <v>0.110592</v>
      </c>
      <c r="AZ518" s="1352">
        <f t="shared" si="1074"/>
        <v>0.11899800000000001</v>
      </c>
      <c r="BA518" s="197">
        <f t="shared" si="1074"/>
        <v>0.13728599999999999</v>
      </c>
      <c r="BB518" s="197">
        <f t="shared" si="1075" ref="BB518:BG518">ROUND(INDEX(MO_UI_OOE,0,COLUMN())/BB501,6)</f>
        <v>0.098981</v>
      </c>
      <c r="BC518" s="197">
        <f t="shared" si="1075"/>
        <v>0.095384999999999998</v>
      </c>
      <c r="BD518" s="197">
        <f t="shared" si="1075"/>
        <v>0.09708</v>
      </c>
      <c r="BE518" s="1352">
        <f t="shared" si="1075"/>
        <v>0.106393</v>
      </c>
      <c r="BF518" s="197">
        <f t="shared" si="1075"/>
        <v>0.119602</v>
      </c>
      <c r="BG518" s="197">
        <f t="shared" si="1075"/>
        <v>0.126663</v>
      </c>
      <c r="BH518" s="815">
        <f>ROUND(INDEX(MO_UI_OOE,0,COLUMN())/BH501,6)</f>
        <v>0.145922</v>
      </c>
      <c r="BI518" s="381">
        <f>BD518-BI519/10000</f>
        <v>0.093079999999999996</v>
      </c>
      <c r="BJ518" s="1339">
        <f>ROUND(INDEX(MO_UI_OOE,0,COLUMN())/BJ501,6)</f>
        <v>0.121587</v>
      </c>
      <c r="BK518" s="381">
        <f>BF518-BK519/10000</f>
        <v>0.114602</v>
      </c>
      <c r="BL518" s="381">
        <f>BG518-BL519/10000</f>
        <v>0.124663</v>
      </c>
      <c r="BM518" s="381">
        <f>BH518-BM519/10000</f>
        <v>0.144922</v>
      </c>
      <c r="BN518" s="381">
        <f>BI518-BN519/10000</f>
        <v>0.089079999999999993</v>
      </c>
      <c r="BO518" s="1339">
        <f>ROUND(INDEX(MO_UI_OOE,0,COLUMN())/BO501,6)</f>
        <v>0.118635</v>
      </c>
      <c r="BP518" s="1339">
        <f>BO518-BP519/10000</f>
        <v>0.118635</v>
      </c>
      <c r="BQ518" s="1339">
        <f>BP518-BQ519/10000</f>
        <v>0.118635</v>
      </c>
      <c r="BR518" s="1339">
        <f>BQ518-BR519/10000</f>
        <v>0.118635</v>
      </c>
      <c r="BS518" s="648"/>
    </row>
    <row r="519" spans="1:71" s="673" customFormat="1" ht="15">
      <c r="A519" s="577" t="s">
        <v>555</v>
      </c>
      <c r="B519" s="508"/>
      <c r="C519" s="1334"/>
      <c r="D519" s="1430">
        <f>(C518-D518)*10000</f>
        <v>-273.01999999999992</v>
      </c>
      <c r="E519" s="1430">
        <f>(D518-E518)*10000</f>
        <v>-9.300000000000141</v>
      </c>
      <c r="F519" s="1430">
        <f>(E518-F518)*10000</f>
        <v>23.690000000000101</v>
      </c>
      <c r="G519" s="1430">
        <f>(F518-G518)*10000</f>
        <v>2.8700000000000947</v>
      </c>
      <c r="H519" s="945"/>
      <c r="I519" s="945"/>
      <c r="J519" s="945"/>
      <c r="K519" s="945"/>
      <c r="L519" s="1430">
        <f t="shared" si="1076" ref="L519:AT519">(G518-L518)*10000</f>
        <v>33.600000000000016</v>
      </c>
      <c r="M519" s="219">
        <f t="shared" si="1076"/>
        <v>-7.2700000000000546</v>
      </c>
      <c r="N519" s="219">
        <f t="shared" si="1076"/>
        <v>29.36000000000022</v>
      </c>
      <c r="O519" s="219">
        <f t="shared" si="1076"/>
        <v>-53.479999999999919</v>
      </c>
      <c r="P519" s="219">
        <f t="shared" si="1076"/>
        <v>-52.669999999999938</v>
      </c>
      <c r="Q519" s="1430">
        <f t="shared" si="1076"/>
        <v>-22.010000000000083</v>
      </c>
      <c r="R519" s="219">
        <f t="shared" si="1076"/>
        <v>-27.550000000000075</v>
      </c>
      <c r="S519" s="219">
        <f t="shared" si="1076"/>
        <v>-52.780000000000051</v>
      </c>
      <c r="T519" s="219">
        <f t="shared" si="1076"/>
        <v>103.05999999999982</v>
      </c>
      <c r="U519" s="219">
        <f t="shared" si="1076"/>
        <v>130.12999999999997</v>
      </c>
      <c r="V519" s="1430">
        <f t="shared" si="1076"/>
        <v>40.509999999999991</v>
      </c>
      <c r="W519" s="219">
        <f t="shared" si="1076"/>
        <v>18.280000000000239</v>
      </c>
      <c r="X519" s="219">
        <f t="shared" si="1076"/>
        <v>40.250000000000007</v>
      </c>
      <c r="Y519" s="219">
        <f t="shared" si="1076"/>
        <v>-48.989999999999867</v>
      </c>
      <c r="Z519" s="219">
        <f t="shared" si="1076"/>
        <v>-123.86000000000008</v>
      </c>
      <c r="AA519" s="1430">
        <f t="shared" si="1076"/>
        <v>-30.36000000000011</v>
      </c>
      <c r="AB519" s="219">
        <f t="shared" si="1076"/>
        <v>36.769999999999861</v>
      </c>
      <c r="AC519" s="219">
        <f t="shared" si="1076"/>
        <v>-32.890000000000143</v>
      </c>
      <c r="AD519" s="219">
        <f t="shared" si="1076"/>
        <v>-40.650000000000134</v>
      </c>
      <c r="AE519" s="219">
        <f t="shared" si="1076"/>
        <v>23.620000000000029</v>
      </c>
      <c r="AF519" s="1430">
        <f t="shared" si="1076"/>
        <v>-3.6200000000000121</v>
      </c>
      <c r="AG519" s="219">
        <f t="shared" si="1076"/>
        <v>-18.11000000000007</v>
      </c>
      <c r="AH519" s="219">
        <f t="shared" si="1076"/>
        <v>-24.180000000000035</v>
      </c>
      <c r="AI519" s="219">
        <f t="shared" si="1076"/>
        <v>5.6300000000000789</v>
      </c>
      <c r="AJ519" s="219">
        <f t="shared" si="1076"/>
        <v>-36.99000000000008</v>
      </c>
      <c r="AK519" s="1430">
        <f t="shared" si="1076"/>
        <v>-18.229999999999912</v>
      </c>
      <c r="AL519" s="219">
        <f t="shared" si="1076"/>
        <v>-110.57999999999984</v>
      </c>
      <c r="AM519" s="219">
        <f t="shared" si="1076"/>
        <v>-95.790000000000049</v>
      </c>
      <c r="AN519" s="219">
        <f t="shared" si="1076"/>
        <v>41.809999999999903</v>
      </c>
      <c r="AO519" s="219">
        <f t="shared" si="1076"/>
        <v>-15.719999999999901</v>
      </c>
      <c r="AP519" s="1430">
        <f t="shared" si="1076"/>
        <v>-44.059999999999931</v>
      </c>
      <c r="AQ519" s="219">
        <f t="shared" si="1076"/>
        <v>73.639999999999816</v>
      </c>
      <c r="AR519" s="219">
        <f t="shared" si="1076"/>
        <v>179.64000000000007</v>
      </c>
      <c r="AS519" s="219">
        <f t="shared" si="1076"/>
        <v>116.29000000000001</v>
      </c>
      <c r="AT519" s="219">
        <f t="shared" si="1076"/>
        <v>199.33000000000007</v>
      </c>
      <c r="AU519" s="1430">
        <f t="shared" si="1077" ref="AU519:AZ519">(AP518-AU518)*10000</f>
        <v>144.20999999999989</v>
      </c>
      <c r="AV519" s="219">
        <f t="shared" si="1077"/>
        <v>145.16000000000003</v>
      </c>
      <c r="AW519" s="219">
        <f t="shared" si="1077"/>
        <v>133.51000000000002</v>
      </c>
      <c r="AX519" s="219">
        <f t="shared" si="1077"/>
        <v>11.27000000000003</v>
      </c>
      <c r="AY519" s="219">
        <f t="shared" si="1077"/>
        <v>56.609999999999992</v>
      </c>
      <c r="AZ519" s="1430">
        <f t="shared" si="1077"/>
        <v>84.499999999999986</v>
      </c>
      <c r="BA519" s="219">
        <f t="shared" si="1078" ref="BA519:BF519">(AV518-BA518)*10000</f>
        <v>-96.649999999999793</v>
      </c>
      <c r="BB519" s="219">
        <f t="shared" si="1078"/>
        <v>188.34000000000003</v>
      </c>
      <c r="BC519" s="219">
        <f t="shared" si="1078"/>
        <v>253.03000000000006</v>
      </c>
      <c r="BD519" s="219">
        <f t="shared" si="1078"/>
        <v>135.11999999999998</v>
      </c>
      <c r="BE519" s="1430">
        <f t="shared" si="1078"/>
        <v>126.05000000000005</v>
      </c>
      <c r="BF519" s="219">
        <f t="shared" si="1078"/>
        <v>176.83999999999992</v>
      </c>
      <c r="BG519" s="219">
        <f>(BB518-BG518)*10000</f>
        <v>-276.82</v>
      </c>
      <c r="BH519" s="831">
        <f>(BC518-BH518)*10000</f>
        <v>-505.37</v>
      </c>
      <c r="BI519" s="1264">
        <v>40</v>
      </c>
      <c r="BJ519" s="1335">
        <f>(BE518-BJ518)*10000</f>
        <v>-151.94</v>
      </c>
      <c r="BK519" s="1264">
        <v>50</v>
      </c>
      <c r="BL519" s="1264">
        <v>20</v>
      </c>
      <c r="BM519" s="1264">
        <v>10</v>
      </c>
      <c r="BN519" s="1264">
        <v>40</v>
      </c>
      <c r="BO519" s="1335">
        <f>(BJ518-BO518)*10000</f>
        <v>29.519999999999964</v>
      </c>
      <c r="BP519" s="1431">
        <v>0</v>
      </c>
      <c r="BQ519" s="1431">
        <v>0</v>
      </c>
      <c r="BR519" s="1431">
        <v>0</v>
      </c>
      <c r="BS519" s="648"/>
    </row>
    <row r="520" spans="1:71" s="669" customFormat="1" ht="7.5" customHeight="1">
      <c r="A520" s="487"/>
      <c r="B520" s="108"/>
      <c r="C520" s="1325"/>
      <c r="D520" s="1325"/>
      <c r="E520" s="1325"/>
      <c r="F520" s="1325"/>
      <c r="G520" s="1325"/>
      <c r="H520" s="726"/>
      <c r="I520" s="726"/>
      <c r="J520" s="726"/>
      <c r="K520" s="726"/>
      <c r="L520" s="1325"/>
      <c r="M520" s="726"/>
      <c r="N520" s="726"/>
      <c r="O520" s="726"/>
      <c r="P520" s="726"/>
      <c r="Q520" s="1325"/>
      <c r="R520" s="726"/>
      <c r="S520" s="726"/>
      <c r="T520" s="726"/>
      <c r="U520" s="726"/>
      <c r="V520" s="1325"/>
      <c r="W520" s="726"/>
      <c r="X520" s="726"/>
      <c r="Y520" s="726"/>
      <c r="Z520" s="726"/>
      <c r="AA520" s="1325"/>
      <c r="AB520" s="726"/>
      <c r="AC520" s="726"/>
      <c r="AD520" s="726"/>
      <c r="AE520" s="726"/>
      <c r="AF520" s="1325"/>
      <c r="AG520" s="726"/>
      <c r="AH520" s="726"/>
      <c r="AI520" s="726"/>
      <c r="AJ520" s="726"/>
      <c r="AK520" s="1325"/>
      <c r="AL520" s="726"/>
      <c r="AM520" s="726"/>
      <c r="AN520" s="726"/>
      <c r="AO520" s="726"/>
      <c r="AP520" s="1325"/>
      <c r="AQ520" s="726"/>
      <c r="AR520" s="726"/>
      <c r="AS520" s="726"/>
      <c r="AT520" s="726"/>
      <c r="AU520" s="1325"/>
      <c r="AV520" s="726"/>
      <c r="AW520" s="726"/>
      <c r="AX520" s="726"/>
      <c r="AY520" s="726"/>
      <c r="AZ520" s="1325"/>
      <c r="BA520" s="726"/>
      <c r="BB520" s="726"/>
      <c r="BC520" s="726"/>
      <c r="BD520" s="726"/>
      <c r="BE520" s="1325"/>
      <c r="BF520" s="726"/>
      <c r="BG520" s="726"/>
      <c r="BH520" s="808"/>
      <c r="BI520" s="98"/>
      <c r="BJ520" s="1326"/>
      <c r="BK520" s="98"/>
      <c r="BL520" s="98"/>
      <c r="BM520" s="98"/>
      <c r="BN520" s="98"/>
      <c r="BO520" s="1326"/>
      <c r="BP520" s="1325"/>
      <c r="BQ520" s="1325"/>
      <c r="BR520" s="1326"/>
      <c r="BS520" s="648"/>
    </row>
    <row r="521" spans="1:71" s="665" customFormat="1" ht="15">
      <c r="A521" s="1001" t="s">
        <v>687</v>
      </c>
      <c r="B521" s="1004"/>
      <c r="C521" s="1375">
        <f t="shared" si="1079" ref="C521:AU521">C586</f>
        <v>0</v>
      </c>
      <c r="D521" s="1375">
        <f t="shared" si="1079"/>
        <v>0</v>
      </c>
      <c r="E521" s="1375">
        <f t="shared" si="1079"/>
        <v>0</v>
      </c>
      <c r="F521" s="1375">
        <f t="shared" si="1079"/>
        <v>0</v>
      </c>
      <c r="G521" s="1375">
        <f t="shared" si="1079"/>
        <v>0</v>
      </c>
      <c r="H521" s="1072">
        <f t="shared" si="1079"/>
        <v>0</v>
      </c>
      <c r="I521" s="1072">
        <f t="shared" si="1079"/>
        <v>0</v>
      </c>
      <c r="J521" s="1072">
        <f t="shared" si="1079"/>
        <v>0</v>
      </c>
      <c r="K521" s="1072">
        <f t="shared" si="1079"/>
        <v>0</v>
      </c>
      <c r="L521" s="1375">
        <f t="shared" si="1079"/>
        <v>0</v>
      </c>
      <c r="M521" s="1072">
        <f t="shared" si="1079"/>
        <v>0</v>
      </c>
      <c r="N521" s="1072">
        <f t="shared" si="1079"/>
        <v>0</v>
      </c>
      <c r="O521" s="1072">
        <f t="shared" si="1079"/>
        <v>0</v>
      </c>
      <c r="P521" s="1072">
        <f t="shared" si="1079"/>
        <v>0</v>
      </c>
      <c r="Q521" s="1375">
        <f t="shared" si="1079"/>
        <v>0</v>
      </c>
      <c r="R521" s="1072">
        <f t="shared" si="1079"/>
        <v>0</v>
      </c>
      <c r="S521" s="1072">
        <f t="shared" si="1079"/>
        <v>0</v>
      </c>
      <c r="T521" s="1072">
        <f t="shared" si="1079"/>
        <v>0</v>
      </c>
      <c r="U521" s="1072">
        <f t="shared" si="1079"/>
        <v>0</v>
      </c>
      <c r="V521" s="1375">
        <f t="shared" si="1079"/>
        <v>0</v>
      </c>
      <c r="W521" s="1072">
        <f t="shared" si="1079"/>
        <v>0</v>
      </c>
      <c r="X521" s="1072">
        <f t="shared" si="1079"/>
        <v>0</v>
      </c>
      <c r="Y521" s="1072">
        <f t="shared" si="1079"/>
        <v>0</v>
      </c>
      <c r="Z521" s="1072">
        <f t="shared" si="1079"/>
        <v>0</v>
      </c>
      <c r="AA521" s="1375">
        <f t="shared" si="1079"/>
        <v>0</v>
      </c>
      <c r="AB521" s="1072">
        <f t="shared" si="1079"/>
        <v>0</v>
      </c>
      <c r="AC521" s="1072">
        <f t="shared" si="1079"/>
        <v>0</v>
      </c>
      <c r="AD521" s="1072">
        <f t="shared" si="1079"/>
        <v>0</v>
      </c>
      <c r="AE521" s="1072">
        <f t="shared" si="1079"/>
        <v>0</v>
      </c>
      <c r="AF521" s="1375">
        <f t="shared" si="1079"/>
        <v>0</v>
      </c>
      <c r="AG521" s="1072">
        <f t="shared" si="1079"/>
        <v>0</v>
      </c>
      <c r="AH521" s="1072">
        <f t="shared" si="1079"/>
        <v>0</v>
      </c>
      <c r="AI521" s="1072">
        <f t="shared" si="1079"/>
        <v>0</v>
      </c>
      <c r="AJ521" s="1072">
        <f t="shared" si="1079"/>
        <v>0</v>
      </c>
      <c r="AK521" s="1375">
        <f t="shared" si="1079"/>
        <v>0</v>
      </c>
      <c r="AL521" s="1072">
        <f t="shared" si="1079"/>
        <v>0</v>
      </c>
      <c r="AM521" s="1072">
        <f t="shared" si="1079"/>
        <v>1033.4000000000001</v>
      </c>
      <c r="AN521" s="1072">
        <f t="shared" si="1079"/>
        <v>29</v>
      </c>
      <c r="AO521" s="1072">
        <f t="shared" si="1079"/>
        <v>15</v>
      </c>
      <c r="AP521" s="1375">
        <f t="shared" si="1079"/>
        <v>1077.4000000000001</v>
      </c>
      <c r="AQ521" s="1072">
        <f t="shared" si="1079"/>
        <v>0</v>
      </c>
      <c r="AR521" s="1072">
        <f t="shared" si="1079"/>
        <v>0</v>
      </c>
      <c r="AS521" s="1072">
        <f t="shared" si="1079"/>
        <v>0</v>
      </c>
      <c r="AT521" s="1072">
        <f t="shared" si="1079"/>
        <v>0</v>
      </c>
      <c r="AU521" s="1375">
        <f t="shared" si="1079"/>
        <v>0</v>
      </c>
      <c r="AV521" s="1072">
        <f t="shared" si="1080" ref="AV521:BA521">AV586</f>
        <v>0</v>
      </c>
      <c r="AW521" s="1072">
        <f t="shared" si="1080"/>
        <v>0</v>
      </c>
      <c r="AX521" s="1072">
        <f t="shared" si="1080"/>
        <v>0</v>
      </c>
      <c r="AY521" s="1072">
        <f t="shared" si="1080"/>
        <v>0</v>
      </c>
      <c r="AZ521" s="1375">
        <f t="shared" si="1080"/>
        <v>0</v>
      </c>
      <c r="BA521" s="1072">
        <f t="shared" si="1080"/>
        <v>0</v>
      </c>
      <c r="BB521" s="1072">
        <f t="shared" si="1081" ref="BB521:BG521">BB586</f>
        <v>0</v>
      </c>
      <c r="BC521" s="1072">
        <f t="shared" si="1081"/>
        <v>0</v>
      </c>
      <c r="BD521" s="1072">
        <f t="shared" si="1081"/>
        <v>0</v>
      </c>
      <c r="BE521" s="1375">
        <f t="shared" si="1081"/>
        <v>0</v>
      </c>
      <c r="BF521" s="1072">
        <f t="shared" si="1081"/>
        <v>0</v>
      </c>
      <c r="BG521" s="1072">
        <f t="shared" si="1081"/>
        <v>0</v>
      </c>
      <c r="BH521" s="1090">
        <f>BH586</f>
        <v>0</v>
      </c>
      <c r="BI521" s="1235">
        <v>0</v>
      </c>
      <c r="BJ521" s="1375">
        <f>SUM(BF521,BG521,BH521,BI521)</f>
        <v>0</v>
      </c>
      <c r="BK521" s="1235">
        <v>0</v>
      </c>
      <c r="BL521" s="1235">
        <v>0</v>
      </c>
      <c r="BM521" s="1235">
        <v>0</v>
      </c>
      <c r="BN521" s="1235">
        <v>0</v>
      </c>
      <c r="BO521" s="1375">
        <f>SUM(BK521,BL521,BM521,BN521)</f>
        <v>0</v>
      </c>
      <c r="BP521" s="1374">
        <v>0</v>
      </c>
      <c r="BQ521" s="1374">
        <v>0</v>
      </c>
      <c r="BR521" s="1374">
        <v>0</v>
      </c>
      <c r="BS521" s="648"/>
    </row>
    <row r="522" spans="1:71" s="668" customFormat="1" ht="15" hidden="1" outlineLevel="1">
      <c r="A522" s="546" t="s">
        <v>335</v>
      </c>
      <c r="B522" s="391"/>
      <c r="C522" s="1376">
        <f t="shared" si="1082" ref="C522:AH522">C504+C511+C516</f>
        <v>12875.110400000001</v>
      </c>
      <c r="D522" s="1376">
        <f t="shared" si="1082"/>
        <v>13689.381599999997</v>
      </c>
      <c r="E522" s="1376">
        <f t="shared" si="1082"/>
        <v>14152.10</v>
      </c>
      <c r="F522" s="1376">
        <f t="shared" si="1082"/>
        <v>15289.80</v>
      </c>
      <c r="G522" s="1376">
        <f t="shared" si="1082"/>
        <v>16054.899999999998</v>
      </c>
      <c r="H522" s="1076">
        <f t="shared" si="1082"/>
        <v>4113.20</v>
      </c>
      <c r="I522" s="1076">
        <f t="shared" si="1082"/>
        <v>4133.30</v>
      </c>
      <c r="J522" s="1076">
        <f t="shared" si="1082"/>
        <v>4266.6000000000004</v>
      </c>
      <c r="K522" s="1076">
        <f t="shared" si="1082"/>
        <v>4616.1000000000013</v>
      </c>
      <c r="L522" s="1376">
        <f t="shared" si="1082"/>
        <v>17129.20</v>
      </c>
      <c r="M522" s="1076">
        <f t="shared" si="1082"/>
        <v>4486.8999999999996</v>
      </c>
      <c r="N522" s="1076">
        <f t="shared" si="1082"/>
        <v>4631.1000000000004</v>
      </c>
      <c r="O522" s="1076">
        <f t="shared" si="1082"/>
        <v>4839.6000000000004</v>
      </c>
      <c r="P522" s="1076">
        <f t="shared" si="1082"/>
        <v>4808.9000000000015</v>
      </c>
      <c r="Q522" s="1376">
        <f t="shared" si="1082"/>
        <v>18766.50</v>
      </c>
      <c r="R522" s="1076">
        <f t="shared" si="1082"/>
        <v>4946.70</v>
      </c>
      <c r="S522" s="1076">
        <f t="shared" si="1082"/>
        <v>5283</v>
      </c>
      <c r="T522" s="1076">
        <f t="shared" si="1082"/>
        <v>5507</v>
      </c>
      <c r="U522" s="1076">
        <f t="shared" si="1082"/>
        <v>5514.40</v>
      </c>
      <c r="V522" s="1376">
        <f t="shared" si="1082"/>
        <v>21251.099999999999</v>
      </c>
      <c r="W522" s="1076">
        <f t="shared" si="1082"/>
        <v>5406.50</v>
      </c>
      <c r="X522" s="1076">
        <f t="shared" si="1082"/>
        <v>5775.4999999999991</v>
      </c>
      <c r="Y522" s="1076">
        <f t="shared" si="1082"/>
        <v>6074.30</v>
      </c>
      <c r="Z522" s="1076">
        <f t="shared" si="1082"/>
        <v>6300.90</v>
      </c>
      <c r="AA522" s="1376">
        <f t="shared" si="1082"/>
        <v>23557.20</v>
      </c>
      <c r="AB522" s="1076">
        <f t="shared" si="1082"/>
        <v>6342.2999999999993</v>
      </c>
      <c r="AC522" s="1076">
        <f t="shared" si="1082"/>
        <v>6820.60</v>
      </c>
      <c r="AD522" s="1076">
        <f t="shared" si="1082"/>
        <v>7189</v>
      </c>
      <c r="AE522" s="1076">
        <f t="shared" si="1082"/>
        <v>7444.20</v>
      </c>
      <c r="AF522" s="1376">
        <f t="shared" si="1082"/>
        <v>27796.099999999999</v>
      </c>
      <c r="AG522" s="1076">
        <f t="shared" si="1082"/>
        <v>7426.30</v>
      </c>
      <c r="AH522" s="1076">
        <f t="shared" si="1082"/>
        <v>7829.1000000000013</v>
      </c>
      <c r="AI522" s="1076">
        <f t="shared" si="1083" ref="AI522:AU522">AI504+AI511+AI516</f>
        <v>8254.10</v>
      </c>
      <c r="AJ522" s="1076">
        <f t="shared" si="1083"/>
        <v>9175.4999999999982</v>
      </c>
      <c r="AK522" s="1376">
        <f t="shared" si="1083"/>
        <v>32685</v>
      </c>
      <c r="AL522" s="1076">
        <f t="shared" si="1083"/>
        <v>8123.40</v>
      </c>
      <c r="AM522" s="1076">
        <f t="shared" si="1083"/>
        <v>7178</v>
      </c>
      <c r="AN522" s="1076">
        <f t="shared" si="1083"/>
        <v>8829.7999999999993</v>
      </c>
      <c r="AO522" s="1076">
        <f t="shared" si="1083"/>
        <v>8760.5000000000018</v>
      </c>
      <c r="AP522" s="1376">
        <f t="shared" si="1083"/>
        <v>32891.699999999997</v>
      </c>
      <c r="AQ522" s="1076">
        <f t="shared" si="1083"/>
        <v>9130.10</v>
      </c>
      <c r="AR522" s="1076">
        <f t="shared" si="1083"/>
        <v>10356.699999999999</v>
      </c>
      <c r="AS522" s="1076">
        <f t="shared" si="1083"/>
        <v>11177.80</v>
      </c>
      <c r="AT522" s="1076">
        <f t="shared" si="1083"/>
        <v>11023.100000000002</v>
      </c>
      <c r="AU522" s="1376">
        <f t="shared" si="1083"/>
        <v>41687.699999999997</v>
      </c>
      <c r="AV522" s="1076">
        <f t="shared" si="1084" ref="AV522:AZ522">AV504+AV511+AV516</f>
        <v>10990.699999999999</v>
      </c>
      <c r="AW522" s="1076">
        <f t="shared" si="1084"/>
        <v>11498.800000000003</v>
      </c>
      <c r="AX522" s="1076">
        <f t="shared" si="1084"/>
        <v>11655.40</v>
      </c>
      <c r="AY522" s="1076">
        <f t="shared" si="1084"/>
        <v>12199.499999999998</v>
      </c>
      <c r="AZ522" s="1376">
        <f t="shared" si="1084"/>
        <v>46344.399999999994</v>
      </c>
      <c r="BA522" s="1076">
        <f t="shared" si="1085" ref="BA522:BR522">BA504+BA511+BA516</f>
        <v>13356.50</v>
      </c>
      <c r="BB522" s="1076">
        <f t="shared" si="1085"/>
        <v>13937.699999999997</v>
      </c>
      <c r="BC522" s="1076">
        <f t="shared" si="1085"/>
        <v>13644.000000000002</v>
      </c>
      <c r="BD522" s="1076">
        <f t="shared" si="1085"/>
        <v>14283.099999999999</v>
      </c>
      <c r="BE522" s="1376">
        <f t="shared" si="1085"/>
        <v>55221.299999999996</v>
      </c>
      <c r="BF522" s="1076">
        <f>BF504+BF511+BF516</f>
        <v>13852</v>
      </c>
      <c r="BG522" s="1076">
        <f>BG504+BG511+BG516</f>
        <v>14868.600000000002</v>
      </c>
      <c r="BH522" s="1077">
        <f>BH504+BH511+BH516</f>
        <v>15951.099999999993</v>
      </c>
      <c r="BI522" s="1078">
        <f t="shared" si="1085"/>
        <v>16073.533141632308</v>
      </c>
      <c r="BJ522" s="1377">
        <f t="shared" si="1085"/>
        <v>60745.2331416323</v>
      </c>
      <c r="BK522" s="1078">
        <f t="shared" si="1085"/>
        <v>19590.739108287155</v>
      </c>
      <c r="BL522" s="1078">
        <f t="shared" si="1085"/>
        <v>18119.25511837245</v>
      </c>
      <c r="BM522" s="1078">
        <f t="shared" si="1085"/>
        <v>19521.450931585696</v>
      </c>
      <c r="BN522" s="1078">
        <f t="shared" si="1085"/>
        <v>17594.800618358011</v>
      </c>
      <c r="BO522" s="1377">
        <f t="shared" si="1085"/>
        <v>74826.245776603319</v>
      </c>
      <c r="BP522" s="1377">
        <f t="shared" si="1085"/>
        <v>80514.438548169608</v>
      </c>
      <c r="BQ522" s="1377">
        <f t="shared" si="1085"/>
        <v>83675.934097171252</v>
      </c>
      <c r="BR522" s="1377">
        <f t="shared" si="1085"/>
        <v>86961.466040511456</v>
      </c>
      <c r="BS522" s="648"/>
    </row>
    <row r="523" spans="1:71" s="669" customFormat="1" ht="15" hidden="1" outlineLevel="1">
      <c r="A523" s="542" t="s">
        <v>556</v>
      </c>
      <c r="B523" s="425"/>
      <c r="C523" s="1333"/>
      <c r="D523" s="1429">
        <f>D522/C522-1</f>
        <v>0.063243822748113798</v>
      </c>
      <c r="E523" s="1429">
        <f>E522/D522-1</f>
        <v>0.033801263893469269</v>
      </c>
      <c r="F523" s="1429">
        <f>F522/E522-1</f>
        <v>0.080390896050762661</v>
      </c>
      <c r="G523" s="1429">
        <f>G522/F522-1</f>
        <v>0.050039895878297935</v>
      </c>
      <c r="H523" s="201"/>
      <c r="I523" s="201"/>
      <c r="J523" s="201"/>
      <c r="K523" s="201"/>
      <c r="L523" s="1429">
        <f t="shared" si="1086" ref="L523:AT523">L522/G522-1</f>
        <v>0.066914150819999074</v>
      </c>
      <c r="M523" s="507">
        <f t="shared" si="1086"/>
        <v>0.090853836429057644</v>
      </c>
      <c r="N523" s="507">
        <f t="shared" si="1086"/>
        <v>0.12043645513270262</v>
      </c>
      <c r="O523" s="507">
        <f t="shared" si="1086"/>
        <v>0.13429897342145969</v>
      </c>
      <c r="P523" s="507">
        <f t="shared" si="1086"/>
        <v>0.041766859470115492</v>
      </c>
      <c r="Q523" s="1429">
        <f t="shared" si="1086"/>
        <v>0.0955853163019873</v>
      </c>
      <c r="R523" s="507">
        <f t="shared" si="1086"/>
        <v>0.1024760970826184</v>
      </c>
      <c r="S523" s="507">
        <f t="shared" si="1086"/>
        <v>0.14076569281596152</v>
      </c>
      <c r="T523" s="507">
        <f t="shared" si="1086"/>
        <v>0.13790395900487629</v>
      </c>
      <c r="U523" s="507">
        <f t="shared" si="1086"/>
        <v>0.14670714716463196</v>
      </c>
      <c r="V523" s="1429">
        <f t="shared" si="1086"/>
        <v>0.1323954919670689</v>
      </c>
      <c r="W523" s="507">
        <f t="shared" si="1086"/>
        <v>0.09295085612630638</v>
      </c>
      <c r="X523" s="507">
        <f t="shared" si="1086"/>
        <v>0.093223547226954251</v>
      </c>
      <c r="Y523" s="507">
        <f t="shared" si="1086"/>
        <v>0.10301434537860898</v>
      </c>
      <c r="Z523" s="507">
        <f t="shared" si="1086"/>
        <v>0.14262657768750908</v>
      </c>
      <c r="AA523" s="1429">
        <f t="shared" si="1086"/>
        <v>0.10851673560427466</v>
      </c>
      <c r="AB523" s="507">
        <f t="shared" si="1086"/>
        <v>0.17308794969018759</v>
      </c>
      <c r="AC523" s="507">
        <f t="shared" si="1086"/>
        <v>0.1809540299541168</v>
      </c>
      <c r="AD523" s="507">
        <f t="shared" si="1086"/>
        <v>0.18351085721811566</v>
      </c>
      <c r="AE523" s="507">
        <f t="shared" si="1086"/>
        <v>0.18145026900918904</v>
      </c>
      <c r="AF523" s="1429">
        <f t="shared" si="1086"/>
        <v>0.1799407399860764</v>
      </c>
      <c r="AG523" s="507">
        <f t="shared" si="1086"/>
        <v>0.17091591378522009</v>
      </c>
      <c r="AH523" s="507">
        <f t="shared" si="1086"/>
        <v>0.14786089200363617</v>
      </c>
      <c r="AI523" s="507">
        <f t="shared" si="1086"/>
        <v>0.14815690638475454</v>
      </c>
      <c r="AJ523" s="507">
        <f t="shared" si="1086"/>
        <v>0.23257032320464233</v>
      </c>
      <c r="AK523" s="1429">
        <f t="shared" si="1086"/>
        <v>0.17588438665855999</v>
      </c>
      <c r="AL523" s="507">
        <f t="shared" si="1086"/>
        <v>0.093869086893877185</v>
      </c>
      <c r="AM523" s="507">
        <f t="shared" si="1086"/>
        <v>-0.083164092935331113</v>
      </c>
      <c r="AN523" s="507">
        <f t="shared" si="1086"/>
        <v>0.069747155958856721</v>
      </c>
      <c r="AO523" s="507">
        <f t="shared" si="1086"/>
        <v>-0.045229142826003654</v>
      </c>
      <c r="AP523" s="1429">
        <f t="shared" si="1086"/>
        <v>0.0063240018357042516</v>
      </c>
      <c r="AQ523" s="507">
        <f t="shared" si="1086"/>
        <v>0.12392594233941456</v>
      </c>
      <c r="AR523" s="507">
        <f t="shared" si="1086"/>
        <v>0.44283923098356071</v>
      </c>
      <c r="AS523" s="507">
        <f t="shared" si="1086"/>
        <v>0.26591768782984926</v>
      </c>
      <c r="AT523" s="507">
        <f t="shared" si="1086"/>
        <v>0.2582729296273043</v>
      </c>
      <c r="AU523" s="1429">
        <f t="shared" si="1087" ref="AU523:AZ523">AU522/AP522-1</f>
        <v>0.26742308849953034</v>
      </c>
      <c r="AV523" s="507">
        <f t="shared" si="1087"/>
        <v>0.20378747220731408</v>
      </c>
      <c r="AW523" s="507">
        <f t="shared" si="1087"/>
        <v>0.1102764394063751</v>
      </c>
      <c r="AX523" s="507">
        <f t="shared" si="1087"/>
        <v>0.042727549249405028</v>
      </c>
      <c r="AY523" s="507">
        <f t="shared" si="1087"/>
        <v>0.10672133973201703</v>
      </c>
      <c r="AZ523" s="1429">
        <f t="shared" si="1087"/>
        <v>0.1117044116130177</v>
      </c>
      <c r="BA523" s="507">
        <f t="shared" si="1088" ref="BA523:BO523">BA522/AV522-1</f>
        <v>0.21525471535025087</v>
      </c>
      <c r="BB523" s="507">
        <f t="shared" si="1088"/>
        <v>0.21210039308449513</v>
      </c>
      <c r="BC523" s="507">
        <f t="shared" si="1088"/>
        <v>0.17061619506838044</v>
      </c>
      <c r="BD523" s="507">
        <f t="shared" si="1088"/>
        <v>0.1707938849952868</v>
      </c>
      <c r="BE523" s="1429">
        <f t="shared" si="1088"/>
        <v>0.19154202017935296</v>
      </c>
      <c r="BF523" s="507">
        <f>BF522/BA522-1</f>
        <v>0.037098042151761268</v>
      </c>
      <c r="BG523" s="507">
        <f>BG522/BB522-1</f>
        <v>0.06679007296756323</v>
      </c>
      <c r="BH523" s="830">
        <f>BH522/BC522-1</f>
        <v>0.16909264145411829</v>
      </c>
      <c r="BI523" s="201">
        <f t="shared" si="1088"/>
        <v>0.12535325956076138</v>
      </c>
      <c r="BJ523" s="1333">
        <f t="shared" si="1088"/>
        <v>0.10003265300947839</v>
      </c>
      <c r="BK523" s="201">
        <f t="shared" si="1088"/>
        <v>0.41428956889165125</v>
      </c>
      <c r="BL523" s="201">
        <f t="shared" si="1088"/>
        <v>0.21862550061017494</v>
      </c>
      <c r="BM523" s="201">
        <f t="shared" si="1088"/>
        <v>0.22383101676910711</v>
      </c>
      <c r="BN523" s="201">
        <f t="shared" si="1088"/>
        <v>0.094644249233881483</v>
      </c>
      <c r="BO523" s="1333">
        <f t="shared" si="1088"/>
        <v>0.23180440516443523</v>
      </c>
      <c r="BP523" s="1333">
        <f>BP522/BO522-1</f>
        <v>0.076018684520784419</v>
      </c>
      <c r="BQ523" s="1333">
        <f>BQ522/BP522-1</f>
        <v>0.039266193815786332</v>
      </c>
      <c r="BR523" s="1333">
        <f>BR522/BQ522-1</f>
        <v>0.039264956869495826</v>
      </c>
      <c r="BS523" s="648"/>
    </row>
    <row r="524" spans="1:71" s="679" customFormat="1" ht="15" hidden="1" outlineLevel="1">
      <c r="A524" s="576" t="s">
        <v>338</v>
      </c>
      <c r="B524" s="400"/>
      <c r="C524" s="1386">
        <f t="shared" si="1089" ref="C524:AH524">C522/C$501</f>
        <v>0.91881068737154603</v>
      </c>
      <c r="D524" s="1339">
        <f t="shared" si="1089"/>
        <v>0.95630966552099894</v>
      </c>
      <c r="E524" s="1339">
        <f t="shared" si="1089"/>
        <v>0.94962691574737645</v>
      </c>
      <c r="F524" s="1339">
        <f t="shared" si="1089"/>
        <v>0.95453864402547139</v>
      </c>
      <c r="G524" s="1339">
        <f t="shared" si="1089"/>
        <v>0.93869639954628881</v>
      </c>
      <c r="H524" s="381">
        <f t="shared" si="1089"/>
        <v>0.93432978215932594</v>
      </c>
      <c r="I524" s="381">
        <f t="shared" si="1089"/>
        <v>0.9157638196521547</v>
      </c>
      <c r="J524" s="381">
        <f t="shared" si="1089"/>
        <v>0.93975903614457834</v>
      </c>
      <c r="K524" s="381">
        <f t="shared" si="1089"/>
        <v>0.93394165014364927</v>
      </c>
      <c r="L524" s="1339">
        <f t="shared" si="1089"/>
        <v>0.93101068021849609</v>
      </c>
      <c r="M524" s="381">
        <f t="shared" si="1089"/>
        <v>0.96155412210959434</v>
      </c>
      <c r="N524" s="381">
        <f t="shared" si="1089"/>
        <v>0.92699867889026788</v>
      </c>
      <c r="O524" s="381">
        <f t="shared" si="1089"/>
        <v>0.95444326115252631</v>
      </c>
      <c r="P524" s="381">
        <f t="shared" si="1089"/>
        <v>0.93080288014865298</v>
      </c>
      <c r="Q524" s="1339">
        <f t="shared" si="1089"/>
        <v>0.94308285299335148</v>
      </c>
      <c r="R524" s="381">
        <f t="shared" si="1089"/>
        <v>0.93028547786512195</v>
      </c>
      <c r="S524" s="381">
        <f t="shared" si="1089"/>
        <v>0.94987234348592176</v>
      </c>
      <c r="T524" s="381">
        <f t="shared" si="1089"/>
        <v>0.96219030646119441</v>
      </c>
      <c r="U524" s="381">
        <f t="shared" si="1089"/>
        <v>0.93919678441257626</v>
      </c>
      <c r="V524" s="1339">
        <f t="shared" si="1089"/>
        <v>0.94558601050102331</v>
      </c>
      <c r="W524" s="381">
        <f t="shared" si="1089"/>
        <v>0.8970912771500158</v>
      </c>
      <c r="X524" s="381">
        <f t="shared" si="1089"/>
        <v>0.91481475614971552</v>
      </c>
      <c r="Y524" s="381">
        <f t="shared" si="1089"/>
        <v>0.92822432762836193</v>
      </c>
      <c r="Z524" s="381">
        <f t="shared" si="1089"/>
        <v>0.92039030660687415</v>
      </c>
      <c r="AA524" s="1339">
        <f t="shared" si="1089"/>
        <v>0.91555738654250496</v>
      </c>
      <c r="AB524" s="381">
        <f t="shared" si="1089"/>
        <v>0.88406746584889861</v>
      </c>
      <c r="AC524" s="381">
        <f t="shared" si="1089"/>
        <v>0.89342694715883797</v>
      </c>
      <c r="AD524" s="381">
        <f t="shared" si="1089"/>
        <v>0.90650022066704494</v>
      </c>
      <c r="AE524" s="381">
        <f t="shared" si="1089"/>
        <v>0.90842750103726844</v>
      </c>
      <c r="AF524" s="1339">
        <f t="shared" si="1089"/>
        <v>0.89858178726485682</v>
      </c>
      <c r="AG524" s="381">
        <f t="shared" si="1089"/>
        <v>0.87783399134731332</v>
      </c>
      <c r="AH524" s="381">
        <f t="shared" si="1089"/>
        <v>0.88718030074676768</v>
      </c>
      <c r="AI524" s="381">
        <f t="shared" si="1090" ref="AI524:AU524">AI522/AI$501</f>
        <v>0.91588069505781067</v>
      </c>
      <c r="AJ524" s="381">
        <f t="shared" si="1090"/>
        <v>0.92722091413442176</v>
      </c>
      <c r="AK524" s="1339">
        <f t="shared" si="1090"/>
        <v>0.90309015152352423</v>
      </c>
      <c r="AL524" s="381">
        <f t="shared" si="1090"/>
        <v>0.86137826460389988</v>
      </c>
      <c r="AM524" s="381">
        <f t="shared" si="1090"/>
        <v>0.74394212631884415</v>
      </c>
      <c r="AN524" s="381">
        <f t="shared" si="1090"/>
        <v>0.88532611420263707</v>
      </c>
      <c r="AO524" s="381">
        <f t="shared" si="1090"/>
        <v>0.85813219967087229</v>
      </c>
      <c r="AP524" s="1339">
        <f t="shared" si="1090"/>
        <v>0.83775750351488476</v>
      </c>
      <c r="AQ524" s="381">
        <f t="shared" si="1090"/>
        <v>0.87619239553943318</v>
      </c>
      <c r="AR524" s="381">
        <f t="shared" si="1090"/>
        <v>0.94303561184815565</v>
      </c>
      <c r="AS524" s="381">
        <f t="shared" si="1090"/>
        <v>0.98354568492186434</v>
      </c>
      <c r="AT524" s="381">
        <f t="shared" si="1090"/>
        <v>0.9501525677935424</v>
      </c>
      <c r="AU524" s="1339">
        <f t="shared" si="1090"/>
        <v>0.93957451987549778</v>
      </c>
      <c r="AV524" s="381">
        <f t="shared" si="1091" ref="AV524:AZ524">AV522/AV$501</f>
        <v>0.93118640334155134</v>
      </c>
      <c r="AW524" s="381">
        <f t="shared" si="1091"/>
        <v>0.94656689633599245</v>
      </c>
      <c r="AX524" s="381">
        <f t="shared" si="1091"/>
        <v>0.94003500310511412</v>
      </c>
      <c r="AY524" s="381">
        <f t="shared" si="1091"/>
        <v>0.94632121940813685</v>
      </c>
      <c r="AZ524" s="1339">
        <f t="shared" si="1091"/>
        <v>0.94117121434895978</v>
      </c>
      <c r="BA524" s="381">
        <f t="shared" si="1092" ref="BA524:BR524">BA522/BA$501</f>
        <v>0.9869505139251169</v>
      </c>
      <c r="BB524" s="381">
        <f t="shared" si="1092"/>
        <v>0.96358646055142261</v>
      </c>
      <c r="BC524" s="381">
        <f t="shared" si="1092"/>
        <v>0.91605513518594384</v>
      </c>
      <c r="BD524" s="381">
        <f t="shared" si="1092"/>
        <v>0.9055640794796036</v>
      </c>
      <c r="BE524" s="1339">
        <f t="shared" si="1092"/>
        <v>0.94130852782948427</v>
      </c>
      <c r="BF524" s="381">
        <f>BF522/BF$501</f>
        <v>0.85778333725524192</v>
      </c>
      <c r="BG524" s="381">
        <f>BG522/BG$501</f>
        <v>0.86397629216421157</v>
      </c>
      <c r="BH524" s="813">
        <f>BH522/BH$501</f>
        <v>0.87180201894330633</v>
      </c>
      <c r="BI524" s="381">
        <f t="shared" si="1092"/>
        <v>0.9153856770999319</v>
      </c>
      <c r="BJ524" s="1339">
        <f t="shared" si="1092"/>
        <v>0.87764244248674383</v>
      </c>
      <c r="BK524" s="381">
        <f t="shared" si="1092"/>
        <v>0.91366004964598158</v>
      </c>
      <c r="BL524" s="381">
        <f t="shared" si="1092"/>
        <v>0.92052449539182701</v>
      </c>
      <c r="BM524" s="381">
        <f t="shared" si="1092"/>
        <v>0.92900593623838024</v>
      </c>
      <c r="BN524" s="381">
        <f t="shared" si="1092"/>
        <v>0.88955368425599912</v>
      </c>
      <c r="BO524" s="1339">
        <f t="shared" si="1092"/>
        <v>0.91342537619248521</v>
      </c>
      <c r="BP524" s="1339">
        <f t="shared" si="1092"/>
        <v>0.91761715051992276</v>
      </c>
      <c r="BQ524" s="1339">
        <f t="shared" si="1092"/>
        <v>0.91661715051992276</v>
      </c>
      <c r="BR524" s="1339">
        <f t="shared" si="1092"/>
        <v>0.91561715051992287</v>
      </c>
      <c r="BS524" s="648"/>
    </row>
    <row r="525" spans="1:71" s="673" customFormat="1" ht="15" hidden="1" outlineLevel="1">
      <c r="A525" s="948" t="s">
        <v>557</v>
      </c>
      <c r="B525" s="508"/>
      <c r="C525" s="1334"/>
      <c r="D525" s="1335">
        <f>(C524-D524)*10000</f>
        <v>-374.9897814945291</v>
      </c>
      <c r="E525" s="1335">
        <f>(D524-E524)*10000</f>
        <v>66.827497736224871</v>
      </c>
      <c r="F525" s="1335">
        <f>(E524-F524)*10000</f>
        <v>-49.117282780949402</v>
      </c>
      <c r="G525" s="1335">
        <f>(F524-G524)*10000</f>
        <v>158.42244479182588</v>
      </c>
      <c r="H525" s="945"/>
      <c r="I525" s="945"/>
      <c r="J525" s="945"/>
      <c r="K525" s="945"/>
      <c r="L525" s="1335">
        <f t="shared" si="1093" ref="L525:AU525">(G524-L524)*10000</f>
        <v>76.857193277927166</v>
      </c>
      <c r="M525" s="945">
        <f t="shared" si="1093"/>
        <v>-272.24339950268404</v>
      </c>
      <c r="N525" s="945">
        <f t="shared" si="1093"/>
        <v>-112.34859238113182</v>
      </c>
      <c r="O525" s="945">
        <f t="shared" si="1093"/>
        <v>-146.8422500794797</v>
      </c>
      <c r="P525" s="945">
        <f t="shared" si="1093"/>
        <v>31.387699949962933</v>
      </c>
      <c r="Q525" s="1335">
        <f t="shared" si="1093"/>
        <v>-120.72172774855395</v>
      </c>
      <c r="R525" s="945">
        <f t="shared" si="1093"/>
        <v>312.68644244472398</v>
      </c>
      <c r="S525" s="945">
        <f t="shared" si="1093"/>
        <v>-228.73664595653875</v>
      </c>
      <c r="T525" s="945">
        <f t="shared" si="1093"/>
        <v>-77.47045308668099</v>
      </c>
      <c r="U525" s="945">
        <f t="shared" si="1093"/>
        <v>-83.939042639232795</v>
      </c>
      <c r="V525" s="1335">
        <f t="shared" si="1093"/>
        <v>-25.031575076718269</v>
      </c>
      <c r="W525" s="945">
        <f t="shared" si="1093"/>
        <v>331.94200715106149</v>
      </c>
      <c r="X525" s="945">
        <f t="shared" si="1093"/>
        <v>350.57587336206228</v>
      </c>
      <c r="Y525" s="945">
        <f t="shared" si="1093"/>
        <v>339.65978832832479</v>
      </c>
      <c r="Z525" s="945">
        <f t="shared" si="1093"/>
        <v>188.06477805702104</v>
      </c>
      <c r="AA525" s="1335">
        <f t="shared" si="1093"/>
        <v>300.28623958518352</v>
      </c>
      <c r="AB525" s="945">
        <f t="shared" si="1093"/>
        <v>130.23811301117183</v>
      </c>
      <c r="AC525" s="945">
        <f t="shared" si="1093"/>
        <v>213.87808990877554</v>
      </c>
      <c r="AD525" s="945">
        <f t="shared" si="1093"/>
        <v>217.24106961316991</v>
      </c>
      <c r="AE525" s="945">
        <f t="shared" si="1093"/>
        <v>119.62805569605717</v>
      </c>
      <c r="AF525" s="1335">
        <f t="shared" si="1093"/>
        <v>169.75599277648135</v>
      </c>
      <c r="AG525" s="945">
        <f t="shared" si="1093"/>
        <v>62.334745015852903</v>
      </c>
      <c r="AH525" s="945">
        <f t="shared" si="1093"/>
        <v>62.466464120702895</v>
      </c>
      <c r="AI525" s="945">
        <f t="shared" si="1093"/>
        <v>-93.804743907657254</v>
      </c>
      <c r="AJ525" s="945">
        <f t="shared" si="1093"/>
        <v>-187.93413097153322</v>
      </c>
      <c r="AK525" s="1335">
        <f t="shared" si="1093"/>
        <v>-45.083642586674074</v>
      </c>
      <c r="AL525" s="945">
        <f t="shared" si="1093"/>
        <v>164.55726743413445</v>
      </c>
      <c r="AM525" s="945">
        <f t="shared" si="1093"/>
        <v>1432.3817442792354</v>
      </c>
      <c r="AN525" s="945">
        <f t="shared" si="1093"/>
        <v>305.54580855173595</v>
      </c>
      <c r="AO525" s="945">
        <f t="shared" si="1093"/>
        <v>690.88714463549468</v>
      </c>
      <c r="AP525" s="1335">
        <f t="shared" si="1093"/>
        <v>653.32648008639467</v>
      </c>
      <c r="AQ525" s="945">
        <f t="shared" si="1093"/>
        <v>-148.14130935533299</v>
      </c>
      <c r="AR525" s="945">
        <f t="shared" si="1093"/>
        <v>-1990.9348552931149</v>
      </c>
      <c r="AS525" s="945">
        <f t="shared" si="1093"/>
        <v>-982.19570719227272</v>
      </c>
      <c r="AT525" s="945">
        <f t="shared" si="1093"/>
        <v>-920.20368122670118</v>
      </c>
      <c r="AU525" s="1335">
        <f t="shared" si="1093"/>
        <v>-1018.1701636061302</v>
      </c>
      <c r="AV525" s="945">
        <f t="shared" si="1094" ref="AV525:AZ525">(AQ524-AV524)*10000</f>
        <v>-549.94007802118165</v>
      </c>
      <c r="AW525" s="945">
        <f t="shared" si="1094"/>
        <v>-35.31284487836794</v>
      </c>
      <c r="AX525" s="945">
        <f t="shared" si="1094"/>
        <v>435.10681816750218</v>
      </c>
      <c r="AY525" s="945">
        <f t="shared" si="1094"/>
        <v>38.313483854055534</v>
      </c>
      <c r="AZ525" s="1335">
        <f t="shared" si="1094"/>
        <v>-15.966944734620014</v>
      </c>
      <c r="BA525" s="945">
        <f t="shared" si="1095" ref="BA525:BO525">(AV524-BA524)*10000</f>
        <v>-557.64110583565559</v>
      </c>
      <c r="BB525" s="945">
        <f t="shared" si="1095"/>
        <v>-170.19564215430159</v>
      </c>
      <c r="BC525" s="945">
        <f t="shared" si="1095"/>
        <v>239.79867919170283</v>
      </c>
      <c r="BD525" s="945">
        <f t="shared" si="1095"/>
        <v>407.57139928533246</v>
      </c>
      <c r="BE525" s="1335">
        <f t="shared" si="1095"/>
        <v>-1.3731348052448134</v>
      </c>
      <c r="BF525" s="945">
        <f>(BA524-BF524)*10000</f>
        <v>1291.6717666987499</v>
      </c>
      <c r="BG525" s="945">
        <f>(BB524-BG524)*10000</f>
        <v>996.10168387211036</v>
      </c>
      <c r="BH525" s="446">
        <f>(BC524-BH524)*10000</f>
        <v>442.53116242637503</v>
      </c>
      <c r="BI525" s="945">
        <f t="shared" si="1095"/>
        <v>-98.215976203283034</v>
      </c>
      <c r="BJ525" s="1335">
        <f t="shared" si="1095"/>
        <v>636.66085342740428</v>
      </c>
      <c r="BK525" s="945">
        <f t="shared" si="1095"/>
        <v>-558.76712390739658</v>
      </c>
      <c r="BL525" s="945">
        <f t="shared" si="1095"/>
        <v>-565.48203227615443</v>
      </c>
      <c r="BM525" s="945">
        <f t="shared" si="1095"/>
        <v>-572.03917295073904</v>
      </c>
      <c r="BN525" s="945">
        <f t="shared" si="1095"/>
        <v>258.31992843932784</v>
      </c>
      <c r="BO525" s="1335">
        <f t="shared" si="1095"/>
        <v>-357.82933705741368</v>
      </c>
      <c r="BP525" s="1335">
        <f>((BO524-BP524)*10000)</f>
        <v>-41.917743274375582</v>
      </c>
      <c r="BQ525" s="1335">
        <f>((BP524-BQ524)*10000)</f>
        <v>10.000000000000009</v>
      </c>
      <c r="BR525" s="1335">
        <f>((BQ524-BR524)*10000)</f>
        <v>9.9999999999988987</v>
      </c>
      <c r="BS525" s="648"/>
    </row>
    <row r="526" spans="1:71" s="669" customFormat="1" ht="7.5" customHeight="1" hidden="1" outlineLevel="1">
      <c r="A526" s="487"/>
      <c r="B526" s="108"/>
      <c r="C526" s="1325"/>
      <c r="D526" s="1325"/>
      <c r="E526" s="1325"/>
      <c r="F526" s="1325"/>
      <c r="G526" s="1325"/>
      <c r="H526" s="726"/>
      <c r="I526" s="726"/>
      <c r="J526" s="726"/>
      <c r="K526" s="726"/>
      <c r="L526" s="1325"/>
      <c r="M526" s="726"/>
      <c r="N526" s="726"/>
      <c r="O526" s="726"/>
      <c r="P526" s="726"/>
      <c r="Q526" s="1325"/>
      <c r="R526" s="726"/>
      <c r="S526" s="726"/>
      <c r="T526" s="726"/>
      <c r="U526" s="726"/>
      <c r="V526" s="1325"/>
      <c r="W526" s="726"/>
      <c r="X526" s="726"/>
      <c r="Y526" s="726"/>
      <c r="Z526" s="726"/>
      <c r="AA526" s="1325"/>
      <c r="AB526" s="726"/>
      <c r="AC526" s="726"/>
      <c r="AD526" s="726"/>
      <c r="AE526" s="726"/>
      <c r="AF526" s="1325"/>
      <c r="AG526" s="726"/>
      <c r="AH526" s="726"/>
      <c r="AI526" s="726"/>
      <c r="AJ526" s="726"/>
      <c r="AK526" s="1325"/>
      <c r="AL526" s="726"/>
      <c r="AM526" s="726"/>
      <c r="AN526" s="726"/>
      <c r="AO526" s="726"/>
      <c r="AP526" s="1325"/>
      <c r="AQ526" s="726"/>
      <c r="AR526" s="726"/>
      <c r="AS526" s="726"/>
      <c r="AT526" s="726"/>
      <c r="AU526" s="1325"/>
      <c r="AV526" s="726"/>
      <c r="AW526" s="726"/>
      <c r="AX526" s="726"/>
      <c r="AY526" s="726"/>
      <c r="AZ526" s="1325"/>
      <c r="BA526" s="726"/>
      <c r="BB526" s="726"/>
      <c r="BC526" s="726"/>
      <c r="BD526" s="726"/>
      <c r="BE526" s="1325"/>
      <c r="BF526" s="726"/>
      <c r="BG526" s="726"/>
      <c r="BH526" s="808"/>
      <c r="BI526" s="98"/>
      <c r="BJ526" s="1326"/>
      <c r="BK526" s="98"/>
      <c r="BL526" s="98"/>
      <c r="BM526" s="98"/>
      <c r="BN526" s="98"/>
      <c r="BO526" s="1326"/>
      <c r="BP526" s="1325"/>
      <c r="BQ526" s="1325"/>
      <c r="BR526" s="1326"/>
      <c r="BS526" s="648"/>
    </row>
    <row r="527" spans="1:71" s="668" customFormat="1" ht="15" hidden="1" outlineLevel="1">
      <c r="A527" s="578" t="s">
        <v>329</v>
      </c>
      <c r="B527" s="393"/>
      <c r="C527" s="1348">
        <f t="shared" si="1096" ref="C527:AH527">C506+C511+C516</f>
        <v>12973.20</v>
      </c>
      <c r="D527" s="1348">
        <f t="shared" si="1096"/>
        <v>13803.899999999998</v>
      </c>
      <c r="E527" s="1348">
        <f t="shared" si="1096"/>
        <v>14364</v>
      </c>
      <c r="F527" s="1348">
        <f t="shared" si="1096"/>
        <v>15568.900000000001</v>
      </c>
      <c r="G527" s="1348">
        <f t="shared" si="1096"/>
        <v>16229.999999999998</v>
      </c>
      <c r="H527" s="1039">
        <f t="shared" si="1096"/>
        <v>4122.3999999999996</v>
      </c>
      <c r="I527" s="1039">
        <f t="shared" si="1096"/>
        <v>4263.1000000000004</v>
      </c>
      <c r="J527" s="1039">
        <f t="shared" si="1096"/>
        <v>4299</v>
      </c>
      <c r="K527" s="1039">
        <f t="shared" si="1096"/>
        <v>4636.9000000000015</v>
      </c>
      <c r="L527" s="1348">
        <f t="shared" si="1096"/>
        <v>17321.40</v>
      </c>
      <c r="M527" s="1039">
        <f t="shared" si="1096"/>
        <v>4496.30</v>
      </c>
      <c r="N527" s="1039">
        <f t="shared" si="1096"/>
        <v>4785.70</v>
      </c>
      <c r="O527" s="1039">
        <f t="shared" si="1096"/>
        <v>4877.30</v>
      </c>
      <c r="P527" s="1039">
        <f t="shared" si="1096"/>
        <v>4861.7000000000016</v>
      </c>
      <c r="Q527" s="1348">
        <f t="shared" si="1096"/>
        <v>19021</v>
      </c>
      <c r="R527" s="1039">
        <f t="shared" si="1096"/>
        <v>5049.1000000000004</v>
      </c>
      <c r="S527" s="1039">
        <f t="shared" si="1096"/>
        <v>5499.50</v>
      </c>
      <c r="T527" s="1039">
        <f t="shared" si="1096"/>
        <v>5665.70</v>
      </c>
      <c r="U527" s="1039">
        <f t="shared" si="1096"/>
        <v>5588.60</v>
      </c>
      <c r="V527" s="1348">
        <f t="shared" si="1096"/>
        <v>21802.899999999998</v>
      </c>
      <c r="W527" s="1039">
        <f t="shared" si="1096"/>
        <v>5500.70</v>
      </c>
      <c r="X527" s="1039">
        <f t="shared" si="1096"/>
        <v>6011.10</v>
      </c>
      <c r="Y527" s="1039">
        <f t="shared" si="1096"/>
        <v>6505.40</v>
      </c>
      <c r="Z527" s="1039">
        <f t="shared" si="1096"/>
        <v>6370.5000000000009</v>
      </c>
      <c r="AA527" s="1348">
        <f t="shared" si="1096"/>
        <v>24387.700000000001</v>
      </c>
      <c r="AB527" s="1039">
        <f t="shared" si="1096"/>
        <v>6391.60</v>
      </c>
      <c r="AC527" s="1039">
        <f t="shared" si="1096"/>
        <v>7027.10</v>
      </c>
      <c r="AD527" s="1039">
        <f t="shared" si="1096"/>
        <v>7316.2000000000007</v>
      </c>
      <c r="AE527" s="1039">
        <f t="shared" si="1096"/>
        <v>7667.10</v>
      </c>
      <c r="AF527" s="1348">
        <f t="shared" si="1096"/>
        <v>28402</v>
      </c>
      <c r="AG527" s="1039">
        <f t="shared" si="1096"/>
        <v>7498.20</v>
      </c>
      <c r="AH527" s="1039">
        <f t="shared" si="1096"/>
        <v>8040.8000000000011</v>
      </c>
      <c r="AI527" s="1039">
        <f t="shared" si="1097" ref="AI527:AU527">AI506+AI511+AI516</f>
        <v>8412.90</v>
      </c>
      <c r="AJ527" s="1039">
        <f t="shared" si="1097"/>
        <v>9284.5999999999985</v>
      </c>
      <c r="AK527" s="1348">
        <f t="shared" si="1097"/>
        <v>33236.50</v>
      </c>
      <c r="AL527" s="1039">
        <f t="shared" si="1097"/>
        <v>8203.7999999999993</v>
      </c>
      <c r="AM527" s="1039">
        <f t="shared" si="1097"/>
        <v>7583.7999999999993</v>
      </c>
      <c r="AN527" s="1039">
        <f t="shared" si="1097"/>
        <v>9111.40</v>
      </c>
      <c r="AO527" s="1039">
        <f t="shared" si="1097"/>
        <v>8870.7000000000007</v>
      </c>
      <c r="AP527" s="1348">
        <f t="shared" si="1097"/>
        <v>33769.699999999997</v>
      </c>
      <c r="AQ527" s="1039">
        <f t="shared" si="1097"/>
        <v>9341.60</v>
      </c>
      <c r="AR527" s="1039">
        <f t="shared" si="1097"/>
        <v>10703.099999999999</v>
      </c>
      <c r="AS527" s="1039">
        <f t="shared" si="1097"/>
        <v>11899.700000000001</v>
      </c>
      <c r="AT527" s="1039">
        <f t="shared" si="1097"/>
        <v>11055.40</v>
      </c>
      <c r="AU527" s="1348">
        <f t="shared" si="1097"/>
        <v>42999.799999999996</v>
      </c>
      <c r="AV527" s="1039">
        <f t="shared" si="1098" ref="AV527:AZ527">AV506+AV511+AV516</f>
        <v>11137.299999999999</v>
      </c>
      <c r="AW527" s="1039">
        <f t="shared" si="1098"/>
        <v>12027.100000000002</v>
      </c>
      <c r="AX527" s="1039">
        <f t="shared" si="1098"/>
        <v>12538.60</v>
      </c>
      <c r="AY527" s="1039">
        <f t="shared" si="1098"/>
        <v>12301.799999999997</v>
      </c>
      <c r="AZ527" s="1348">
        <f t="shared" si="1098"/>
        <v>48004.80</v>
      </c>
      <c r="BA527" s="1039">
        <f t="shared" si="1099" ref="BA527:BR527">BA506+BA511+BA516</f>
        <v>13597.40</v>
      </c>
      <c r="BB527" s="1039">
        <f t="shared" si="1099"/>
        <v>14962.299999999999</v>
      </c>
      <c r="BC527" s="1039">
        <f t="shared" si="1099"/>
        <v>14114.80</v>
      </c>
      <c r="BD527" s="1039">
        <f t="shared" si="1099"/>
        <v>14340.60</v>
      </c>
      <c r="BE527" s="1348">
        <f t="shared" si="1099"/>
        <v>57015.099999999999</v>
      </c>
      <c r="BF527" s="1039">
        <f>BF506+BF511+BF516</f>
        <v>14198.50</v>
      </c>
      <c r="BG527" s="1039">
        <f>BG506+BG511+BG516</f>
        <v>16137.900000000001</v>
      </c>
      <c r="BH527" s="1040">
        <f>BH506+BH511+BH516</f>
        <v>16683.299999999992</v>
      </c>
      <c r="BI527" s="1062">
        <f t="shared" si="1099"/>
        <v>16453.385326463627</v>
      </c>
      <c r="BJ527" s="1363">
        <f t="shared" si="1099"/>
        <v>63473.085326463617</v>
      </c>
      <c r="BK527" s="1062">
        <f t="shared" si="1099"/>
        <v>20029.481334274638</v>
      </c>
      <c r="BL527" s="1062">
        <f t="shared" si="1099"/>
        <v>18843.566468023917</v>
      </c>
      <c r="BM527" s="1062">
        <f t="shared" si="1099"/>
        <v>20051.097447857621</v>
      </c>
      <c r="BN527" s="1062">
        <f t="shared" si="1099"/>
        <v>18021.081980196461</v>
      </c>
      <c r="BO527" s="1363">
        <f t="shared" si="1099"/>
        <v>76945.227230352641</v>
      </c>
      <c r="BP527" s="1363">
        <f t="shared" si="1099"/>
        <v>82383.501285626087</v>
      </c>
      <c r="BQ527" s="1363">
        <f t="shared" si="1099"/>
        <v>85620.50696922098</v>
      </c>
      <c r="BR527" s="1363">
        <f t="shared" si="1099"/>
        <v>88984.599656591992</v>
      </c>
      <c r="BS527" s="648"/>
    </row>
    <row r="528" spans="1:71" s="669" customFormat="1" ht="15" hidden="1" outlineLevel="1">
      <c r="A528" s="542" t="s">
        <v>558</v>
      </c>
      <c r="B528" s="425"/>
      <c r="C528" s="1333"/>
      <c r="D528" s="1429">
        <f>D527/C527-1</f>
        <v>0.064032004439922074</v>
      </c>
      <c r="E528" s="1429">
        <f>E527/D527-1</f>
        <v>0.040575489535566112</v>
      </c>
      <c r="F528" s="1429">
        <f>F527/E527-1</f>
        <v>0.083883319409635337</v>
      </c>
      <c r="G528" s="1429">
        <f>G527/F527-1</f>
        <v>0.042462858647688506</v>
      </c>
      <c r="H528" s="201"/>
      <c r="I528" s="201"/>
      <c r="J528" s="201"/>
      <c r="K528" s="201"/>
      <c r="L528" s="1429">
        <f t="shared" si="1100" ref="L528:AU528">L527/G527-1</f>
        <v>0.067245841035120435</v>
      </c>
      <c r="M528" s="507">
        <f t="shared" si="1100"/>
        <v>0.09069959247040571</v>
      </c>
      <c r="N528" s="507">
        <f t="shared" si="1100"/>
        <v>0.12258684994487568</v>
      </c>
      <c r="O528" s="507">
        <f t="shared" si="1100"/>
        <v>0.13451965573389169</v>
      </c>
      <c r="P528" s="507">
        <f t="shared" si="1100"/>
        <v>0.048480665962173042</v>
      </c>
      <c r="Q528" s="1429">
        <f t="shared" si="1100"/>
        <v>0.098121398963132211</v>
      </c>
      <c r="R528" s="507">
        <f t="shared" si="1100"/>
        <v>0.12294553299379496</v>
      </c>
      <c r="S528" s="507">
        <f t="shared" si="1100"/>
        <v>0.14915268403786275</v>
      </c>
      <c r="T528" s="507">
        <f t="shared" si="1100"/>
        <v>0.16164681278576243</v>
      </c>
      <c r="U528" s="507">
        <f t="shared" si="1100"/>
        <v>0.14951560153855614</v>
      </c>
      <c r="V528" s="1429">
        <f t="shared" si="1100"/>
        <v>0.14625414016087479</v>
      </c>
      <c r="W528" s="507">
        <f t="shared" si="1100"/>
        <v>0.089441682676120404</v>
      </c>
      <c r="X528" s="507">
        <f t="shared" si="1100"/>
        <v>0.093026638785344007</v>
      </c>
      <c r="Y528" s="507">
        <f t="shared" si="1100"/>
        <v>0.14820763542016002</v>
      </c>
      <c r="Z528" s="507">
        <f t="shared" si="1100"/>
        <v>0.13990981641198164</v>
      </c>
      <c r="AA528" s="1429">
        <f t="shared" si="1100"/>
        <v>0.11855303652266458</v>
      </c>
      <c r="AB528" s="507">
        <f t="shared" si="1100"/>
        <v>0.16196120493755339</v>
      </c>
      <c r="AC528" s="507">
        <f t="shared" si="1100"/>
        <v>0.16902064513982484</v>
      </c>
      <c r="AD528" s="507">
        <f t="shared" si="1100"/>
        <v>0.1246349186829403</v>
      </c>
      <c r="AE528" s="507">
        <f t="shared" si="1100"/>
        <v>0.2035319048740285</v>
      </c>
      <c r="AF528" s="1429">
        <f t="shared" si="1100"/>
        <v>0.16460346814172722</v>
      </c>
      <c r="AG528" s="507">
        <f t="shared" si="1100"/>
        <v>0.17313348770260983</v>
      </c>
      <c r="AH528" s="507">
        <f t="shared" si="1100"/>
        <v>0.14425580965120766</v>
      </c>
      <c r="AI528" s="507">
        <f t="shared" si="1100"/>
        <v>0.14990022142642334</v>
      </c>
      <c r="AJ528" s="507">
        <f t="shared" si="1100"/>
        <v>0.21096633668531761</v>
      </c>
      <c r="AK528" s="1429">
        <f t="shared" si="1100"/>
        <v>0.17021688613477926</v>
      </c>
      <c r="AL528" s="507">
        <f t="shared" si="1100"/>
        <v>0.094102584620308738</v>
      </c>
      <c r="AM528" s="507">
        <f t="shared" si="1100"/>
        <v>-0.056835140782011906</v>
      </c>
      <c r="AN528" s="507">
        <f t="shared" si="1100"/>
        <v>0.083027255761984664</v>
      </c>
      <c r="AO528" s="507">
        <f t="shared" si="1100"/>
        <v>-0.044579195657324822</v>
      </c>
      <c r="AP528" s="1429">
        <f t="shared" si="1100"/>
        <v>0.016042603763934071</v>
      </c>
      <c r="AQ528" s="507">
        <f t="shared" si="1100"/>
        <v>0.13869182573929173</v>
      </c>
      <c r="AR528" s="507">
        <f t="shared" si="1100"/>
        <v>0.4113109522930456</v>
      </c>
      <c r="AS528" s="507">
        <f t="shared" si="1100"/>
        <v>0.30602322365388424</v>
      </c>
      <c r="AT528" s="507">
        <f t="shared" si="1100"/>
        <v>0.2462827059871262</v>
      </c>
      <c r="AU528" s="1429">
        <f t="shared" si="1100"/>
        <v>0.2733249036858485</v>
      </c>
      <c r="AV528" s="507">
        <f t="shared" si="1101" ref="AV528:AZ528">AV527/AQ527-1</f>
        <v>0.19222617110559215</v>
      </c>
      <c r="AW528" s="507">
        <f t="shared" si="1101"/>
        <v>0.1237024787211185</v>
      </c>
      <c r="AX528" s="507">
        <f t="shared" si="1101"/>
        <v>0.053690429170483167</v>
      </c>
      <c r="AY528" s="507">
        <f t="shared" si="1101"/>
        <v>0.11274128480199685</v>
      </c>
      <c r="AZ528" s="1429">
        <f t="shared" si="1101"/>
        <v>0.11639589021344277</v>
      </c>
      <c r="BA528" s="507">
        <f t="shared" si="1102" ref="BA528:BO528">BA527/AV527-1</f>
        <v>0.22088836612105278</v>
      </c>
      <c r="BB528" s="507">
        <f t="shared" si="1102"/>
        <v>0.24404885633278162</v>
      </c>
      <c r="BC528" s="507">
        <f t="shared" si="1102"/>
        <v>0.12570781426953581</v>
      </c>
      <c r="BD528" s="507">
        <f t="shared" si="1102"/>
        <v>0.16573184412037278</v>
      </c>
      <c r="BE528" s="1429">
        <f t="shared" si="1102"/>
        <v>0.18769581375195821</v>
      </c>
      <c r="BF528" s="507">
        <f>BF527/BA527-1</f>
        <v>0.044206980746319235</v>
      </c>
      <c r="BG528" s="507">
        <f>BG527/BB527-1</f>
        <v>0.078570807964016387</v>
      </c>
      <c r="BH528" s="830">
        <f>BH527/BC527-1</f>
        <v>0.1819721143763986</v>
      </c>
      <c r="BI528" s="201">
        <f t="shared" si="1102"/>
        <v>0.1473289350838618</v>
      </c>
      <c r="BJ528" s="1333">
        <f t="shared" si="1102"/>
        <v>0.11326798210410249</v>
      </c>
      <c r="BK528" s="201">
        <f t="shared" si="1102"/>
        <v>0.41067586958302904</v>
      </c>
      <c r="BL528" s="201">
        <f t="shared" si="1102"/>
        <v>0.16765914202119947</v>
      </c>
      <c r="BM528" s="201">
        <f t="shared" si="1102"/>
        <v>0.20186638422000636</v>
      </c>
      <c r="BN528" s="201">
        <f t="shared" si="1102"/>
        <v>0.095281100067069469</v>
      </c>
      <c r="BO528" s="1333">
        <f t="shared" si="1102"/>
        <v>0.21224967771138314</v>
      </c>
      <c r="BP528" s="1333">
        <f>BP527/BO527-1</f>
        <v>0.070677210933340451</v>
      </c>
      <c r="BQ528" s="1333">
        <f>BQ527/BP527-1</f>
        <v>0.039291916865394017</v>
      </c>
      <c r="BR528" s="1333">
        <f>BR527/BQ527-1</f>
        <v>0.039290735437718771</v>
      </c>
      <c r="BS528" s="648"/>
    </row>
    <row r="529" spans="1:71" s="679" customFormat="1" ht="15" hidden="1" outlineLevel="1">
      <c r="A529" s="576" t="s">
        <v>332</v>
      </c>
      <c r="B529" s="400"/>
      <c r="C529" s="1386">
        <f t="shared" si="1103" ref="C529:AH529">C527/C$501</f>
        <v>0.92581068737154604</v>
      </c>
      <c r="D529" s="1339">
        <f t="shared" si="1103"/>
        <v>0.96430966552099906</v>
      </c>
      <c r="E529" s="1339">
        <f t="shared" si="1103"/>
        <v>0.9638457202673324</v>
      </c>
      <c r="F529" s="1339">
        <f t="shared" si="1103"/>
        <v>0.97196279185915868</v>
      </c>
      <c r="G529" s="1339">
        <f t="shared" si="1103"/>
        <v>0.94893413005601202</v>
      </c>
      <c r="H529" s="381">
        <f t="shared" si="1103"/>
        <v>0.93641959884605785</v>
      </c>
      <c r="I529" s="381">
        <f t="shared" si="1103"/>
        <v>0.94452198958679523</v>
      </c>
      <c r="J529" s="381">
        <f t="shared" si="1103"/>
        <v>0.94689544283165561</v>
      </c>
      <c r="K529" s="381">
        <f t="shared" si="1103"/>
        <v>0.93814996155869401</v>
      </c>
      <c r="L529" s="1339">
        <f t="shared" si="1103"/>
        <v>0.94145718400956613</v>
      </c>
      <c r="M529" s="381">
        <f t="shared" si="1103"/>
        <v>0.96356856610162245</v>
      </c>
      <c r="N529" s="381">
        <f t="shared" si="1103"/>
        <v>0.95794467352576151</v>
      </c>
      <c r="O529" s="381">
        <f t="shared" si="1103"/>
        <v>0.96187827870468978</v>
      </c>
      <c r="P529" s="381">
        <f t="shared" si="1103"/>
        <v>0.9410227624651597</v>
      </c>
      <c r="Q529" s="1339">
        <f t="shared" si="1103"/>
        <v>0.95587237613761433</v>
      </c>
      <c r="R529" s="381">
        <f t="shared" si="1103"/>
        <v>0.94954300974160299</v>
      </c>
      <c r="S529" s="381">
        <f t="shared" si="1103"/>
        <v>0.98879859038440787</v>
      </c>
      <c r="T529" s="381">
        <f t="shared" si="1103"/>
        <v>0.98991857986511522</v>
      </c>
      <c r="U529" s="381">
        <f t="shared" si="1103"/>
        <v>0.9518343154954525</v>
      </c>
      <c r="V529" s="1339">
        <f t="shared" si="1103"/>
        <v>0.97013882708908061</v>
      </c>
      <c r="W529" s="381">
        <f t="shared" si="1103"/>
        <v>0.91272172167189336</v>
      </c>
      <c r="X529" s="381">
        <f t="shared" si="1103"/>
        <v>0.9521327990116103</v>
      </c>
      <c r="Y529" s="381">
        <f t="shared" si="1103"/>
        <v>0.99410146699266511</v>
      </c>
      <c r="Z529" s="381">
        <f t="shared" si="1103"/>
        <v>0.93055697570808815</v>
      </c>
      <c r="AA529" s="1339">
        <f t="shared" si="1103"/>
        <v>0.94783500907504492</v>
      </c>
      <c r="AB529" s="381">
        <f t="shared" si="1103"/>
        <v>0.89093950376359055</v>
      </c>
      <c r="AC529" s="381">
        <f t="shared" si="1103"/>
        <v>0.92047627780252028</v>
      </c>
      <c r="AD529" s="381">
        <f t="shared" si="1103"/>
        <v>0.92253956244877378</v>
      </c>
      <c r="AE529" s="381">
        <f t="shared" si="1103"/>
        <v>0.93562834061455091</v>
      </c>
      <c r="AF529" s="1339">
        <f t="shared" si="1103"/>
        <v>0.91816909285462578</v>
      </c>
      <c r="AG529" s="381">
        <f t="shared" si="1103"/>
        <v>0.88633301023664868</v>
      </c>
      <c r="AH529" s="381">
        <f t="shared" si="1103"/>
        <v>0.91116978480854882</v>
      </c>
      <c r="AI529" s="381">
        <f t="shared" si="1104" ref="AI529:AU529">AI527/AI$501</f>
        <v>0.93350125385588434</v>
      </c>
      <c r="AJ529" s="381">
        <f t="shared" si="1104"/>
        <v>0.93824590478692749</v>
      </c>
      <c r="AK529" s="1339">
        <f t="shared" si="1104"/>
        <v>0.91832815729269124</v>
      </c>
      <c r="AL529" s="381">
        <f t="shared" si="1104"/>
        <v>0.86990361266926086</v>
      </c>
      <c r="AM529" s="381">
        <f t="shared" si="1104"/>
        <v>0.78600004145679159</v>
      </c>
      <c r="AN529" s="381">
        <f t="shared" si="1104"/>
        <v>0.91356093648167658</v>
      </c>
      <c r="AO529" s="381">
        <f t="shared" si="1104"/>
        <v>0.86892680824386803</v>
      </c>
      <c r="AP529" s="1339">
        <f t="shared" si="1104"/>
        <v>0.86012032112802328</v>
      </c>
      <c r="AQ529" s="381">
        <f t="shared" si="1104"/>
        <v>0.89648951075795102</v>
      </c>
      <c r="AR529" s="381">
        <f t="shared" si="1104"/>
        <v>0.97457727434144026</v>
      </c>
      <c r="AS529" s="381">
        <f t="shared" si="1104"/>
        <v>1.047066380402647</v>
      </c>
      <c r="AT529" s="381">
        <f t="shared" si="1104"/>
        <v>0.95293671453445294</v>
      </c>
      <c r="AU529" s="1339">
        <f t="shared" si="1104"/>
        <v>0.96914716906287535</v>
      </c>
      <c r="AV529" s="381">
        <f t="shared" si="1105" ref="AV529:AZ529">AV527/AV$501</f>
        <v>0.9436070796160263</v>
      </c>
      <c r="AW529" s="381">
        <f t="shared" si="1105"/>
        <v>0.99005589443442921</v>
      </c>
      <c r="AX529" s="381">
        <f t="shared" si="1105"/>
        <v>1.0112671285355959</v>
      </c>
      <c r="AY529" s="381">
        <f t="shared" si="1105"/>
        <v>0.95425668075863912</v>
      </c>
      <c r="AZ529" s="1339">
        <f t="shared" si="1105"/>
        <v>0.97489094498103213</v>
      </c>
      <c r="BA529" s="381">
        <f t="shared" si="1106" ref="BA529:BR529">BA527/BA$501</f>
        <v>1.0047513134462909</v>
      </c>
      <c r="BB529" s="381">
        <f t="shared" si="1106"/>
        <v>1.0344224440695777</v>
      </c>
      <c r="BC529" s="381">
        <f t="shared" si="1106"/>
        <v>0.94766454281167978</v>
      </c>
      <c r="BD529" s="381">
        <f t="shared" si="1106"/>
        <v>0.90920964203745702</v>
      </c>
      <c r="BE529" s="1339">
        <f t="shared" si="1106"/>
        <v>0.97188584558948865</v>
      </c>
      <c r="BF529" s="381">
        <f>BF527/BF$501</f>
        <v>0.87924030566117184</v>
      </c>
      <c r="BG529" s="381">
        <f>BG527/BG$501</f>
        <v>0.93773206659112684</v>
      </c>
      <c r="BH529" s="813">
        <f>BH527/BH$501</f>
        <v>0.91182016429192103</v>
      </c>
      <c r="BI529" s="381">
        <f t="shared" si="1106"/>
        <v>0.93701821092717708</v>
      </c>
      <c r="BJ529" s="1339">
        <f t="shared" si="1106"/>
        <v>0.91705424042414208</v>
      </c>
      <c r="BK529" s="381">
        <f t="shared" si="1106"/>
        <v>0.93412182200493976</v>
      </c>
      <c r="BL529" s="381">
        <f t="shared" si="1106"/>
        <v>0.9573221636893734</v>
      </c>
      <c r="BM529" s="381">
        <f t="shared" si="1106"/>
        <v>0.95421127366176139</v>
      </c>
      <c r="BN529" s="381">
        <f t="shared" si="1106"/>
        <v>0.91110551449142729</v>
      </c>
      <c r="BO529" s="1339">
        <f t="shared" si="1106"/>
        <v>0.93929238864844189</v>
      </c>
      <c r="BP529" s="1339">
        <f t="shared" si="1106"/>
        <v>0.93891872144575983</v>
      </c>
      <c r="BQ529" s="1339">
        <f t="shared" si="1106"/>
        <v>0.93791872144575983</v>
      </c>
      <c r="BR529" s="1339">
        <f t="shared" si="1106"/>
        <v>0.93691872144575994</v>
      </c>
      <c r="BS529" s="648"/>
    </row>
    <row r="530" spans="1:71" s="673" customFormat="1" ht="15" hidden="1" outlineLevel="1">
      <c r="A530" s="948" t="s">
        <v>559</v>
      </c>
      <c r="B530" s="508"/>
      <c r="C530" s="1334"/>
      <c r="D530" s="1335">
        <f>(C529-D529)*10000</f>
        <v>-384.98978149453023</v>
      </c>
      <c r="E530" s="1335">
        <f>(D529-E529)*10000</f>
        <v>4.6394525366666439</v>
      </c>
      <c r="F530" s="1335">
        <f>(E529-F529)*10000</f>
        <v>-81.170715918262857</v>
      </c>
      <c r="G530" s="1335">
        <f>(F529-G529)*10000</f>
        <v>230.28661803146667</v>
      </c>
      <c r="H530" s="945"/>
      <c r="I530" s="945"/>
      <c r="J530" s="945"/>
      <c r="K530" s="945"/>
      <c r="L530" s="1335">
        <f t="shared" si="1107" ref="L530:AU530">(G529-L529)*10000</f>
        <v>74.769460464458874</v>
      </c>
      <c r="M530" s="945">
        <f t="shared" si="1107"/>
        <v>-271.48967255564594</v>
      </c>
      <c r="N530" s="945">
        <f t="shared" si="1107"/>
        <v>-134.22683938966284</v>
      </c>
      <c r="O530" s="945">
        <f t="shared" si="1107"/>
        <v>-149.82835873034173</v>
      </c>
      <c r="P530" s="945">
        <f t="shared" si="1107"/>
        <v>-28.728009064656888</v>
      </c>
      <c r="Q530" s="1335">
        <f t="shared" si="1107"/>
        <v>-144.15192128048204</v>
      </c>
      <c r="R530" s="945">
        <f t="shared" si="1107"/>
        <v>140.25556360019453</v>
      </c>
      <c r="S530" s="945">
        <f t="shared" si="1107"/>
        <v>-308.53916858646357</v>
      </c>
      <c r="T530" s="945">
        <f t="shared" si="1107"/>
        <v>-280.4030116042544</v>
      </c>
      <c r="U530" s="945">
        <f t="shared" si="1107"/>
        <v>-108.11553030292798</v>
      </c>
      <c r="V530" s="1335">
        <f t="shared" si="1107"/>
        <v>-142.6645095146628</v>
      </c>
      <c r="W530" s="945">
        <f t="shared" si="1107"/>
        <v>368.21288069709635</v>
      </c>
      <c r="X530" s="945">
        <f t="shared" si="1107"/>
        <v>366.65791372797571</v>
      </c>
      <c r="Y530" s="945">
        <f t="shared" si="1107"/>
        <v>-41.828871275498834</v>
      </c>
      <c r="Z530" s="945">
        <f t="shared" si="1107"/>
        <v>212.77339787364346</v>
      </c>
      <c r="AA530" s="1335">
        <f t="shared" si="1107"/>
        <v>223.03818014035693</v>
      </c>
      <c r="AB530" s="945">
        <f t="shared" si="1107"/>
        <v>217.82217908302815</v>
      </c>
      <c r="AC530" s="945">
        <f t="shared" si="1107"/>
        <v>316.56521209090016</v>
      </c>
      <c r="AD530" s="945">
        <f t="shared" si="1107"/>
        <v>715.6190454389133</v>
      </c>
      <c r="AE530" s="945">
        <f t="shared" si="1107"/>
        <v>-50.71364906462761</v>
      </c>
      <c r="AF530" s="1335">
        <f t="shared" si="1107"/>
        <v>296.65916220419143</v>
      </c>
      <c r="AG530" s="945">
        <f t="shared" si="1107"/>
        <v>46.064935269418683</v>
      </c>
      <c r="AH530" s="945">
        <f t="shared" si="1107"/>
        <v>93.064929939714602</v>
      </c>
      <c r="AI530" s="945">
        <f t="shared" si="1107"/>
        <v>-109.61691407110563</v>
      </c>
      <c r="AJ530" s="945">
        <f t="shared" si="1107"/>
        <v>-26.175641723765743</v>
      </c>
      <c r="AK530" s="1335">
        <f t="shared" si="1107"/>
        <v>-1.5906443806545933</v>
      </c>
      <c r="AL530" s="945">
        <f t="shared" si="1107"/>
        <v>164.29397567387815</v>
      </c>
      <c r="AM530" s="945">
        <f t="shared" si="1107"/>
        <v>1251.6974335175723</v>
      </c>
      <c r="AN530" s="945">
        <f t="shared" si="1107"/>
        <v>199.4031737420776</v>
      </c>
      <c r="AO530" s="945">
        <f t="shared" si="1107"/>
        <v>693.19096543059459</v>
      </c>
      <c r="AP530" s="1335">
        <f t="shared" si="1107"/>
        <v>582.07836164667958</v>
      </c>
      <c r="AQ530" s="945">
        <f t="shared" si="1107"/>
        <v>-265.85898088690163</v>
      </c>
      <c r="AR530" s="945">
        <f t="shared" si="1107"/>
        <v>-1885.7723288464867</v>
      </c>
      <c r="AS530" s="945">
        <f t="shared" si="1107"/>
        <v>-1335.054439209704</v>
      </c>
      <c r="AT530" s="945">
        <f t="shared" si="1107"/>
        <v>-840.09906290584911</v>
      </c>
      <c r="AU530" s="1335">
        <f t="shared" si="1107"/>
        <v>-1090.2684793485207</v>
      </c>
      <c r="AV530" s="945">
        <f t="shared" si="1108" ref="AV530:AZ530">(AQ529-AV529)*10000</f>
        <v>-471.17568858075276</v>
      </c>
      <c r="AW530" s="945">
        <f t="shared" si="1108"/>
        <v>-154.78620092988947</v>
      </c>
      <c r="AX530" s="945">
        <f t="shared" si="1108"/>
        <v>357.99251867051129</v>
      </c>
      <c r="AY530" s="945">
        <f t="shared" si="1108"/>
        <v>-13.199662241861754</v>
      </c>
      <c r="AZ530" s="1335">
        <f t="shared" si="1108"/>
        <v>-57.437759181567792</v>
      </c>
      <c r="BA530" s="945">
        <f t="shared" si="1109" ref="BA530:BO530">(AV529-BA529)*10000</f>
        <v>-611.44233830264568</v>
      </c>
      <c r="BB530" s="945">
        <f t="shared" si="1109"/>
        <v>-443.66549635148522</v>
      </c>
      <c r="BC530" s="945">
        <f t="shared" si="1109"/>
        <v>636.02585723916081</v>
      </c>
      <c r="BD530" s="945">
        <f t="shared" si="1109"/>
        <v>450.47038721182099</v>
      </c>
      <c r="BE530" s="1335">
        <f t="shared" si="1109"/>
        <v>30.050993915434752</v>
      </c>
      <c r="BF530" s="945">
        <f>(BA529-BF529)*10000</f>
        <v>1255.1100778511902</v>
      </c>
      <c r="BG530" s="945">
        <f>(BB529-BG529)*10000</f>
        <v>966.90377478450887</v>
      </c>
      <c r="BH530" s="446">
        <f>(BC529-BH529)*10000</f>
        <v>358.44378519758749</v>
      </c>
      <c r="BI530" s="945">
        <f t="shared" si="1109"/>
        <v>-278.08568889720055</v>
      </c>
      <c r="BJ530" s="1335">
        <f t="shared" si="1109"/>
        <v>548.31605165346571</v>
      </c>
      <c r="BK530" s="945">
        <f t="shared" si="1109"/>
        <v>-548.81516343767919</v>
      </c>
      <c r="BL530" s="945">
        <f t="shared" si="1109"/>
        <v>-195.90097098246551</v>
      </c>
      <c r="BM530" s="945">
        <f t="shared" si="1109"/>
        <v>-423.91109369840365</v>
      </c>
      <c r="BN530" s="945">
        <f t="shared" si="1109"/>
        <v>259.1269643574978</v>
      </c>
      <c r="BO530" s="1335">
        <f t="shared" si="1109"/>
        <v>-222.38148224299815</v>
      </c>
      <c r="BP530" s="1335">
        <f>((BO529-BP529)*10000)</f>
        <v>3.7366720268205977</v>
      </c>
      <c r="BQ530" s="1335">
        <f>((BP529-BQ529)*10000)</f>
        <v>10.000000000000009</v>
      </c>
      <c r="BR530" s="1335">
        <f>((BQ529-BR529)*10000)</f>
        <v>9.9999999999988987</v>
      </c>
      <c r="BS530" s="648"/>
    </row>
    <row r="531" spans="1:71" s="669" customFormat="1" ht="7.5" customHeight="1" hidden="1" outlineLevel="1">
      <c r="A531" s="487"/>
      <c r="B531" s="108"/>
      <c r="C531" s="1325"/>
      <c r="D531" s="1325"/>
      <c r="E531" s="1325"/>
      <c r="F531" s="1325"/>
      <c r="G531" s="1325"/>
      <c r="H531" s="726"/>
      <c r="I531" s="726"/>
      <c r="J531" s="726"/>
      <c r="K531" s="726"/>
      <c r="L531" s="1325"/>
      <c r="M531" s="726"/>
      <c r="N531" s="726"/>
      <c r="O531" s="726"/>
      <c r="P531" s="726"/>
      <c r="Q531" s="1325"/>
      <c r="R531" s="726"/>
      <c r="S531" s="726"/>
      <c r="T531" s="726"/>
      <c r="U531" s="726"/>
      <c r="V531" s="1325"/>
      <c r="W531" s="726"/>
      <c r="X531" s="726"/>
      <c r="Y531" s="726"/>
      <c r="Z531" s="726"/>
      <c r="AA531" s="1325"/>
      <c r="AB531" s="726"/>
      <c r="AC531" s="726"/>
      <c r="AD531" s="726"/>
      <c r="AE531" s="726"/>
      <c r="AF531" s="1325"/>
      <c r="AG531" s="726"/>
      <c r="AH531" s="726"/>
      <c r="AI531" s="726"/>
      <c r="AJ531" s="726"/>
      <c r="AK531" s="1325"/>
      <c r="AL531" s="726"/>
      <c r="AM531" s="726"/>
      <c r="AN531" s="726"/>
      <c r="AO531" s="726"/>
      <c r="AP531" s="1325"/>
      <c r="AQ531" s="726"/>
      <c r="AR531" s="726"/>
      <c r="AS531" s="726"/>
      <c r="AT531" s="726"/>
      <c r="AU531" s="1325"/>
      <c r="AV531" s="726"/>
      <c r="AW531" s="726"/>
      <c r="AX531" s="726"/>
      <c r="AY531" s="726"/>
      <c r="AZ531" s="1325"/>
      <c r="BA531" s="726"/>
      <c r="BB531" s="726"/>
      <c r="BC531" s="726"/>
      <c r="BD531" s="726"/>
      <c r="BE531" s="1325"/>
      <c r="BF531" s="726"/>
      <c r="BG531" s="726"/>
      <c r="BH531" s="808"/>
      <c r="BI531" s="98"/>
      <c r="BJ531" s="1326"/>
      <c r="BK531" s="98"/>
      <c r="BL531" s="98"/>
      <c r="BM531" s="98"/>
      <c r="BN531" s="98"/>
      <c r="BO531" s="1326"/>
      <c r="BP531" s="1325"/>
      <c r="BQ531" s="1325"/>
      <c r="BR531" s="1326"/>
      <c r="BS531" s="648"/>
    </row>
    <row r="532" spans="1:71" s="668" customFormat="1" ht="15" collapsed="1">
      <c r="A532" s="287" t="s">
        <v>18</v>
      </c>
      <c r="B532" s="393"/>
      <c r="C532" s="1348">
        <f t="shared" si="1110" ref="C532:AH532">C508+C511+C516+C521</f>
        <v>12837.20</v>
      </c>
      <c r="D532" s="1348">
        <f t="shared" si="1110"/>
        <v>13483.499999999998</v>
      </c>
      <c r="E532" s="1348">
        <f t="shared" si="1110"/>
        <v>14122</v>
      </c>
      <c r="F532" s="1348">
        <f t="shared" si="1110"/>
        <v>15590.900000000001</v>
      </c>
      <c r="G532" s="1348">
        <f t="shared" si="1110"/>
        <v>16275.099999999999</v>
      </c>
      <c r="H532" s="1039">
        <f t="shared" si="1110"/>
        <v>4185.30</v>
      </c>
      <c r="I532" s="1039">
        <f t="shared" si="1110"/>
        <v>4255.6000000000004</v>
      </c>
      <c r="J532" s="1039">
        <f t="shared" si="1110"/>
        <v>4276.20</v>
      </c>
      <c r="K532" s="1039">
        <f t="shared" si="1110"/>
        <v>4580.2000000000016</v>
      </c>
      <c r="L532" s="1348">
        <f t="shared" si="1110"/>
        <v>17297.299999999999</v>
      </c>
      <c r="M532" s="1039">
        <f t="shared" si="1110"/>
        <v>4398.3999999999996</v>
      </c>
      <c r="N532" s="1039">
        <f t="shared" si="1110"/>
        <v>4696.8999999999996</v>
      </c>
      <c r="O532" s="1039">
        <f t="shared" si="1110"/>
        <v>4785</v>
      </c>
      <c r="P532" s="1039">
        <f t="shared" si="1110"/>
        <v>4825.6000000000013</v>
      </c>
      <c r="Q532" s="1348">
        <f t="shared" si="1110"/>
        <v>18705.899999999998</v>
      </c>
      <c r="R532" s="1039">
        <f t="shared" si="1110"/>
        <v>5109.50</v>
      </c>
      <c r="S532" s="1039">
        <f t="shared" si="1110"/>
        <v>5468.70</v>
      </c>
      <c r="T532" s="1039">
        <f t="shared" si="1110"/>
        <v>5613.20</v>
      </c>
      <c r="U532" s="1039">
        <f t="shared" si="1110"/>
        <v>5524</v>
      </c>
      <c r="V532" s="1348">
        <f t="shared" si="1110"/>
        <v>21715.399999999998</v>
      </c>
      <c r="W532" s="1039">
        <f t="shared" si="1110"/>
        <v>5611.90</v>
      </c>
      <c r="X532" s="1039">
        <f t="shared" si="1110"/>
        <v>5974.10</v>
      </c>
      <c r="Y532" s="1039">
        <f t="shared" si="1110"/>
        <v>6468.30</v>
      </c>
      <c r="Z532" s="1039">
        <f t="shared" si="1110"/>
        <v>6359.3000000000011</v>
      </c>
      <c r="AA532" s="1348">
        <f t="shared" si="1110"/>
        <v>24413.60</v>
      </c>
      <c r="AB532" s="1039">
        <f t="shared" si="1110"/>
        <v>6447.20</v>
      </c>
      <c r="AC532" s="1039">
        <f t="shared" si="1110"/>
        <v>7053</v>
      </c>
      <c r="AD532" s="1039">
        <f t="shared" si="1110"/>
        <v>7281.7000000000007</v>
      </c>
      <c r="AE532" s="1039">
        <f t="shared" si="1110"/>
        <v>7708.60</v>
      </c>
      <c r="AF532" s="1348">
        <f t="shared" si="1110"/>
        <v>28490.50</v>
      </c>
      <c r="AG532" s="1039">
        <f t="shared" si="1110"/>
        <v>7640.80</v>
      </c>
      <c r="AH532" s="1039">
        <f t="shared" si="1110"/>
        <v>8108.2000000000007</v>
      </c>
      <c r="AI532" s="1039">
        <f t="shared" si="1111" ref="AI532:AU532">AI508+AI511+AI516+AI521</f>
        <v>8418.10</v>
      </c>
      <c r="AJ532" s="1039">
        <f t="shared" si="1111"/>
        <v>9301.6999999999989</v>
      </c>
      <c r="AK532" s="1348">
        <f t="shared" si="1111"/>
        <v>33468.800000000003</v>
      </c>
      <c r="AL532" s="1039">
        <f t="shared" si="1111"/>
        <v>8347.90</v>
      </c>
      <c r="AM532" s="1039">
        <f t="shared" si="1111"/>
        <v>8589.1999999999989</v>
      </c>
      <c r="AN532" s="1039">
        <f t="shared" si="1111"/>
        <v>8908.2000000000007</v>
      </c>
      <c r="AO532" s="1039">
        <f t="shared" si="1111"/>
        <v>9197.1000000000022</v>
      </c>
      <c r="AP532" s="1348">
        <f t="shared" si="1111"/>
        <v>35042.40</v>
      </c>
      <c r="AQ532" s="1039">
        <f t="shared" si="1111"/>
        <v>9466</v>
      </c>
      <c r="AR532" s="1039">
        <f t="shared" si="1111"/>
        <v>10775.699999999999</v>
      </c>
      <c r="AS532" s="1039">
        <f t="shared" si="1111"/>
        <v>11586.60</v>
      </c>
      <c r="AT532" s="1039">
        <f t="shared" si="1111"/>
        <v>11166.80</v>
      </c>
      <c r="AU532" s="1348">
        <f t="shared" si="1111"/>
        <v>42995.099999999999</v>
      </c>
      <c r="AV532" s="1039">
        <f t="shared" si="1112" ref="AV532:AZ532">AV508+AV511+AV516+AV521</f>
        <v>11328.099999999999</v>
      </c>
      <c r="AW532" s="1039">
        <f t="shared" si="1112"/>
        <v>11785.900000000001</v>
      </c>
      <c r="AX532" s="1039">
        <f t="shared" si="1112"/>
        <v>12486</v>
      </c>
      <c r="AY532" s="1039">
        <f t="shared" si="1112"/>
        <v>12299.299999999997</v>
      </c>
      <c r="AZ532" s="1348">
        <f t="shared" si="1112"/>
        <v>47899.299999999996</v>
      </c>
      <c r="BA532" s="1039">
        <f t="shared" si="1113" ref="BA532:BI532">BA508+BA511+BA516+BA521</f>
        <v>13597.699999999999</v>
      </c>
      <c r="BB532" s="1039">
        <f t="shared" si="1113"/>
        <v>14755.399999999998</v>
      </c>
      <c r="BC532" s="1039">
        <f t="shared" si="1113"/>
        <v>13981.80</v>
      </c>
      <c r="BD532" s="1039">
        <f t="shared" si="1113"/>
        <v>14226.299999999999</v>
      </c>
      <c r="BE532" s="1348">
        <f t="shared" si="1113"/>
        <v>56561.199999999997</v>
      </c>
      <c r="BF532" s="1039">
        <f>BF508+BF511+BF516+BF521</f>
        <v>14135.20</v>
      </c>
      <c r="BG532" s="1039">
        <f>BG508+BG511+BG516+BG521</f>
        <v>16082.700000000001</v>
      </c>
      <c r="BH532" s="1040">
        <f>BH508+BH511+BH516+BH521</f>
        <v>16570.399999999994</v>
      </c>
      <c r="BI532" s="1062">
        <f t="shared" si="1113"/>
        <v>16541.181834229377</v>
      </c>
      <c r="BJ532" s="1363">
        <f>SUM(BF532,BG532,BH532,BI532)</f>
        <v>63329.481834229373</v>
      </c>
      <c r="BK532" s="1062">
        <f>BK508+BK511+BK516+BK521</f>
        <v>20136.691554946312</v>
      </c>
      <c r="BL532" s="1062">
        <f>BL508+BL511+BL516+BL521</f>
        <v>18941.984572099791</v>
      </c>
      <c r="BM532" s="1062">
        <f>BM508+BM511+BM516+BM521</f>
        <v>20156.163789040704</v>
      </c>
      <c r="BN532" s="1062">
        <f>BN508+BN511+BN516+BN521</f>
        <v>18119.978769281617</v>
      </c>
      <c r="BO532" s="1363">
        <f>SUM(BK532,BL532,BM532,BN532)</f>
        <v>77354.818685368416</v>
      </c>
      <c r="BP532" s="1363">
        <f>BP508+BP511+BP516+BP521</f>
        <v>82822.216050833726</v>
      </c>
      <c r="BQ532" s="1363">
        <f>BQ508+BQ511+BQ516+BQ521</f>
        <v>86076.945810942998</v>
      </c>
      <c r="BR532" s="1363">
        <f>BR508+BR511+BR516+BR521</f>
        <v>89459.47862751958</v>
      </c>
      <c r="BS532" s="648"/>
    </row>
    <row r="533" spans="1:71" s="669" customFormat="1" ht="15">
      <c r="A533" s="362" t="s">
        <v>560</v>
      </c>
      <c r="B533" s="425"/>
      <c r="C533" s="1333"/>
      <c r="D533" s="1429">
        <f>D532/C532-1</f>
        <v>0.050345869815847433</v>
      </c>
      <c r="E533" s="1429">
        <f>E532/D532-1</f>
        <v>0.047354173619609252</v>
      </c>
      <c r="F533" s="1429">
        <f>F532/E532-1</f>
        <v>0.10401501203795505</v>
      </c>
      <c r="G533" s="1429">
        <f>G532/F532-1</f>
        <v>0.043884573693628859</v>
      </c>
      <c r="H533" s="201"/>
      <c r="I533" s="201"/>
      <c r="J533" s="201"/>
      <c r="K533" s="201"/>
      <c r="L533" s="1429">
        <f t="shared" si="1114" ref="L533:AU533">L532/G532-1</f>
        <v>0.062807601796609491</v>
      </c>
      <c r="M533" s="507">
        <f t="shared" si="1114"/>
        <v>0.050916302296131644</v>
      </c>
      <c r="N533" s="507">
        <f t="shared" si="1114"/>
        <v>0.10369865588871119</v>
      </c>
      <c r="O533" s="507">
        <f t="shared" si="1114"/>
        <v>0.11898414480145925</v>
      </c>
      <c r="P533" s="507">
        <f t="shared" si="1114"/>
        <v>0.053578446356054243</v>
      </c>
      <c r="Q533" s="1429">
        <f t="shared" si="1114"/>
        <v>0.081434674775831883</v>
      </c>
      <c r="R533" s="507">
        <f t="shared" si="1114"/>
        <v>0.16167242633684986</v>
      </c>
      <c r="S533" s="507">
        <f t="shared" si="1114"/>
        <v>0.16432114799122832</v>
      </c>
      <c r="T533" s="507">
        <f t="shared" si="1114"/>
        <v>0.17308254963427383</v>
      </c>
      <c r="U533" s="507">
        <f t="shared" si="1114"/>
        <v>0.14472811671087493</v>
      </c>
      <c r="V533" s="1429">
        <f t="shared" si="1114"/>
        <v>0.16088506834741989</v>
      </c>
      <c r="W533" s="507">
        <f t="shared" si="1114"/>
        <v>0.098326646442900456</v>
      </c>
      <c r="X533" s="507">
        <f t="shared" si="1114"/>
        <v>0.092416844954011035</v>
      </c>
      <c r="Y533" s="507">
        <f t="shared" si="1114"/>
        <v>0.15233734768046747</v>
      </c>
      <c r="Z533" s="507">
        <f t="shared" si="1114"/>
        <v>0.15121288921071696</v>
      </c>
      <c r="AA533" s="1429">
        <f t="shared" si="1114"/>
        <v>0.12425283439402479</v>
      </c>
      <c r="AB533" s="507">
        <f t="shared" si="1114"/>
        <v>0.14884441989344066</v>
      </c>
      <c r="AC533" s="507">
        <f t="shared" si="1114"/>
        <v>0.18059624043789024</v>
      </c>
      <c r="AD533" s="507">
        <f t="shared" si="1114"/>
        <v>0.12575174311642945</v>
      </c>
      <c r="AE533" s="507">
        <f t="shared" si="1114"/>
        <v>0.2121774409133077</v>
      </c>
      <c r="AF533" s="1429">
        <f t="shared" si="1114"/>
        <v>0.16699298751515546</v>
      </c>
      <c r="AG533" s="507">
        <f t="shared" si="1114"/>
        <v>0.18513463208834846</v>
      </c>
      <c r="AH533" s="507">
        <f t="shared" si="1114"/>
        <v>0.14961009499503763</v>
      </c>
      <c r="AI533" s="507">
        <f t="shared" si="1114"/>
        <v>0.15606245794251339</v>
      </c>
      <c r="AJ533" s="507">
        <f t="shared" si="1114"/>
        <v>0.2066652829307527</v>
      </c>
      <c r="AK533" s="1429">
        <f t="shared" si="1114"/>
        <v>0.17473543812849912</v>
      </c>
      <c r="AL533" s="507">
        <f t="shared" si="1114"/>
        <v>0.092542665689456571</v>
      </c>
      <c r="AM533" s="507">
        <f t="shared" si="1114"/>
        <v>0.059322661009841626</v>
      </c>
      <c r="AN533" s="507">
        <f t="shared" si="1114"/>
        <v>0.058219788313277343</v>
      </c>
      <c r="AO533" s="507">
        <f t="shared" si="1114"/>
        <v>-0.011245256243482049</v>
      </c>
      <c r="AP533" s="1429">
        <f t="shared" si="1114"/>
        <v>0.047016923224017626</v>
      </c>
      <c r="AQ533" s="507">
        <f t="shared" si="1114"/>
        <v>0.13393787659171763</v>
      </c>
      <c r="AR533" s="507">
        <f t="shared" si="1114"/>
        <v>0.25456387090765142</v>
      </c>
      <c r="AS533" s="507">
        <f t="shared" si="1114"/>
        <v>0.3006668013740148</v>
      </c>
      <c r="AT533" s="507">
        <f t="shared" si="1114"/>
        <v>0.21416533472507604</v>
      </c>
      <c r="AU533" s="1429">
        <f t="shared" si="1114"/>
        <v>0.22694507225532479</v>
      </c>
      <c r="AV533" s="507">
        <f t="shared" si="1115" ref="AV533:AZ533">AV532/AQ532-1</f>
        <v>0.19671455736319454</v>
      </c>
      <c r="AW533" s="507">
        <f t="shared" si="1115"/>
        <v>0.093747969969468548</v>
      </c>
      <c r="AX533" s="507">
        <f t="shared" si="1115"/>
        <v>0.07762415203769879</v>
      </c>
      <c r="AY533" s="507">
        <f t="shared" si="1115"/>
        <v>0.10141669950209531</v>
      </c>
      <c r="AZ533" s="1429">
        <f t="shared" si="1115"/>
        <v>0.11406416079971904</v>
      </c>
      <c r="BA533" s="507">
        <f t="shared" si="1116" ref="BA533:BO533">BA532/AV532-1</f>
        <v>0.20035133870640265</v>
      </c>
      <c r="BB533" s="507">
        <f t="shared" si="1116"/>
        <v>0.25195360557954816</v>
      </c>
      <c r="BC533" s="507">
        <f t="shared" si="1116"/>
        <v>0.1197981739548295</v>
      </c>
      <c r="BD533" s="507">
        <f t="shared" si="1116"/>
        <v>0.15667558316326957</v>
      </c>
      <c r="BE533" s="1429">
        <f t="shared" si="1116"/>
        <v>0.18083562807807207</v>
      </c>
      <c r="BF533" s="507">
        <f>BF532/BA532-1</f>
        <v>0.039528743831677593</v>
      </c>
      <c r="BG533" s="507">
        <f>BG532/BB532-1</f>
        <v>0.08995350854602413</v>
      </c>
      <c r="BH533" s="830">
        <f>BH532/BC532-1</f>
        <v>0.18514068288775354</v>
      </c>
      <c r="BI533" s="201">
        <f t="shared" si="1116"/>
        <v>0.16271847453163346</v>
      </c>
      <c r="BJ533" s="1333">
        <f t="shared" si="1116"/>
        <v>0.11966298158860456</v>
      </c>
      <c r="BK533" s="201">
        <f t="shared" si="1116"/>
        <v>0.42457776012693915</v>
      </c>
      <c r="BL533" s="201">
        <f t="shared" si="1116"/>
        <v>0.17778635254651221</v>
      </c>
      <c r="BM533" s="201">
        <f t="shared" si="1116"/>
        <v>0.21639572907357163</v>
      </c>
      <c r="BN533" s="201">
        <f t="shared" si="1116"/>
        <v>0.095446440942035249</v>
      </c>
      <c r="BO533" s="1333">
        <f t="shared" si="1116"/>
        <v>0.22146615517637791</v>
      </c>
      <c r="BP533" s="1333">
        <f>BP532/BO532-1</f>
        <v>0.070679467140932761</v>
      </c>
      <c r="BQ533" s="1333">
        <f>BQ532/BP532-1</f>
        <v>0.039297786455165795</v>
      </c>
      <c r="BR533" s="1333">
        <f>BR532/BQ532-1</f>
        <v>0.039296617517144306</v>
      </c>
      <c r="BS533" s="648"/>
    </row>
    <row r="534" spans="1:71" s="669" customFormat="1" ht="15">
      <c r="A534" s="544"/>
      <c r="B534" s="425"/>
      <c r="C534" s="1333"/>
      <c r="D534" s="1333"/>
      <c r="E534" s="1333"/>
      <c r="F534" s="1333"/>
      <c r="G534" s="1333"/>
      <c r="H534" s="201"/>
      <c r="I534" s="201"/>
      <c r="J534" s="201"/>
      <c r="K534" s="201"/>
      <c r="L534" s="1333"/>
      <c r="M534" s="201"/>
      <c r="N534" s="201"/>
      <c r="O534" s="201"/>
      <c r="P534" s="201"/>
      <c r="Q534" s="1333"/>
      <c r="R534" s="201"/>
      <c r="S534" s="201"/>
      <c r="T534" s="201"/>
      <c r="U534" s="201"/>
      <c r="V534" s="1333"/>
      <c r="W534" s="201"/>
      <c r="X534" s="201"/>
      <c r="Y534" s="201"/>
      <c r="Z534" s="201"/>
      <c r="AA534" s="1333"/>
      <c r="AB534" s="201"/>
      <c r="AC534" s="201"/>
      <c r="AD534" s="201"/>
      <c r="AE534" s="201"/>
      <c r="AF534" s="1333"/>
      <c r="AG534" s="201"/>
      <c r="AH534" s="201"/>
      <c r="AI534" s="201"/>
      <c r="AJ534" s="201"/>
      <c r="AK534" s="1333"/>
      <c r="AL534" s="201"/>
      <c r="AM534" s="201"/>
      <c r="AN534" s="201"/>
      <c r="AO534" s="201"/>
      <c r="AP534" s="1333"/>
      <c r="AQ534" s="201"/>
      <c r="AR534" s="201"/>
      <c r="AS534" s="201"/>
      <c r="AT534" s="201"/>
      <c r="AU534" s="1333"/>
      <c r="AV534" s="201"/>
      <c r="AW534" s="201"/>
      <c r="AX534" s="201"/>
      <c r="AY534" s="201"/>
      <c r="AZ534" s="1333"/>
      <c r="BA534" s="201"/>
      <c r="BB534" s="201"/>
      <c r="BC534" s="201"/>
      <c r="BD534" s="201"/>
      <c r="BE534" s="1333"/>
      <c r="BF534" s="201"/>
      <c r="BG534" s="201"/>
      <c r="BH534" s="824"/>
      <c r="BI534" s="201"/>
      <c r="BJ534" s="1333"/>
      <c r="BK534" s="201"/>
      <c r="BL534" s="201"/>
      <c r="BM534" s="201"/>
      <c r="BN534" s="201"/>
      <c r="BO534" s="1333"/>
      <c r="BP534" s="1333"/>
      <c r="BQ534" s="1333"/>
      <c r="BR534" s="1333"/>
      <c r="BS534" s="648"/>
    </row>
    <row r="535" spans="1:71" s="671" customFormat="1" ht="15">
      <c r="A535" s="288" t="s">
        <v>24</v>
      </c>
      <c r="B535" s="401"/>
      <c r="C535" s="1329">
        <f t="shared" si="1117" ref="C535:AU535">(C532-C502)/C501</f>
        <v>0.91610527517698104</v>
      </c>
      <c r="D535" s="1330">
        <f t="shared" si="1117"/>
        <v>0.92430910665884236</v>
      </c>
      <c r="E535" s="1330">
        <f t="shared" si="1117"/>
        <v>0.92972461550849506</v>
      </c>
      <c r="F535" s="1330">
        <f t="shared" si="1117"/>
        <v>0.95574353851916616</v>
      </c>
      <c r="G535" s="1330">
        <f t="shared" si="1117"/>
        <v>0.93451009740753288</v>
      </c>
      <c r="H535" s="199">
        <f t="shared" si="1117"/>
        <v>0.93417077436794416</v>
      </c>
      <c r="I535" s="199">
        <f t="shared" si="1117"/>
        <v>0.92637642627672556</v>
      </c>
      <c r="J535" s="199">
        <f t="shared" si="1117"/>
        <v>0.92515583357194775</v>
      </c>
      <c r="K535" s="199">
        <f t="shared" si="1117"/>
        <v>0.90927851737951715</v>
      </c>
      <c r="L535" s="1330">
        <f t="shared" si="1117"/>
        <v>0.92334701198467273</v>
      </c>
      <c r="M535" s="199">
        <f t="shared" si="1117"/>
        <v>0.92679424811949518</v>
      </c>
      <c r="N535" s="199">
        <f t="shared" si="1117"/>
        <v>0.92517714880499613</v>
      </c>
      <c r="O535" s="199">
        <f t="shared" si="1117"/>
        <v>0.92803612984656636</v>
      </c>
      <c r="P535" s="199">
        <f t="shared" si="1117"/>
        <v>0.91969262929699602</v>
      </c>
      <c r="Q535" s="1330">
        <f t="shared" si="1117"/>
        <v>0.9248609233583428</v>
      </c>
      <c r="R535" s="199">
        <f t="shared" si="1117"/>
        <v>0.94606386579907475</v>
      </c>
      <c r="S535" s="199">
        <f t="shared" si="1117"/>
        <v>0.96842748750404539</v>
      </c>
      <c r="T535" s="199">
        <f t="shared" si="1117"/>
        <v>0.96557990005940519</v>
      </c>
      <c r="U535" s="199">
        <f t="shared" si="1117"/>
        <v>0.92647409476445131</v>
      </c>
      <c r="V535" s="1330">
        <f t="shared" si="1117"/>
        <v>0.95145056509744586</v>
      </c>
      <c r="W535" s="199">
        <f t="shared" si="1117"/>
        <v>0.9170358571025603</v>
      </c>
      <c r="X535" s="199">
        <f t="shared" si="1117"/>
        <v>0.93220661143934225</v>
      </c>
      <c r="Y535" s="199">
        <f t="shared" si="1117"/>
        <v>0.97371638141809291</v>
      </c>
      <c r="Z535" s="199">
        <f t="shared" si="1117"/>
        <v>0.91426985494967794</v>
      </c>
      <c r="AA535" s="1330">
        <f t="shared" si="1117"/>
        <v>0.93443814394925762</v>
      </c>
      <c r="AB535" s="199">
        <f t="shared" si="1117"/>
        <v>0.88422079732366865</v>
      </c>
      <c r="AC535" s="199">
        <f t="shared" si="1117"/>
        <v>0.90867412433522832</v>
      </c>
      <c r="AD535" s="199">
        <f t="shared" si="1117"/>
        <v>0.90272996658470461</v>
      </c>
      <c r="AE535" s="199">
        <f t="shared" si="1117"/>
        <v>0.924852951943963</v>
      </c>
      <c r="AF535" s="1330">
        <f t="shared" si="1117"/>
        <v>0.90576498466054367</v>
      </c>
      <c r="AG535" s="199">
        <f t="shared" si="1117"/>
        <v>0.88779876592827267</v>
      </c>
      <c r="AH535" s="199">
        <f t="shared" si="1117"/>
        <v>0.90353213140390043</v>
      </c>
      <c r="AI535" s="199">
        <f t="shared" si="1117"/>
        <v>0.91872128891946492</v>
      </c>
      <c r="AJ535" s="199">
        <f t="shared" si="1117"/>
        <v>0.92377497296805677</v>
      </c>
      <c r="AK535" s="1330">
        <f t="shared" si="1117"/>
        <v>0.9091715387760968</v>
      </c>
      <c r="AL535" s="199">
        <f t="shared" si="1117"/>
        <v>0.86890686799495254</v>
      </c>
      <c r="AM535" s="199">
        <f t="shared" si="1117"/>
        <v>0.87678005099185363</v>
      </c>
      <c r="AN535" s="199">
        <f t="shared" si="1117"/>
        <v>0.87796661152052968</v>
      </c>
      <c r="AO535" s="199">
        <f t="shared" si="1117"/>
        <v>0.88437426533970698</v>
      </c>
      <c r="AP535" s="1330">
        <f t="shared" si="1117"/>
        <v>0.87716496525867527</v>
      </c>
      <c r="AQ535" s="199">
        <f t="shared" si="1117"/>
        <v>0.89252605516208905</v>
      </c>
      <c r="AR535" s="199">
        <f t="shared" si="1117"/>
        <v>0.96514391338790584</v>
      </c>
      <c r="AS535" s="199">
        <f t="shared" si="1117"/>
        <v>1.0041267774179927</v>
      </c>
      <c r="AT535" s="199">
        <f t="shared" si="1117"/>
        <v>0.94745461754615823</v>
      </c>
      <c r="AU535" s="1330">
        <f t="shared" si="1117"/>
        <v>0.95344916574071359</v>
      </c>
      <c r="AV535" s="199">
        <f t="shared" si="1118" ref="AV535:BA535">(AV532-AV502)/AV501</f>
        <v>0.94503045861610246</v>
      </c>
      <c r="AW535" s="199">
        <f t="shared" si="1118"/>
        <v>0.95567135060380826</v>
      </c>
      <c r="AX535" s="199">
        <f t="shared" si="1118"/>
        <v>0.99239448660768304</v>
      </c>
      <c r="AY535" s="199">
        <f t="shared" si="1118"/>
        <v>0.93930884691463323</v>
      </c>
      <c r="AZ535" s="1330">
        <f t="shared" si="1118"/>
        <v>0.95808388097771779</v>
      </c>
      <c r="BA535" s="199">
        <f t="shared" si="1118"/>
        <v>0.98953676541221136</v>
      </c>
      <c r="BB535" s="199">
        <f t="shared" si="1119" ref="BB535:BG535">(BB532-BB502)/BB501</f>
        <v>1.004445396974641</v>
      </c>
      <c r="BC535" s="199">
        <f t="shared" si="1119"/>
        <v>0.9237157838904817</v>
      </c>
      <c r="BD535" s="199">
        <f t="shared" si="1119"/>
        <v>0.88722214473200334</v>
      </c>
      <c r="BE535" s="1330">
        <f t="shared" si="1119"/>
        <v>0.9489929156353768</v>
      </c>
      <c r="BF535" s="199">
        <f t="shared" si="1119"/>
        <v>0.86067522881240477</v>
      </c>
      <c r="BG535" s="199">
        <f t="shared" si="1119"/>
        <v>0.91942822278392733</v>
      </c>
      <c r="BH535" s="810">
        <f>(BH532-BH502)/BH501</f>
        <v>0.89045019047150542</v>
      </c>
      <c r="BI535" s="289">
        <f t="shared" si="1120" ref="BI535:BR535">BI532/BI501</f>
        <v>0.94201821092717697</v>
      </c>
      <c r="BJ535" s="1331">
        <f t="shared" si="1120"/>
        <v>0.91497946824604814</v>
      </c>
      <c r="BK535" s="289">
        <f t="shared" si="1120"/>
        <v>0.93912182200493988</v>
      </c>
      <c r="BL535" s="289">
        <f t="shared" si="1120"/>
        <v>0.96232216368937351</v>
      </c>
      <c r="BM535" s="289">
        <f t="shared" si="1120"/>
        <v>0.95921127366176151</v>
      </c>
      <c r="BN535" s="289">
        <f t="shared" si="1120"/>
        <v>0.9161055144914273</v>
      </c>
      <c r="BO535" s="1331">
        <f t="shared" si="1120"/>
        <v>0.94429238864844189</v>
      </c>
      <c r="BP535" s="1331">
        <f t="shared" si="1120"/>
        <v>0.94391872144575983</v>
      </c>
      <c r="BQ535" s="1331">
        <f t="shared" si="1120"/>
        <v>0.94291872144575972</v>
      </c>
      <c r="BR535" s="1331">
        <f t="shared" si="1120"/>
        <v>0.94191872144575983</v>
      </c>
      <c r="BS535" s="648"/>
    </row>
    <row r="536" spans="1:71" s="672" customFormat="1" ht="15">
      <c r="A536" s="97" t="str">
        <f>CONCATENATE("Consensus Estimates - ",IFERROR(LEFT(A535,FIND("(",A535)-1),A535))</f>
        <v>Consensus Estimates - Total Combined Ratio, %</v>
      </c>
      <c r="B536" s="108"/>
      <c r="C536" s="1325"/>
      <c r="D536" s="1325"/>
      <c r="E536" s="1325"/>
      <c r="F536" s="1325"/>
      <c r="G536" s="1325"/>
      <c r="H536" s="726"/>
      <c r="I536" s="726"/>
      <c r="J536" s="726"/>
      <c r="K536" s="726"/>
      <c r="L536" s="1325"/>
      <c r="M536" s="726"/>
      <c r="N536" s="726"/>
      <c r="O536" s="726"/>
      <c r="P536" s="726"/>
      <c r="Q536" s="1325"/>
      <c r="R536" s="726"/>
      <c r="S536" s="726"/>
      <c r="T536" s="726"/>
      <c r="U536" s="726"/>
      <c r="V536" s="1325"/>
      <c r="W536" s="726"/>
      <c r="X536" s="726"/>
      <c r="Y536" s="726"/>
      <c r="Z536" s="726"/>
      <c r="AA536" s="1325"/>
      <c r="AB536" s="726"/>
      <c r="AC536" s="726"/>
      <c r="AD536" s="726"/>
      <c r="AE536" s="726"/>
      <c r="AF536" s="1325"/>
      <c r="AG536" s="726"/>
      <c r="AH536" s="726"/>
      <c r="AI536" s="726"/>
      <c r="AJ536" s="726"/>
      <c r="AK536" s="1325"/>
      <c r="AL536" s="726"/>
      <c r="AM536" s="726"/>
      <c r="AN536" s="726"/>
      <c r="AO536" s="726"/>
      <c r="AP536" s="1325"/>
      <c r="AQ536" s="726"/>
      <c r="AR536" s="726"/>
      <c r="AS536" s="726"/>
      <c r="AT536" s="726"/>
      <c r="AU536" s="1325"/>
      <c r="AV536" s="726"/>
      <c r="AW536" s="726"/>
      <c r="AX536" s="726"/>
      <c r="AY536" s="726"/>
      <c r="AZ536" s="1325"/>
      <c r="BA536" s="726"/>
      <c r="BB536" s="726"/>
      <c r="BC536" s="726"/>
      <c r="BD536" s="726"/>
      <c r="BE536" s="1325"/>
      <c r="BF536" s="726"/>
      <c r="BG536" s="726"/>
      <c r="BH536" s="808"/>
      <c r="BI536" s="488" t="str">
        <f ca="1" t="shared" si="1121" ref="BI536:BO536">IFERROR(VLOOKUP($A536,tb_ConsensusEstimate,MATCH(BI$5,OFFSET(tb_ConsensusEstimate,0,0,1,COLUMNS(tb_ConsensusEstimate)),0),FALSE),"-")</f>
        <v>N/A</v>
      </c>
      <c r="BJ536" s="1332" t="str">
        <f t="shared" ca="1" si="1121"/>
        <v>N/A</v>
      </c>
      <c r="BK536" s="488" t="str">
        <f t="shared" ca="1" si="1121"/>
        <v>N/A</v>
      </c>
      <c r="BL536" s="488" t="str">
        <f t="shared" ca="1" si="1121"/>
        <v>N/A</v>
      </c>
      <c r="BM536" s="488" t="str">
        <f t="shared" ca="1" si="1121"/>
        <v>N/A</v>
      </c>
      <c r="BN536" s="488" t="str">
        <f t="shared" ca="1" si="1121"/>
        <v>N/A</v>
      </c>
      <c r="BO536" s="1332" t="str">
        <f t="shared" ca="1" si="1121"/>
        <v>N/A</v>
      </c>
      <c r="BP536" s="1333" t="str">
        <f ca="1">IFERROR(VLOOKUP($A536,tb_ConsensusEstimate,MATCH(BP5,OFFSET(tb_ConsensusEstimate,0,0,1,COLUMNS(tb_ConsensusEstimate)),0),FALSE),"-")</f>
        <v>N/A</v>
      </c>
      <c r="BQ536" s="1333" t="str">
        <f ca="1">IFERROR(VLOOKUP($A536,tb_ConsensusEstimate,MATCH(BQ5,OFFSET(tb_ConsensusEstimate,0,0,1,COLUMNS(tb_ConsensusEstimate)),0),FALSE),"-")</f>
        <v>N/A</v>
      </c>
      <c r="BR536" s="1332" t="str">
        <f ca="1">IFERROR(VLOOKUP($A536,tb_ConsensusEstimate,MATCH(BR5,OFFSET(tb_ConsensusEstimate,0,0,1,COLUMNS(tb_ConsensusEstimate)),0),FALSE),"-")</f>
        <v>N/A</v>
      </c>
      <c r="BS536" s="648"/>
    </row>
    <row r="537" spans="1:71" s="673" customFormat="1" ht="15">
      <c r="A537" s="926" t="s">
        <v>561</v>
      </c>
      <c r="B537" s="508"/>
      <c r="C537" s="1334"/>
      <c r="D537" s="1335">
        <f>(C535-D535)*10000</f>
        <v>-82.03831481861323</v>
      </c>
      <c r="E537" s="1335">
        <f>(D535-E535)*10000</f>
        <v>-54.15508849652695</v>
      </c>
      <c r="F537" s="1335">
        <f>(E535-F535)*10000</f>
        <v>-260.18923010671102</v>
      </c>
      <c r="G537" s="1335">
        <f>(F535-G535)*10000</f>
        <v>212.33441111633277</v>
      </c>
      <c r="H537" s="945"/>
      <c r="I537" s="945"/>
      <c r="J537" s="945"/>
      <c r="K537" s="945"/>
      <c r="L537" s="1335">
        <f t="shared" si="1122" ref="L537:AU537">(G535-L535)*10000</f>
        <v>111.63085422860152</v>
      </c>
      <c r="M537" s="945">
        <f t="shared" si="1122"/>
        <v>73.765262484489782</v>
      </c>
      <c r="N537" s="945">
        <f t="shared" si="1122"/>
        <v>11.992774717294319</v>
      </c>
      <c r="O537" s="945">
        <f t="shared" si="1122"/>
        <v>-28.8029627461861</v>
      </c>
      <c r="P537" s="945">
        <f t="shared" si="1122"/>
        <v>-104.14111917478874</v>
      </c>
      <c r="Q537" s="1335">
        <f t="shared" si="1122"/>
        <v>-15.139113736700738</v>
      </c>
      <c r="R537" s="945">
        <f t="shared" si="1122"/>
        <v>-192.69617679579576</v>
      </c>
      <c r="S537" s="945">
        <f t="shared" si="1122"/>
        <v>-432.50338699049263</v>
      </c>
      <c r="T537" s="945">
        <f t="shared" si="1122"/>
        <v>-375.43770212838837</v>
      </c>
      <c r="U537" s="945">
        <f t="shared" si="1122"/>
        <v>-67.814654674552827</v>
      </c>
      <c r="V537" s="1335">
        <f t="shared" si="1122"/>
        <v>-265.89641739103052</v>
      </c>
      <c r="W537" s="945">
        <f t="shared" si="1122"/>
        <v>290.28008696514451</v>
      </c>
      <c r="X537" s="945">
        <f t="shared" si="1122"/>
        <v>362.20876064703145</v>
      </c>
      <c r="Y537" s="945">
        <f t="shared" si="1122"/>
        <v>-81.36481358687719</v>
      </c>
      <c r="Z537" s="945">
        <f t="shared" si="1122"/>
        <v>122.04239814773365</v>
      </c>
      <c r="AA537" s="1335">
        <f t="shared" si="1122"/>
        <v>170.12421148188238</v>
      </c>
      <c r="AB537" s="945">
        <f t="shared" si="1122"/>
        <v>328.15059778891651</v>
      </c>
      <c r="AC537" s="945">
        <f t="shared" si="1122"/>
        <v>235.32487104113932</v>
      </c>
      <c r="AD537" s="945">
        <f t="shared" si="1122"/>
        <v>709.86414833388301</v>
      </c>
      <c r="AE537" s="945">
        <f t="shared" si="1122"/>
        <v>-105.83096994285057</v>
      </c>
      <c r="AF537" s="1335">
        <f t="shared" si="1122"/>
        <v>286.73159288713947</v>
      </c>
      <c r="AG537" s="945">
        <f t="shared" si="1122"/>
        <v>-35.779686046040204</v>
      </c>
      <c r="AH537" s="945">
        <f t="shared" si="1122"/>
        <v>51.419929313278878</v>
      </c>
      <c r="AI537" s="945">
        <f t="shared" si="1122"/>
        <v>-159.91322334760304</v>
      </c>
      <c r="AJ537" s="945">
        <f t="shared" si="1122"/>
        <v>10.779789759062242</v>
      </c>
      <c r="AK537" s="1335">
        <f t="shared" si="1122"/>
        <v>-34.065541155531285</v>
      </c>
      <c r="AL537" s="945">
        <f t="shared" si="1122"/>
        <v>188.91897933320135</v>
      </c>
      <c r="AM537" s="945">
        <f t="shared" si="1122"/>
        <v>267.52080412046797</v>
      </c>
      <c r="AN537" s="945">
        <f t="shared" si="1122"/>
        <v>407.54677398935235</v>
      </c>
      <c r="AO537" s="945">
        <f t="shared" si="1122"/>
        <v>394.00707628349795</v>
      </c>
      <c r="AP537" s="1335">
        <f t="shared" si="1122"/>
        <v>320.06573517421532</v>
      </c>
      <c r="AQ537" s="945">
        <f t="shared" si="1122"/>
        <v>-236.19187167136513</v>
      </c>
      <c r="AR537" s="945">
        <f t="shared" si="1122"/>
        <v>-883.63862396052207</v>
      </c>
      <c r="AS537" s="945">
        <f t="shared" si="1122"/>
        <v>-1261.6016589746305</v>
      </c>
      <c r="AT537" s="945">
        <f t="shared" si="1122"/>
        <v>-630.80352206451255</v>
      </c>
      <c r="AU537" s="1335">
        <f t="shared" si="1122"/>
        <v>-762.84200482038318</v>
      </c>
      <c r="AV537" s="945">
        <f t="shared" si="1123" ref="AV537:AZ537">(AQ535-AV535)*10000</f>
        <v>-525.04403454013413</v>
      </c>
      <c r="AW537" s="945">
        <f t="shared" si="1123"/>
        <v>94.725627840975818</v>
      </c>
      <c r="AX537" s="945">
        <f t="shared" si="1123"/>
        <v>117.32290810309686</v>
      </c>
      <c r="AY537" s="945">
        <f t="shared" si="1123"/>
        <v>81.457706315249951</v>
      </c>
      <c r="AZ537" s="1335">
        <f t="shared" si="1123"/>
        <v>-46.347152370042053</v>
      </c>
      <c r="BA537" s="945">
        <f t="shared" si="1124" ref="BA537:BO537">(AV535-BA535)*10000</f>
        <v>-445.06306796108896</v>
      </c>
      <c r="BB537" s="945">
        <f t="shared" si="1124"/>
        <v>-487.74046370832713</v>
      </c>
      <c r="BC537" s="945">
        <f t="shared" si="1124"/>
        <v>686.78702717201338</v>
      </c>
      <c r="BD537" s="945">
        <f t="shared" si="1124"/>
        <v>520.86702182629892</v>
      </c>
      <c r="BE537" s="1335">
        <f t="shared" si="1124"/>
        <v>90.909653423409949</v>
      </c>
      <c r="BF537" s="945">
        <f>(BA535-BF535)*10000</f>
        <v>1288.615365998066</v>
      </c>
      <c r="BG537" s="945">
        <f>(BB535-BG535)*10000</f>
        <v>850.17174190713638</v>
      </c>
      <c r="BH537" s="446">
        <f>(BC535-BH535)*10000</f>
        <v>332.65593418976277</v>
      </c>
      <c r="BI537" s="945">
        <f t="shared" si="1124"/>
        <v>-547.96066195173637</v>
      </c>
      <c r="BJ537" s="1335">
        <f t="shared" si="1124"/>
        <v>340.13447389328655</v>
      </c>
      <c r="BK537" s="945">
        <f t="shared" si="1124"/>
        <v>-784.46593192535113</v>
      </c>
      <c r="BL537" s="945">
        <f t="shared" si="1124"/>
        <v>-428.93940905446181</v>
      </c>
      <c r="BM537" s="945">
        <f t="shared" si="1124"/>
        <v>-687.6108319025609</v>
      </c>
      <c r="BN537" s="945">
        <f t="shared" si="1124"/>
        <v>259.12696435749672</v>
      </c>
      <c r="BO537" s="1335">
        <f t="shared" si="1124"/>
        <v>-293.12920402393752</v>
      </c>
      <c r="BP537" s="1335">
        <f>((BO535-BP535)*10000)</f>
        <v>3.7366720268205977</v>
      </c>
      <c r="BQ537" s="1335">
        <f>((BP535-BQ535)*10000)</f>
        <v>10.000000000001119</v>
      </c>
      <c r="BR537" s="1335">
        <f>((BQ535-BR535)*10000)</f>
        <v>9.9999999999988987</v>
      </c>
      <c r="BS537" s="648"/>
    </row>
    <row r="538" spans="1:71" s="669" customFormat="1" ht="7.5" customHeight="1">
      <c r="A538" s="107"/>
      <c r="B538" s="108"/>
      <c r="C538" s="1325"/>
      <c r="D538" s="1325"/>
      <c r="E538" s="1325"/>
      <c r="F538" s="1325"/>
      <c r="G538" s="1325"/>
      <c r="H538" s="726"/>
      <c r="I538" s="726"/>
      <c r="J538" s="726"/>
      <c r="K538" s="726"/>
      <c r="L538" s="1325"/>
      <c r="M538" s="726"/>
      <c r="N538" s="726"/>
      <c r="O538" s="726"/>
      <c r="P538" s="726"/>
      <c r="Q538" s="1325"/>
      <c r="R538" s="726"/>
      <c r="S538" s="726"/>
      <c r="T538" s="726"/>
      <c r="U538" s="726"/>
      <c r="V538" s="1325"/>
      <c r="W538" s="726"/>
      <c r="X538" s="726"/>
      <c r="Y538" s="726"/>
      <c r="Z538" s="726"/>
      <c r="AA538" s="1325"/>
      <c r="AB538" s="726"/>
      <c r="AC538" s="726"/>
      <c r="AD538" s="726"/>
      <c r="AE538" s="726"/>
      <c r="AF538" s="1325"/>
      <c r="AG538" s="726"/>
      <c r="AH538" s="726"/>
      <c r="AI538" s="726"/>
      <c r="AJ538" s="726"/>
      <c r="AK538" s="1325"/>
      <c r="AL538" s="726"/>
      <c r="AM538" s="726"/>
      <c r="AN538" s="726"/>
      <c r="AO538" s="726"/>
      <c r="AP538" s="1325"/>
      <c r="AQ538" s="726"/>
      <c r="AR538" s="726"/>
      <c r="AS538" s="726"/>
      <c r="AT538" s="726"/>
      <c r="AU538" s="1325"/>
      <c r="AV538" s="726"/>
      <c r="AW538" s="726"/>
      <c r="AX538" s="726"/>
      <c r="AY538" s="726"/>
      <c r="AZ538" s="1325"/>
      <c r="BA538" s="726"/>
      <c r="BB538" s="726"/>
      <c r="BC538" s="726"/>
      <c r="BD538" s="726"/>
      <c r="BE538" s="1325"/>
      <c r="BF538" s="726"/>
      <c r="BG538" s="726"/>
      <c r="BH538" s="808"/>
      <c r="BI538" s="98"/>
      <c r="BJ538" s="1326"/>
      <c r="BK538" s="98"/>
      <c r="BL538" s="98"/>
      <c r="BM538" s="98"/>
      <c r="BN538" s="98"/>
      <c r="BO538" s="1326"/>
      <c r="BP538" s="1325"/>
      <c r="BQ538" s="1325"/>
      <c r="BR538" s="1326"/>
      <c r="BS538" s="648"/>
    </row>
    <row r="539" spans="1:71" s="668" customFormat="1" ht="15">
      <c r="A539" s="25" t="s">
        <v>19</v>
      </c>
      <c r="B539" s="394"/>
      <c r="C539" s="1348">
        <f t="shared" si="1125" ref="C539:AU539">C501+C502-C532</f>
        <v>1175.6000000000004</v>
      </c>
      <c r="D539" s="1320">
        <f t="shared" si="1125"/>
        <v>1083.5000000000036</v>
      </c>
      <c r="E539" s="1320">
        <f t="shared" si="1125"/>
        <v>1047.2999999999993</v>
      </c>
      <c r="F539" s="1320">
        <f t="shared" si="1125"/>
        <v>708.899999999996</v>
      </c>
      <c r="G539" s="1320">
        <f t="shared" si="1125"/>
        <v>1120.1000000000022</v>
      </c>
      <c r="H539" s="1021">
        <f t="shared" si="1125"/>
        <v>289.79999999999927</v>
      </c>
      <c r="I539" s="1021">
        <f t="shared" si="1125"/>
        <v>332.29999999999927</v>
      </c>
      <c r="J539" s="1021">
        <f t="shared" si="1125"/>
        <v>339.80000000000018</v>
      </c>
      <c r="K539" s="1021">
        <f t="shared" si="1125"/>
        <v>448.39999999999873</v>
      </c>
      <c r="L539" s="1320">
        <f t="shared" si="1125"/>
        <v>1410.2999999999993</v>
      </c>
      <c r="M539" s="1021">
        <f t="shared" si="1125"/>
        <v>341.59999999999945</v>
      </c>
      <c r="N539" s="1021">
        <f t="shared" si="1125"/>
        <v>373.80000000000018</v>
      </c>
      <c r="O539" s="1021">
        <f t="shared" si="1125"/>
        <v>364.90000000000055</v>
      </c>
      <c r="P539" s="1021">
        <f t="shared" si="1125"/>
        <v>414.89999999999964</v>
      </c>
      <c r="Q539" s="1320">
        <f t="shared" si="1125"/>
        <v>1495.2000000000007</v>
      </c>
      <c r="R539" s="1021">
        <f t="shared" si="1125"/>
        <v>286.80000000000018</v>
      </c>
      <c r="S539" s="1021">
        <f t="shared" si="1125"/>
        <v>175.60000000000036</v>
      </c>
      <c r="T539" s="1021">
        <f t="shared" si="1125"/>
        <v>197</v>
      </c>
      <c r="U539" s="1021">
        <f t="shared" si="1125"/>
        <v>431.70000000000073</v>
      </c>
      <c r="V539" s="1320">
        <f t="shared" si="1125"/>
        <v>1091.1000000000022</v>
      </c>
      <c r="W539" s="1021">
        <f t="shared" si="1125"/>
        <v>500</v>
      </c>
      <c r="X539" s="1021">
        <f t="shared" si="1125"/>
        <v>428.00000000000091</v>
      </c>
      <c r="Y539" s="1021">
        <f t="shared" si="1125"/>
        <v>172</v>
      </c>
      <c r="Z539" s="1021">
        <f t="shared" si="1125"/>
        <v>586.89999999999964</v>
      </c>
      <c r="AA539" s="1320">
        <f t="shared" si="1125"/>
        <v>1686.8999999999978</v>
      </c>
      <c r="AB539" s="1021">
        <f t="shared" si="1125"/>
        <v>830.60000000000127</v>
      </c>
      <c r="AC539" s="1021">
        <f t="shared" si="1125"/>
        <v>697.19999999999982</v>
      </c>
      <c r="AD539" s="1021">
        <f t="shared" si="1125"/>
        <v>771.39999999999964</v>
      </c>
      <c r="AE539" s="1021">
        <f t="shared" si="1125"/>
        <v>615.80000000000018</v>
      </c>
      <c r="AF539" s="1320">
        <f t="shared" si="1125"/>
        <v>2915.0000000000036</v>
      </c>
      <c r="AG539" s="1021">
        <f t="shared" si="1125"/>
        <v>949.19999999999982</v>
      </c>
      <c r="AH539" s="1021">
        <f t="shared" si="1125"/>
        <v>851.29999999999927</v>
      </c>
      <c r="AI539" s="1021">
        <f t="shared" si="1125"/>
        <v>732.49999999999818</v>
      </c>
      <c r="AJ539" s="1021">
        <f t="shared" si="1125"/>
        <v>754.30000000000109</v>
      </c>
      <c r="AK539" s="1320">
        <f t="shared" si="1125"/>
        <v>3287.2999999999956</v>
      </c>
      <c r="AL539" s="1021">
        <f t="shared" si="1125"/>
        <v>1236.3000000000011</v>
      </c>
      <c r="AM539" s="1021">
        <f t="shared" si="1125"/>
        <v>1188.9000000000015</v>
      </c>
      <c r="AN539" s="1021">
        <f t="shared" si="1125"/>
        <v>1217.0999999999967</v>
      </c>
      <c r="AO539" s="1021">
        <f t="shared" si="1125"/>
        <v>1180.3999999999996</v>
      </c>
      <c r="AP539" s="1320">
        <f t="shared" si="1125"/>
        <v>4822.6999999999971</v>
      </c>
      <c r="AQ539" s="1021">
        <f t="shared" si="1125"/>
        <v>1119.8999999999996</v>
      </c>
      <c r="AR539" s="1021">
        <f t="shared" si="1125"/>
        <v>382.80000000000109</v>
      </c>
      <c r="AS539" s="1021">
        <f t="shared" si="1125"/>
        <v>-46.900000000003274</v>
      </c>
      <c r="AT539" s="1021">
        <f t="shared" si="1125"/>
        <v>609.60000000000036</v>
      </c>
      <c r="AU539" s="1320">
        <f t="shared" si="1125"/>
        <v>2065.4000000000015</v>
      </c>
      <c r="AV539" s="1021">
        <f t="shared" si="1126" ref="AV539:AZ539">AV501+AV502-AV532</f>
        <v>648.80000000000473</v>
      </c>
      <c r="AW539" s="1021">
        <f t="shared" si="1126"/>
        <v>538.49999999999818</v>
      </c>
      <c r="AX539" s="1021">
        <f t="shared" si="1126"/>
        <v>94.299999999999272</v>
      </c>
      <c r="AY539" s="1021">
        <f t="shared" si="1126"/>
        <v>782.40000000000509</v>
      </c>
      <c r="AZ539" s="1320">
        <f t="shared" si="1126"/>
        <v>2064</v>
      </c>
      <c r="BA539" s="1021">
        <f t="shared" si="1127" ref="BA539:BI539">BA501+BA502-BA532</f>
        <v>141.60000000000218</v>
      </c>
      <c r="BB539" s="1021">
        <f t="shared" si="1127"/>
        <v>-64.299999999997453</v>
      </c>
      <c r="BC539" s="1021">
        <f t="shared" si="1127"/>
        <v>1136.1999999999989</v>
      </c>
      <c r="BD539" s="1021">
        <f t="shared" si="1127"/>
        <v>1778.8000000000047</v>
      </c>
      <c r="BE539" s="1320">
        <f t="shared" si="1127"/>
        <v>2992.3000000000029</v>
      </c>
      <c r="BF539" s="1021">
        <f>BF501+BF502-BF532</f>
        <v>2249.8999999999978</v>
      </c>
      <c r="BG539" s="1021">
        <f>BG501+BG502-BG532</f>
        <v>1386.6000000000022</v>
      </c>
      <c r="BH539" s="1022">
        <f>BH501+BH502-BH532</f>
        <v>2004.4000000000051</v>
      </c>
      <c r="BI539" s="1023">
        <f t="shared" si="1127"/>
        <v>1262.2447189208506</v>
      </c>
      <c r="BJ539" s="1321">
        <f>SUM(BF539,BG539,BH539,BI539)</f>
        <v>6903.1447189208557</v>
      </c>
      <c r="BK539" s="1023">
        <f>BK501+BK502-BK532</f>
        <v>1553.6775793879351</v>
      </c>
      <c r="BL539" s="1023">
        <f>BL501+BL502-BL532</f>
        <v>1014.4262430745803</v>
      </c>
      <c r="BM539" s="1023">
        <f>BM501+BM502-BM532</f>
        <v>1149.1094475753307</v>
      </c>
      <c r="BN539" s="1023">
        <f>BN501+BN502-BN532</f>
        <v>1915.710297749818</v>
      </c>
      <c r="BO539" s="1321">
        <f>SUM(BK539,BL539,BM539,BN539)</f>
        <v>5632.9235677876641</v>
      </c>
      <c r="BP539" s="1322">
        <f>BP501+BP502-BP532</f>
        <v>6043.6608031935029</v>
      </c>
      <c r="BQ539" s="1322">
        <f>BQ501+BQ502-BQ532</f>
        <v>6389.8925365869363</v>
      </c>
      <c r="BR539" s="1321">
        <f>BR501+BR502-BR532</f>
        <v>6754.3390612805524</v>
      </c>
      <c r="BS539" s="648"/>
    </row>
    <row r="540" spans="1:71" s="677" customFormat="1" ht="15">
      <c r="A540" s="1175" t="str">
        <f>CONCATENATE("Consensus Estimates - ",IFERROR(LEFT(A539,FIND("(",A539)-1),A539))</f>
        <v>Consensus Estimates - Total Underwriting Income, mm</v>
      </c>
      <c r="B540" s="1177"/>
      <c r="C540" s="1378"/>
      <c r="D540" s="1378"/>
      <c r="E540" s="1378"/>
      <c r="F540" s="1378"/>
      <c r="G540" s="1378"/>
      <c r="H540" s="1081"/>
      <c r="I540" s="1081"/>
      <c r="J540" s="1081"/>
      <c r="K540" s="1081"/>
      <c r="L540" s="1378"/>
      <c r="M540" s="1081"/>
      <c r="N540" s="1081"/>
      <c r="O540" s="1081"/>
      <c r="P540" s="1081"/>
      <c r="Q540" s="1378"/>
      <c r="R540" s="1081"/>
      <c r="S540" s="1081"/>
      <c r="T540" s="1081"/>
      <c r="U540" s="1081"/>
      <c r="V540" s="1378"/>
      <c r="W540" s="1081"/>
      <c r="X540" s="1081"/>
      <c r="Y540" s="1081"/>
      <c r="Z540" s="1081"/>
      <c r="AA540" s="1378"/>
      <c r="AB540" s="1081"/>
      <c r="AC540" s="1081"/>
      <c r="AD540" s="1081"/>
      <c r="AE540" s="1081"/>
      <c r="AF540" s="1378"/>
      <c r="AG540" s="1081"/>
      <c r="AH540" s="1081"/>
      <c r="AI540" s="1081"/>
      <c r="AJ540" s="1081"/>
      <c r="AK540" s="1378"/>
      <c r="AL540" s="1081"/>
      <c r="AM540" s="1081"/>
      <c r="AN540" s="1081"/>
      <c r="AO540" s="1081"/>
      <c r="AP540" s="1378"/>
      <c r="AQ540" s="1081"/>
      <c r="AR540" s="1081"/>
      <c r="AS540" s="1081"/>
      <c r="AT540" s="1081"/>
      <c r="AU540" s="1378"/>
      <c r="AV540" s="1081"/>
      <c r="AW540" s="1081"/>
      <c r="AX540" s="1081"/>
      <c r="AY540" s="1081"/>
      <c r="AZ540" s="1378"/>
      <c r="BA540" s="1081"/>
      <c r="BB540" s="1081"/>
      <c r="BC540" s="1081"/>
      <c r="BD540" s="1081"/>
      <c r="BE540" s="1378"/>
      <c r="BF540" s="1081"/>
      <c r="BG540" s="1081"/>
      <c r="BH540" s="1083"/>
      <c r="BI540" s="1084" t="str">
        <f ca="1" t="shared" si="1128" ref="BI540:BO540">IFERROR(VLOOKUP($A540,tb_ConsensusEstimate,MATCH(BI$5,OFFSET(tb_ConsensusEstimate,0,0,1,COLUMNS(tb_ConsensusEstimate)),0),FALSE),"-")</f>
        <v>N/A</v>
      </c>
      <c r="BJ540" s="1379" t="str">
        <f t="shared" ca="1" si="1128"/>
        <v>N/A</v>
      </c>
      <c r="BK540" s="1084" t="str">
        <f t="shared" ca="1" si="1128"/>
        <v>N/A</v>
      </c>
      <c r="BL540" s="1084" t="str">
        <f t="shared" ca="1" si="1128"/>
        <v>N/A</v>
      </c>
      <c r="BM540" s="1084" t="str">
        <f t="shared" ca="1" si="1128"/>
        <v>N/A</v>
      </c>
      <c r="BN540" s="1084" t="str">
        <f t="shared" ca="1" si="1128"/>
        <v>N/A</v>
      </c>
      <c r="BO540" s="1379" t="str">
        <f t="shared" ca="1" si="1128"/>
        <v>N/A</v>
      </c>
      <c r="BP540" s="1328" t="str">
        <f ca="1">IFERROR(VLOOKUP($A540,tb_ConsensusEstimate,MATCH(BP5,OFFSET(tb_ConsensusEstimate,0,0,1,COLUMNS(tb_ConsensusEstimate)),0),FALSE),"-")</f>
        <v>N/A</v>
      </c>
      <c r="BQ540" s="1328" t="str">
        <f ca="1">IFERROR(VLOOKUP($A540,tb_ConsensusEstimate,MATCH(BQ5,OFFSET(tb_ConsensusEstimate,0,0,1,COLUMNS(tb_ConsensusEstimate)),0),FALSE),"-")</f>
        <v>N/A</v>
      </c>
      <c r="BR540" s="1379" t="str">
        <f ca="1">IFERROR(VLOOKUP($A540,tb_ConsensusEstimate,MATCH(BR5,OFFSET(tb_ConsensusEstimate,0,0,1,COLUMNS(tb_ConsensusEstimate)),0),FALSE),"-")</f>
        <v>N/A</v>
      </c>
      <c r="BS540" s="648"/>
    </row>
    <row r="541" spans="1:71" s="669" customFormat="1" ht="15">
      <c r="A541" s="362" t="s">
        <v>562</v>
      </c>
      <c r="B541" s="425"/>
      <c r="C541" s="1333"/>
      <c r="D541" s="1429">
        <f>D539/C539-1</f>
        <v>-0.078342973800609617</v>
      </c>
      <c r="E541" s="1429">
        <f>E539/D539-1</f>
        <v>-0.033410244577761206</v>
      </c>
      <c r="F541" s="1429">
        <f>F539/E539-1</f>
        <v>-0.32311658550558919</v>
      </c>
      <c r="G541" s="1429">
        <f>G539/F539-1</f>
        <v>0.58005360417549512</v>
      </c>
      <c r="H541" s="201"/>
      <c r="I541" s="201"/>
      <c r="J541" s="201"/>
      <c r="K541" s="201"/>
      <c r="L541" s="1429">
        <f t="shared" si="1129" ref="L541:AU541">L539/G539-1</f>
        <v>0.25908401035621509</v>
      </c>
      <c r="M541" s="507">
        <f t="shared" si="1129"/>
        <v>0.17874396135265802</v>
      </c>
      <c r="N541" s="507">
        <f t="shared" si="1129"/>
        <v>0.12488715016551599</v>
      </c>
      <c r="O541" s="507">
        <f t="shared" si="1129"/>
        <v>0.073866980576810848</v>
      </c>
      <c r="P541" s="507">
        <f t="shared" si="1129"/>
        <v>-0.074710080285457559</v>
      </c>
      <c r="Q541" s="1429">
        <f t="shared" si="1129"/>
        <v>0.060199957455861597</v>
      </c>
      <c r="R541" s="507">
        <f t="shared" si="1129"/>
        <v>-0.16042154566744549</v>
      </c>
      <c r="S541" s="507">
        <f t="shared" si="1129"/>
        <v>-0.53023006955591145</v>
      </c>
      <c r="T541" s="507">
        <f t="shared" si="1129"/>
        <v>-0.46012606193477745</v>
      </c>
      <c r="U541" s="507">
        <f t="shared" si="1129"/>
        <v>0.040491684743314327</v>
      </c>
      <c r="V541" s="1429">
        <f t="shared" si="1129"/>
        <v>-0.27026484751203739</v>
      </c>
      <c r="W541" s="507">
        <f t="shared" si="1129"/>
        <v>0.74337517433751632</v>
      </c>
      <c r="X541" s="507">
        <f t="shared" si="1129"/>
        <v>1.4373576309794989</v>
      </c>
      <c r="Y541" s="507">
        <f t="shared" si="1129"/>
        <v>-0.12690355329949243</v>
      </c>
      <c r="Z541" s="507">
        <f t="shared" si="1129"/>
        <v>0.35950891823024933</v>
      </c>
      <c r="AA541" s="1429">
        <f t="shared" si="1129"/>
        <v>0.54605444047291218</v>
      </c>
      <c r="AB541" s="507">
        <f t="shared" si="1129"/>
        <v>0.66120000000000245</v>
      </c>
      <c r="AC541" s="507">
        <f t="shared" si="1129"/>
        <v>0.62897196261681865</v>
      </c>
      <c r="AD541" s="507">
        <f t="shared" si="1129"/>
        <v>3.4848837209302301</v>
      </c>
      <c r="AE541" s="507">
        <f t="shared" si="1129"/>
        <v>0.049241778837963102</v>
      </c>
      <c r="AF541" s="1429">
        <f t="shared" si="1129"/>
        <v>0.72802181516391462</v>
      </c>
      <c r="AG541" s="507">
        <f t="shared" si="1129"/>
        <v>0.14278834577413724</v>
      </c>
      <c r="AH541" s="507">
        <f t="shared" si="1129"/>
        <v>0.221026965002868</v>
      </c>
      <c r="AI541" s="507">
        <f t="shared" si="1129"/>
        <v>-0.050427793621987904</v>
      </c>
      <c r="AJ541" s="507">
        <f t="shared" si="1129"/>
        <v>0.2249106852874323</v>
      </c>
      <c r="AK541" s="1429">
        <f t="shared" si="1129"/>
        <v>0.12771869639793887</v>
      </c>
      <c r="AL541" s="507">
        <f t="shared" si="1129"/>
        <v>0.30246523388116442</v>
      </c>
      <c r="AM541" s="507">
        <f t="shared" si="1129"/>
        <v>0.39656995183836785</v>
      </c>
      <c r="AN541" s="507">
        <f t="shared" si="1129"/>
        <v>0.66156996587030692</v>
      </c>
      <c r="AO541" s="507">
        <f t="shared" si="1129"/>
        <v>0.56489460426885585</v>
      </c>
      <c r="AP541" s="1429">
        <f t="shared" si="1129"/>
        <v>0.46707024001460273</v>
      </c>
      <c r="AQ541" s="507">
        <f t="shared" si="1129"/>
        <v>-0.094151904877458059</v>
      </c>
      <c r="AR541" s="507">
        <f t="shared" si="1129"/>
        <v>-0.67802170073176837</v>
      </c>
      <c r="AS541" s="507">
        <f t="shared" si="1129"/>
        <v>-1.0385342206885246</v>
      </c>
      <c r="AT541" s="507">
        <f t="shared" si="1129"/>
        <v>-0.48356489325652274</v>
      </c>
      <c r="AU541" s="1429">
        <f t="shared" si="1129"/>
        <v>-0.57173367615650927</v>
      </c>
      <c r="AV541" s="507">
        <f t="shared" si="1130" ref="AV541:AZ541">AV539/AQ539-1</f>
        <v>-0.42066255915706319</v>
      </c>
      <c r="AW541" s="507">
        <f t="shared" si="1130"/>
        <v>0.40673981191221698</v>
      </c>
      <c r="AX541" s="507">
        <f t="shared" si="1130"/>
        <v>-3.0106609808100786</v>
      </c>
      <c r="AY541" s="507">
        <f t="shared" si="1130"/>
        <v>0.28346456692914135</v>
      </c>
      <c r="AZ541" s="1429">
        <f t="shared" si="1130"/>
        <v>-0.00067783480197614043</v>
      </c>
      <c r="BA541" s="507">
        <f t="shared" si="1131" ref="BA541:BO541">BA539/AV539-1</f>
        <v>-0.78175092478421526</v>
      </c>
      <c r="BB541" s="507">
        <f t="shared" si="1131"/>
        <v>-1.1194057567316578</v>
      </c>
      <c r="BC541" s="507">
        <f t="shared" si="1131"/>
        <v>11.04878048780496</v>
      </c>
      <c r="BD541" s="507">
        <f t="shared" si="1131"/>
        <v>1.273517382413079</v>
      </c>
      <c r="BE541" s="1429">
        <f t="shared" si="1131"/>
        <v>0.44975775193798584</v>
      </c>
      <c r="BF541" s="507">
        <f>BF539/BA539-1</f>
        <v>14.88912429378505</v>
      </c>
      <c r="BG541" s="507">
        <f>BG539/BB539-1</f>
        <v>-22.564541213064651</v>
      </c>
      <c r="BH541" s="830">
        <f>BH539/BC539-1</f>
        <v>0.76412603414892355</v>
      </c>
      <c r="BI541" s="201">
        <f t="shared" si="1131"/>
        <v>-0.29039536827026802</v>
      </c>
      <c r="BJ541" s="1333">
        <f t="shared" si="1131"/>
        <v>1.3069694612575105</v>
      </c>
      <c r="BK541" s="201">
        <f t="shared" si="1131"/>
        <v>-0.30944594009158777</v>
      </c>
      <c r="BL541" s="201">
        <f t="shared" si="1131"/>
        <v>-0.26840744044816189</v>
      </c>
      <c r="BM541" s="201">
        <f t="shared" si="1131"/>
        <v>-0.42670652186423474</v>
      </c>
      <c r="BN541" s="201">
        <f t="shared" si="1131"/>
        <v>0.51770117872835653</v>
      </c>
      <c r="BO541" s="1333">
        <f t="shared" si="1131"/>
        <v>-0.18400615992471336</v>
      </c>
      <c r="BP541" s="1333">
        <f>BP539/BO539-1</f>
        <v>0.072917239238727394</v>
      </c>
      <c r="BQ541" s="1333">
        <f>BQ539/BP539-1</f>
        <v>0.057288412547984668</v>
      </c>
      <c r="BR541" s="1333">
        <f>BR539/BQ539-1</f>
        <v>0.057034844108392324</v>
      </c>
      <c r="BS541" s="648"/>
    </row>
    <row r="542" spans="1:71" s="676" customFormat="1" ht="15">
      <c r="A542" s="291" t="s">
        <v>569</v>
      </c>
      <c r="B542" s="485"/>
      <c r="C542" s="1386">
        <f t="shared" si="1132" ref="C542:AH542">C539/C501</f>
        <v>0.083894724823018976</v>
      </c>
      <c r="D542" s="1397">
        <f t="shared" si="1132"/>
        <v>0.075690893341157653</v>
      </c>
      <c r="E542" s="1397">
        <f t="shared" si="1132"/>
        <v>0.070275384491504903</v>
      </c>
      <c r="F542" s="1397">
        <f t="shared" si="1132"/>
        <v>0.044256461480833814</v>
      </c>
      <c r="G542" s="1397">
        <f t="shared" si="1132"/>
        <v>0.06548990259246712</v>
      </c>
      <c r="H542" s="194">
        <f t="shared" si="1132"/>
        <v>0.065829225632055816</v>
      </c>
      <c r="I542" s="194">
        <f t="shared" si="1132"/>
        <v>0.073623573723274466</v>
      </c>
      <c r="J542" s="194">
        <f t="shared" si="1132"/>
        <v>0.074844166428052278</v>
      </c>
      <c r="K542" s="194">
        <f t="shared" si="1132"/>
        <v>0.090721482620482879</v>
      </c>
      <c r="L542" s="1397">
        <f t="shared" si="1132"/>
        <v>0.0766529880153273</v>
      </c>
      <c r="M542" s="194">
        <f t="shared" si="1132"/>
        <v>0.073205751880504794</v>
      </c>
      <c r="N542" s="194">
        <f t="shared" si="1132"/>
        <v>0.074822851195003842</v>
      </c>
      <c r="O542" s="194">
        <f t="shared" si="1132"/>
        <v>0.071963870153433626</v>
      </c>
      <c r="P542" s="194">
        <f t="shared" si="1132"/>
        <v>0.08030737070300395</v>
      </c>
      <c r="Q542" s="1397">
        <f t="shared" si="1132"/>
        <v>0.075139076641657199</v>
      </c>
      <c r="R542" s="194">
        <f t="shared" si="1132"/>
        <v>0.053936134200925294</v>
      </c>
      <c r="S542" s="194">
        <f t="shared" si="1132"/>
        <v>0.031572512495954615</v>
      </c>
      <c r="T542" s="194">
        <f t="shared" si="1132"/>
        <v>0.034420099940594751</v>
      </c>
      <c r="U542" s="194">
        <f t="shared" si="1132"/>
        <v>0.073525905235548708</v>
      </c>
      <c r="V542" s="1397">
        <f t="shared" si="1132"/>
        <v>0.048549434902554159</v>
      </c>
      <c r="W542" s="194">
        <f t="shared" si="1132"/>
        <v>0.082964142897439724</v>
      </c>
      <c r="X542" s="194">
        <f t="shared" si="1132"/>
        <v>0.067793388560657808</v>
      </c>
      <c r="Y542" s="194">
        <f t="shared" si="1132"/>
        <v>0.02628361858190709</v>
      </c>
      <c r="Z542" s="194">
        <f t="shared" si="1132"/>
        <v>0.085730145050322032</v>
      </c>
      <c r="AA542" s="1397">
        <f t="shared" si="1132"/>
        <v>0.06556185605074244</v>
      </c>
      <c r="AB542" s="194">
        <f t="shared" si="1132"/>
        <v>0.11577920267633136</v>
      </c>
      <c r="AC542" s="194">
        <f t="shared" si="1132"/>
        <v>0.091325875664771669</v>
      </c>
      <c r="AD542" s="194">
        <f t="shared" si="1132"/>
        <v>0.097270033415295332</v>
      </c>
      <c r="AE542" s="194">
        <f t="shared" si="1132"/>
        <v>0.075147048056036919</v>
      </c>
      <c r="AF542" s="1397">
        <f t="shared" si="1132"/>
        <v>0.094235015339456288</v>
      </c>
      <c r="AG542" s="194">
        <f t="shared" si="1132"/>
        <v>0.11220123407172745</v>
      </c>
      <c r="AH542" s="194">
        <f t="shared" si="1132"/>
        <v>0.096467868596099487</v>
      </c>
      <c r="AI542" s="194">
        <f t="shared" si="1133" ref="AI542:AU542">AI539/AI501</f>
        <v>0.081278711080535082</v>
      </c>
      <c r="AJ542" s="194">
        <f t="shared" si="1133"/>
        <v>0.076225027031943268</v>
      </c>
      <c r="AK542" s="1397">
        <f t="shared" si="1133"/>
        <v>0.090828461223903242</v>
      </c>
      <c r="AL542" s="194">
        <f t="shared" si="1133"/>
        <v>0.13109313200504746</v>
      </c>
      <c r="AM542" s="194">
        <f t="shared" si="1133"/>
        <v>0.12321994900814641</v>
      </c>
      <c r="AN542" s="194">
        <f t="shared" si="1133"/>
        <v>0.12203338847947029</v>
      </c>
      <c r="AO542" s="194">
        <f t="shared" si="1133"/>
        <v>0.11562573466029304</v>
      </c>
      <c r="AP542" s="1397">
        <f t="shared" si="1133"/>
        <v>0.12283503474132479</v>
      </c>
      <c r="AQ542" s="194">
        <f t="shared" si="1133"/>
        <v>0.10747394483791095</v>
      </c>
      <c r="AR542" s="194">
        <f t="shared" si="1133"/>
        <v>0.034856086612094106</v>
      </c>
      <c r="AS542" s="194">
        <f t="shared" si="1133"/>
        <v>-0.0041267774179926863</v>
      </c>
      <c r="AT542" s="194">
        <f t="shared" si="1133"/>
        <v>0.052545382453841813</v>
      </c>
      <c r="AU542" s="1397">
        <f t="shared" si="1133"/>
        <v>0.046550834259286425</v>
      </c>
      <c r="AV542" s="194">
        <f t="shared" si="1134" ref="AV542:AZ542">AV539/AV501</f>
        <v>0.054969541383897563</v>
      </c>
      <c r="AW542" s="194">
        <f t="shared" si="1134"/>
        <v>0.044328649396191785</v>
      </c>
      <c r="AX542" s="194">
        <f t="shared" si="1134"/>
        <v>0.0076055133923170022</v>
      </c>
      <c r="AY542" s="194">
        <f t="shared" si="1134"/>
        <v>0.060691153085366711</v>
      </c>
      <c r="AZ542" s="1397">
        <f t="shared" si="1134"/>
        <v>0.041916119022282157</v>
      </c>
      <c r="BA542" s="194">
        <f t="shared" si="1135" ref="BA542:BR542">BA539/BA501</f>
        <v>0.01046323458778862</v>
      </c>
      <c r="BB542" s="194">
        <f t="shared" si="1135"/>
        <v>-0.0044453969746410119</v>
      </c>
      <c r="BC542" s="194">
        <f t="shared" si="1135"/>
        <v>0.076284216109518341</v>
      </c>
      <c r="BD542" s="194">
        <f t="shared" si="1135"/>
        <v>0.11277785526799668</v>
      </c>
      <c r="BE542" s="1397">
        <f t="shared" si="1135"/>
        <v>0.051007084364623229</v>
      </c>
      <c r="BF542" s="194">
        <f>BF539/BF501</f>
        <v>0.13932477118759506</v>
      </c>
      <c r="BG542" s="194">
        <f>BG539/BG501</f>
        <v>0.080571777216072629</v>
      </c>
      <c r="BH542" s="832">
        <f>BH539/BH501</f>
        <v>0.10954980952849448</v>
      </c>
      <c r="BI542" s="388">
        <f t="shared" si="1135"/>
        <v>0.071884676910420595</v>
      </c>
      <c r="BJ542" s="1386">
        <f t="shared" si="1135"/>
        <v>0.09973610238398975</v>
      </c>
      <c r="BK542" s="388">
        <f t="shared" si="1135"/>
        <v>0.072459396578710339</v>
      </c>
      <c r="BL542" s="388">
        <f t="shared" si="1135"/>
        <v>0.051536567006642664</v>
      </c>
      <c r="BM542" s="388">
        <f t="shared" si="1135"/>
        <v>0.054684946417472791</v>
      </c>
      <c r="BN542" s="388">
        <f t="shared" si="1135"/>
        <v>0.096854018996524502</v>
      </c>
      <c r="BO542" s="1386">
        <f t="shared" si="1135"/>
        <v>0.068762708533197353</v>
      </c>
      <c r="BP542" s="1386">
        <f t="shared" si="1135"/>
        <v>0.068879158880521638</v>
      </c>
      <c r="BQ542" s="1386">
        <f t="shared" si="1135"/>
        <v>0.069997247741663909</v>
      </c>
      <c r="BR542" s="1386">
        <f t="shared" si="1135"/>
        <v>0.071116426234742638</v>
      </c>
      <c r="BS542" s="648"/>
    </row>
    <row r="543" spans="1:71" s="673" customFormat="1" ht="15">
      <c r="A543" s="948" t="s">
        <v>699</v>
      </c>
      <c r="B543" s="508"/>
      <c r="C543" s="1334"/>
      <c r="D543" s="1335">
        <f t="shared" si="1136" ref="D543:F543">(D542-C542)*10000</f>
        <v>-82.03831481861323</v>
      </c>
      <c r="E543" s="1335">
        <f t="shared" si="1136"/>
        <v>-54.155088496527505</v>
      </c>
      <c r="F543" s="1335">
        <f t="shared" si="1136"/>
        <v>-260.18923010671091</v>
      </c>
      <c r="G543" s="1335">
        <f>(G542-F542)*10000</f>
        <v>212.33441111633306</v>
      </c>
      <c r="H543" s="945"/>
      <c r="I543" s="945"/>
      <c r="J543" s="945"/>
      <c r="K543" s="945"/>
      <c r="L543" s="1335">
        <f t="shared" si="1137" ref="L543:AU543">(L542-G542)*10000</f>
        <v>111.63085422860181</v>
      </c>
      <c r="M543" s="945">
        <f t="shared" si="1137"/>
        <v>73.765262484489782</v>
      </c>
      <c r="N543" s="945">
        <f t="shared" si="1137"/>
        <v>11.992774717293763</v>
      </c>
      <c r="O543" s="945">
        <f t="shared" si="1137"/>
        <v>-28.802962746186516</v>
      </c>
      <c r="P543" s="945">
        <f t="shared" si="1137"/>
        <v>-104.1411191747893</v>
      </c>
      <c r="Q543" s="1335">
        <f t="shared" si="1137"/>
        <v>-15.139113736701015</v>
      </c>
      <c r="R543" s="945">
        <f t="shared" si="1137"/>
        <v>-192.696176795795</v>
      </c>
      <c r="S543" s="945">
        <f t="shared" si="1137"/>
        <v>-432.50338699049229</v>
      </c>
      <c r="T543" s="945">
        <f t="shared" si="1137"/>
        <v>-375.43770212838876</v>
      </c>
      <c r="U543" s="945">
        <f t="shared" si="1137"/>
        <v>-67.814654674552415</v>
      </c>
      <c r="V543" s="1335">
        <f t="shared" si="1137"/>
        <v>-265.89641739103041</v>
      </c>
      <c r="W543" s="945">
        <f t="shared" si="1137"/>
        <v>290.28008696514428</v>
      </c>
      <c r="X543" s="945">
        <f t="shared" si="1137"/>
        <v>362.20876064703191</v>
      </c>
      <c r="Y543" s="945">
        <f t="shared" si="1137"/>
        <v>-81.364813586876608</v>
      </c>
      <c r="Z543" s="945">
        <f t="shared" si="1137"/>
        <v>122.04239814773324</v>
      </c>
      <c r="AA543" s="1335">
        <f t="shared" si="1137"/>
        <v>170.12421148188281</v>
      </c>
      <c r="AB543" s="945">
        <f t="shared" si="1137"/>
        <v>328.1505977889164</v>
      </c>
      <c r="AC543" s="945">
        <f t="shared" si="1137"/>
        <v>235.32487104113861</v>
      </c>
      <c r="AD543" s="945">
        <f t="shared" si="1137"/>
        <v>709.86414833388244</v>
      </c>
      <c r="AE543" s="945">
        <f t="shared" si="1137"/>
        <v>-105.83096994285113</v>
      </c>
      <c r="AF543" s="1335">
        <f t="shared" si="1137"/>
        <v>286.7315928871385</v>
      </c>
      <c r="AG543" s="945">
        <f t="shared" si="1137"/>
        <v>-35.779686046039096</v>
      </c>
      <c r="AH543" s="945">
        <f t="shared" si="1137"/>
        <v>51.419929313278182</v>
      </c>
      <c r="AI543" s="945">
        <f t="shared" si="1137"/>
        <v>-159.9132233476025</v>
      </c>
      <c r="AJ543" s="945">
        <f t="shared" si="1137"/>
        <v>10.77978975906349</v>
      </c>
      <c r="AK543" s="1335">
        <f t="shared" si="1137"/>
        <v>-34.065541155530454</v>
      </c>
      <c r="AL543" s="945">
        <f t="shared" si="1137"/>
        <v>188.9189793332001</v>
      </c>
      <c r="AM543" s="945">
        <f t="shared" si="1137"/>
        <v>267.52080412046922</v>
      </c>
      <c r="AN543" s="945">
        <f t="shared" si="1137"/>
        <v>407.54677398935206</v>
      </c>
      <c r="AO543" s="945">
        <f t="shared" si="1137"/>
        <v>394.00707628349767</v>
      </c>
      <c r="AP543" s="1335">
        <f t="shared" si="1137"/>
        <v>320.06573517421549</v>
      </c>
      <c r="AQ543" s="945">
        <f t="shared" si="1137"/>
        <v>-236.19187167136513</v>
      </c>
      <c r="AR543" s="945">
        <f t="shared" si="1137"/>
        <v>-883.63862396052298</v>
      </c>
      <c r="AS543" s="945">
        <f t="shared" si="1137"/>
        <v>-1261.6016589746298</v>
      </c>
      <c r="AT543" s="945">
        <f t="shared" si="1137"/>
        <v>-630.80352206451221</v>
      </c>
      <c r="AU543" s="1335">
        <f t="shared" si="1137"/>
        <v>-762.84200482038364</v>
      </c>
      <c r="AV543" s="945">
        <f t="shared" si="1138" ref="AV543:AZ543">(AV542-AQ542)*10000</f>
        <v>-525.04403454013391</v>
      </c>
      <c r="AW543" s="945">
        <f t="shared" si="1138"/>
        <v>94.725627840976799</v>
      </c>
      <c r="AX543" s="945">
        <f t="shared" si="1138"/>
        <v>117.32290810309688</v>
      </c>
      <c r="AY543" s="945">
        <f t="shared" si="1138"/>
        <v>81.457706315248984</v>
      </c>
      <c r="AZ543" s="1335">
        <f t="shared" si="1138"/>
        <v>-46.347152370042679</v>
      </c>
      <c r="BA543" s="945">
        <f t="shared" si="1139" ref="BA543:BO543">(BA542-AV542)*10000</f>
        <v>-445.06306796108947</v>
      </c>
      <c r="BB543" s="945">
        <f t="shared" si="1139"/>
        <v>-487.74046370832798</v>
      </c>
      <c r="BC543" s="945">
        <f t="shared" si="1139"/>
        <v>686.78702717201338</v>
      </c>
      <c r="BD543" s="945">
        <f t="shared" si="1139"/>
        <v>520.86702182629961</v>
      </c>
      <c r="BE543" s="1335">
        <f t="shared" si="1139"/>
        <v>90.909653423410717</v>
      </c>
      <c r="BF543" s="945">
        <f>(BF542-BA542)*10000</f>
        <v>1288.6153659980646</v>
      </c>
      <c r="BG543" s="945">
        <f>(BG542-BB542)*10000</f>
        <v>850.17174190713638</v>
      </c>
      <c r="BH543" s="446">
        <f>(BH542-BC542)*10000</f>
        <v>332.65593418976141</v>
      </c>
      <c r="BI543" s="945">
        <f t="shared" si="1139"/>
        <v>-408.93178357576085</v>
      </c>
      <c r="BJ543" s="1335">
        <f t="shared" si="1139"/>
        <v>487.29018019366521</v>
      </c>
      <c r="BK543" s="945">
        <f t="shared" si="1139"/>
        <v>-668.65374608884724</v>
      </c>
      <c r="BL543" s="945">
        <f t="shared" si="1139"/>
        <v>-290.35210209429965</v>
      </c>
      <c r="BM543" s="945">
        <f t="shared" si="1139"/>
        <v>-548.64863111021691</v>
      </c>
      <c r="BN543" s="945">
        <f t="shared" si="1139"/>
        <v>249.69342086103907</v>
      </c>
      <c r="BO543" s="1335">
        <f t="shared" si="1139"/>
        <v>-309.73393850792399</v>
      </c>
      <c r="BP543" s="1335">
        <f>(BP542-BO542)*10000</f>
        <v>1.164503473242845</v>
      </c>
      <c r="BQ543" s="1335">
        <f>(BQ542-BP542)*10000</f>
        <v>11.180888611422718</v>
      </c>
      <c r="BR543" s="1335">
        <f>(BR542-BQ542)*10000</f>
        <v>11.191784930787291</v>
      </c>
      <c r="BS543" s="648"/>
    </row>
    <row r="544" spans="1:71" s="676" customFormat="1" ht="15">
      <c r="A544" s="601"/>
      <c r="B544" s="485"/>
      <c r="C544" s="1386"/>
      <c r="D544" s="1386"/>
      <c r="E544" s="1386"/>
      <c r="F544" s="1386"/>
      <c r="G544" s="1386"/>
      <c r="H544" s="388"/>
      <c r="I544" s="388"/>
      <c r="J544" s="388"/>
      <c r="K544" s="388"/>
      <c r="L544" s="1386"/>
      <c r="M544" s="388"/>
      <c r="N544" s="388"/>
      <c r="O544" s="388"/>
      <c r="P544" s="388"/>
      <c r="Q544" s="1386"/>
      <c r="R544" s="388"/>
      <c r="S544" s="388"/>
      <c r="T544" s="388"/>
      <c r="U544" s="388"/>
      <c r="V544" s="1386"/>
      <c r="W544" s="388"/>
      <c r="X544" s="388"/>
      <c r="Y544" s="388"/>
      <c r="Z544" s="388"/>
      <c r="AA544" s="1386"/>
      <c r="AB544" s="388"/>
      <c r="AC544" s="388"/>
      <c r="AD544" s="388"/>
      <c r="AE544" s="388"/>
      <c r="AF544" s="1386"/>
      <c r="AG544" s="388"/>
      <c r="AH544" s="388"/>
      <c r="AI544" s="388"/>
      <c r="AJ544" s="388"/>
      <c r="AK544" s="1386"/>
      <c r="AL544" s="388"/>
      <c r="AM544" s="388"/>
      <c r="AN544" s="388"/>
      <c r="AO544" s="388"/>
      <c r="AP544" s="1386"/>
      <c r="AQ544" s="388"/>
      <c r="AR544" s="388"/>
      <c r="AS544" s="388"/>
      <c r="AT544" s="388"/>
      <c r="AU544" s="1386"/>
      <c r="AV544" s="388"/>
      <c r="AW544" s="388"/>
      <c r="AX544" s="388"/>
      <c r="AY544" s="388"/>
      <c r="AZ544" s="1386"/>
      <c r="BA544" s="388"/>
      <c r="BB544" s="388"/>
      <c r="BC544" s="388"/>
      <c r="BD544" s="388"/>
      <c r="BE544" s="1386"/>
      <c r="BF544" s="388"/>
      <c r="BG544" s="388"/>
      <c r="BH544" s="833"/>
      <c r="BI544" s="388"/>
      <c r="BJ544" s="1386"/>
      <c r="BK544" s="388"/>
      <c r="BL544" s="388"/>
      <c r="BM544" s="388"/>
      <c r="BN544" s="388"/>
      <c r="BO544" s="1386"/>
      <c r="BP544" s="1386"/>
      <c r="BQ544" s="1386"/>
      <c r="BR544" s="1386"/>
      <c r="BS544" s="648"/>
    </row>
    <row r="545" spans="1:71" s="668" customFormat="1" ht="15">
      <c r="A545" s="991" t="s">
        <v>31</v>
      </c>
      <c r="B545" s="991"/>
      <c r="C545" s="1035"/>
      <c r="D545" s="1035"/>
      <c r="E545" s="1035"/>
      <c r="F545" s="1035"/>
      <c r="G545" s="1035"/>
      <c r="H545" s="1035"/>
      <c r="I545" s="1035"/>
      <c r="J545" s="1035"/>
      <c r="K545" s="1035"/>
      <c r="L545" s="1035"/>
      <c r="M545" s="1035"/>
      <c r="N545" s="1035"/>
      <c r="O545" s="1035"/>
      <c r="P545" s="1035"/>
      <c r="Q545" s="1035"/>
      <c r="R545" s="1035"/>
      <c r="S545" s="1035"/>
      <c r="T545" s="1035"/>
      <c r="U545" s="1035"/>
      <c r="V545" s="1035"/>
      <c r="W545" s="1035"/>
      <c r="X545" s="1035"/>
      <c r="Y545" s="1035"/>
      <c r="Z545" s="1035"/>
      <c r="AA545" s="1035"/>
      <c r="AB545" s="1035"/>
      <c r="AC545" s="1035"/>
      <c r="AD545" s="1035"/>
      <c r="AE545" s="1035"/>
      <c r="AF545" s="1035"/>
      <c r="AG545" s="1035"/>
      <c r="AH545" s="1035"/>
      <c r="AI545" s="1035"/>
      <c r="AJ545" s="1035"/>
      <c r="AK545" s="1035"/>
      <c r="AL545" s="1035"/>
      <c r="AM545" s="1035"/>
      <c r="AN545" s="1035"/>
      <c r="AO545" s="1035"/>
      <c r="AP545" s="1035"/>
      <c r="AQ545" s="1035"/>
      <c r="AR545" s="1035"/>
      <c r="AS545" s="1035"/>
      <c r="AT545" s="1035"/>
      <c r="AU545" s="1035"/>
      <c r="AV545" s="1035"/>
      <c r="AW545" s="1035"/>
      <c r="AX545" s="1035"/>
      <c r="AY545" s="1035"/>
      <c r="AZ545" s="1035"/>
      <c r="BA545" s="1035"/>
      <c r="BB545" s="1035"/>
      <c r="BC545" s="1035"/>
      <c r="BD545" s="1035"/>
      <c r="BE545" s="1035"/>
      <c r="BF545" s="1035"/>
      <c r="BG545" s="1035"/>
      <c r="BH545" s="1036"/>
      <c r="BI545" s="1037"/>
      <c r="BJ545" s="1037"/>
      <c r="BK545" s="1037"/>
      <c r="BL545" s="1037"/>
      <c r="BM545" s="1037"/>
      <c r="BN545" s="1037"/>
      <c r="BO545" s="1037"/>
      <c r="BP545" s="1035"/>
      <c r="BQ545" s="1035"/>
      <c r="BR545" s="1037"/>
      <c r="BS545" s="648"/>
    </row>
    <row r="546" spans="1:71" s="668" customFormat="1" ht="15" hidden="1" outlineLevel="1">
      <c r="A546" s="286" t="str">
        <f>A236</f>
        <v>Total Net Earned Premiums, mm</v>
      </c>
      <c r="B546" s="394"/>
      <c r="C546" s="1320">
        <f t="shared" si="1140" ref="C546:AH546">C236</f>
        <v>14012.80</v>
      </c>
      <c r="D546" s="1320">
        <f t="shared" si="1140"/>
        <v>14314.80</v>
      </c>
      <c r="E546" s="1320">
        <f t="shared" si="1140"/>
        <v>14902.80</v>
      </c>
      <c r="F546" s="1320">
        <f t="shared" si="1140"/>
        <v>16017.999999999998</v>
      </c>
      <c r="G546" s="1320">
        <f t="shared" si="1140"/>
        <v>17103.40</v>
      </c>
      <c r="H546" s="1021">
        <f t="shared" si="1140"/>
        <v>4402.2999999999993</v>
      </c>
      <c r="I546" s="1021">
        <f t="shared" si="1140"/>
        <v>4513.50</v>
      </c>
      <c r="J546" s="1021">
        <f t="shared" si="1140"/>
        <v>4540.1000000000004</v>
      </c>
      <c r="K546" s="1021">
        <f t="shared" si="1140"/>
        <v>4942.6000000000004</v>
      </c>
      <c r="L546" s="1320">
        <f t="shared" si="1140"/>
        <v>18398.50</v>
      </c>
      <c r="M546" s="1021">
        <f t="shared" si="1140"/>
        <v>4666.2999999999993</v>
      </c>
      <c r="N546" s="1021">
        <f t="shared" si="1140"/>
        <v>4995.80</v>
      </c>
      <c r="O546" s="1021">
        <f t="shared" si="1140"/>
        <v>5070.6000000000004</v>
      </c>
      <c r="P546" s="1021">
        <f t="shared" si="1140"/>
        <v>5166.4000000000005</v>
      </c>
      <c r="Q546" s="1320">
        <f t="shared" si="1140"/>
        <v>19899.099999999999</v>
      </c>
      <c r="R546" s="1021">
        <f t="shared" si="1140"/>
        <v>5317.40</v>
      </c>
      <c r="S546" s="1021">
        <f t="shared" si="1140"/>
        <v>5561.80</v>
      </c>
      <c r="T546" s="1021">
        <f t="shared" si="1140"/>
        <v>5723.40</v>
      </c>
      <c r="U546" s="1021">
        <f t="shared" si="1140"/>
        <v>5871.40</v>
      </c>
      <c r="V546" s="1320">
        <f t="shared" si="1140"/>
        <v>22474</v>
      </c>
      <c r="W546" s="1021">
        <f t="shared" si="1140"/>
        <v>6026.70</v>
      </c>
      <c r="X546" s="1021">
        <f t="shared" si="1140"/>
        <v>6313.30</v>
      </c>
      <c r="Y546" s="1021">
        <f t="shared" si="1140"/>
        <v>6544</v>
      </c>
      <c r="Z546" s="1021">
        <f t="shared" si="1140"/>
        <v>6845.90</v>
      </c>
      <c r="AA546" s="1320">
        <f t="shared" si="1140"/>
        <v>25729.900000000001</v>
      </c>
      <c r="AB546" s="1021">
        <f t="shared" si="1140"/>
        <v>7174.0000000000009</v>
      </c>
      <c r="AC546" s="1021">
        <f t="shared" si="1140"/>
        <v>7634.20</v>
      </c>
      <c r="AD546" s="1021">
        <f t="shared" si="1140"/>
        <v>7930.50</v>
      </c>
      <c r="AE546" s="1021">
        <f t="shared" si="1140"/>
        <v>8194.60</v>
      </c>
      <c r="AF546" s="1320">
        <f t="shared" si="1140"/>
        <v>30933.300000000003</v>
      </c>
      <c r="AG546" s="1021">
        <f t="shared" si="1140"/>
        <v>8459.7999999999993</v>
      </c>
      <c r="AH546" s="1021">
        <f t="shared" si="1140"/>
        <v>8824.7000000000007</v>
      </c>
      <c r="AI546" s="1021">
        <f t="shared" si="1141" ref="AI546:AU546">AI236</f>
        <v>9012.1999999999989</v>
      </c>
      <c r="AJ546" s="1021">
        <f t="shared" si="1141"/>
        <v>9895.7000000000007</v>
      </c>
      <c r="AK546" s="1320">
        <f t="shared" si="1141"/>
        <v>36192.40</v>
      </c>
      <c r="AL546" s="1021">
        <f t="shared" si="1141"/>
        <v>9430.7000000000007</v>
      </c>
      <c r="AM546" s="1021">
        <f t="shared" si="1141"/>
        <v>9648.60</v>
      </c>
      <c r="AN546" s="1021">
        <f t="shared" si="1141"/>
        <v>9973.4999999999982</v>
      </c>
      <c r="AO546" s="1021">
        <f t="shared" si="1141"/>
        <v>10208.800000000001</v>
      </c>
      <c r="AP546" s="1320">
        <f t="shared" si="1141"/>
        <v>39261.60</v>
      </c>
      <c r="AQ546" s="1021">
        <f t="shared" si="1141"/>
        <v>10420.199999999999</v>
      </c>
      <c r="AR546" s="1021">
        <f t="shared" si="1141"/>
        <v>10982.299999999999</v>
      </c>
      <c r="AS546" s="1021">
        <f t="shared" si="1141"/>
        <v>11364.799999999997</v>
      </c>
      <c r="AT546" s="1021">
        <f t="shared" si="1141"/>
        <v>11601.40</v>
      </c>
      <c r="AU546" s="1320">
        <f t="shared" si="1141"/>
        <v>44368.699999999997</v>
      </c>
      <c r="AV546" s="1021">
        <f t="shared" si="1142" ref="AV546:AZ546">AV236</f>
        <v>11802.900000000003</v>
      </c>
      <c r="AW546" s="1021">
        <f t="shared" si="1142"/>
        <v>12147.90</v>
      </c>
      <c r="AX546" s="1021">
        <f t="shared" si="1142"/>
        <v>12398.90</v>
      </c>
      <c r="AY546" s="1021">
        <f t="shared" si="1142"/>
        <v>12891.500000000002</v>
      </c>
      <c r="AZ546" s="1320">
        <f t="shared" si="1142"/>
        <v>49241.199999999997</v>
      </c>
      <c r="BA546" s="1021">
        <f t="shared" si="1143" ref="BA546:BR546">BA236</f>
        <v>13533.10</v>
      </c>
      <c r="BB546" s="1021">
        <f t="shared" si="1143"/>
        <v>14464.40</v>
      </c>
      <c r="BC546" s="1021">
        <f t="shared" si="1143"/>
        <v>14894.299999999999</v>
      </c>
      <c r="BD546" s="1021">
        <f t="shared" si="1143"/>
        <v>15772.600000000004</v>
      </c>
      <c r="BE546" s="1320">
        <f t="shared" si="1143"/>
        <v>58664.400000000001</v>
      </c>
      <c r="BF546" s="1021">
        <f>BF236</f>
        <v>16148.60</v>
      </c>
      <c r="BG546" s="1021">
        <f>BG236</f>
        <v>17209.500000000004</v>
      </c>
      <c r="BH546" s="1022">
        <f>BH236</f>
        <v>18296.700000000001</v>
      </c>
      <c r="BI546" s="1023">
        <f t="shared" si="1143"/>
        <v>17559.301553150228</v>
      </c>
      <c r="BJ546" s="1321">
        <f t="shared" si="1143"/>
        <v>69214.101553150234</v>
      </c>
      <c r="BK546" s="1023">
        <f t="shared" si="1143"/>
        <v>21442.044134334246</v>
      </c>
      <c r="BL546" s="1023">
        <f t="shared" si="1143"/>
        <v>19683.62081517437</v>
      </c>
      <c r="BM546" s="1023">
        <f t="shared" si="1143"/>
        <v>21013.268236616033</v>
      </c>
      <c r="BN546" s="1023">
        <f t="shared" si="1143"/>
        <v>19779.357817031436</v>
      </c>
      <c r="BO546" s="1321">
        <f t="shared" si="1143"/>
        <v>81918.291003156075</v>
      </c>
      <c r="BP546" s="1322">
        <f t="shared" si="1143"/>
        <v>87742.953041527231</v>
      </c>
      <c r="BQ546" s="1322">
        <f t="shared" si="1143"/>
        <v>91287.768344404933</v>
      </c>
      <c r="BR546" s="1321">
        <f t="shared" si="1143"/>
        <v>94975.794185518884</v>
      </c>
      <c r="BS546" s="648"/>
    </row>
    <row r="547" spans="1:71" s="665" customFormat="1" ht="15" hidden="1" outlineLevel="1">
      <c r="A547" s="999"/>
      <c r="B547" s="308"/>
      <c r="C547" s="1351"/>
      <c r="D547" s="1351"/>
      <c r="E547" s="1351"/>
      <c r="F547" s="1351"/>
      <c r="G547" s="1351"/>
      <c r="H547" s="1047"/>
      <c r="I547" s="1047"/>
      <c r="J547" s="1047"/>
      <c r="K547" s="1047"/>
      <c r="L547" s="1351"/>
      <c r="M547" s="1047"/>
      <c r="N547" s="1047"/>
      <c r="O547" s="1047"/>
      <c r="P547" s="1047"/>
      <c r="Q547" s="1351"/>
      <c r="R547" s="1047"/>
      <c r="S547" s="1047"/>
      <c r="T547" s="1047"/>
      <c r="U547" s="1047"/>
      <c r="V547" s="1351"/>
      <c r="W547" s="1047"/>
      <c r="X547" s="1047"/>
      <c r="Y547" s="1047"/>
      <c r="Z547" s="1047"/>
      <c r="AA547" s="1351"/>
      <c r="AB547" s="1047"/>
      <c r="AC547" s="1047"/>
      <c r="AD547" s="1047"/>
      <c r="AE547" s="1047"/>
      <c r="AF547" s="1351"/>
      <c r="AG547" s="1047"/>
      <c r="AH547" s="1047"/>
      <c r="AI547" s="1047"/>
      <c r="AJ547" s="1047"/>
      <c r="AK547" s="1351"/>
      <c r="AL547" s="1047"/>
      <c r="AM547" s="1047"/>
      <c r="AN547" s="1047"/>
      <c r="AO547" s="1047"/>
      <c r="AP547" s="1351"/>
      <c r="AQ547" s="1047"/>
      <c r="AR547" s="1047"/>
      <c r="AS547" s="1047"/>
      <c r="AT547" s="1047"/>
      <c r="AU547" s="1351"/>
      <c r="AV547" s="1047"/>
      <c r="AW547" s="1047"/>
      <c r="AX547" s="1047"/>
      <c r="AY547" s="1047"/>
      <c r="AZ547" s="1351"/>
      <c r="BA547" s="1047"/>
      <c r="BB547" s="1047"/>
      <c r="BC547" s="1047"/>
      <c r="BD547" s="1047"/>
      <c r="BE547" s="1351"/>
      <c r="BF547" s="1047"/>
      <c r="BG547" s="1047"/>
      <c r="BH547" s="1048"/>
      <c r="BI547" s="1044"/>
      <c r="BJ547" s="1350"/>
      <c r="BK547" s="1044"/>
      <c r="BL547" s="1044"/>
      <c r="BM547" s="1044"/>
      <c r="BN547" s="1044"/>
      <c r="BO547" s="1350"/>
      <c r="BP547" s="1351"/>
      <c r="BQ547" s="1351"/>
      <c r="BR547" s="1350"/>
      <c r="BS547" s="648"/>
    </row>
    <row r="548" spans="1:71" s="665" customFormat="1" ht="15" hidden="1" outlineLevel="1">
      <c r="A548" s="371" t="s">
        <v>32</v>
      </c>
      <c r="B548" s="308"/>
      <c r="C548" s="1349">
        <f t="shared" si="1144" ref="C548:AU548">C913</f>
        <v>4172.8999999999996</v>
      </c>
      <c r="D548" s="1349">
        <f t="shared" si="1144"/>
        <v>4353.80</v>
      </c>
      <c r="E548" s="1349">
        <f t="shared" si="1144"/>
        <v>4579.3999999999996</v>
      </c>
      <c r="F548" s="1349">
        <f t="shared" si="1144"/>
        <v>4930.70</v>
      </c>
      <c r="G548" s="1349">
        <f t="shared" si="1144"/>
        <v>5174.50</v>
      </c>
      <c r="H548" s="1042">
        <f t="shared" si="1144"/>
        <v>5460.10</v>
      </c>
      <c r="I548" s="1042">
        <f t="shared" si="1144"/>
        <v>5582.60</v>
      </c>
      <c r="J548" s="1042">
        <f t="shared" si="1144"/>
        <v>5777</v>
      </c>
      <c r="K548" s="1042">
        <f t="shared" si="1144"/>
        <v>5440.10</v>
      </c>
      <c r="L548" s="1349">
        <f t="shared" si="1144"/>
        <v>5440.10</v>
      </c>
      <c r="M548" s="1042">
        <f t="shared" si="1144"/>
        <v>5854</v>
      </c>
      <c r="N548" s="1042">
        <f t="shared" si="1144"/>
        <v>6641.90</v>
      </c>
      <c r="O548" s="1042">
        <f t="shared" si="1144"/>
        <v>6971.90</v>
      </c>
      <c r="P548" s="1042">
        <f t="shared" si="1144"/>
        <v>6621.80</v>
      </c>
      <c r="Q548" s="1349">
        <f t="shared" si="1144"/>
        <v>6621.80</v>
      </c>
      <c r="R548" s="1042">
        <f t="shared" si="1144"/>
        <v>7140.70</v>
      </c>
      <c r="S548" s="1042">
        <f t="shared" si="1144"/>
        <v>7470.10</v>
      </c>
      <c r="T548" s="1042">
        <f t="shared" si="1144"/>
        <v>7792.40</v>
      </c>
      <c r="U548" s="1042">
        <f t="shared" si="1144"/>
        <v>7468.30</v>
      </c>
      <c r="V548" s="1349">
        <f t="shared" si="1144"/>
        <v>7468.30</v>
      </c>
      <c r="W548" s="1042">
        <f t="shared" si="1144"/>
        <v>7945</v>
      </c>
      <c r="X548" s="1042">
        <f t="shared" si="1144"/>
        <v>8407.7000000000007</v>
      </c>
      <c r="Y548" s="1042">
        <f t="shared" si="1144"/>
        <v>9005.2999999999993</v>
      </c>
      <c r="Z548" s="1042">
        <f t="shared" si="1144"/>
        <v>8903.50</v>
      </c>
      <c r="AA548" s="1349">
        <f t="shared" si="1144"/>
        <v>8903.50</v>
      </c>
      <c r="AB548" s="1042">
        <f t="shared" si="1144"/>
        <v>9837.7999999999993</v>
      </c>
      <c r="AC548" s="1042">
        <f t="shared" si="1144"/>
        <v>10245.90</v>
      </c>
      <c r="AD548" s="1042">
        <f t="shared" si="1144"/>
        <v>11009.20</v>
      </c>
      <c r="AE548" s="1042">
        <f t="shared" si="1144"/>
        <v>10686.50</v>
      </c>
      <c r="AF548" s="1349">
        <f t="shared" si="1144"/>
        <v>10686.50</v>
      </c>
      <c r="AG548" s="1042">
        <f t="shared" si="1144"/>
        <v>11603.60</v>
      </c>
      <c r="AH548" s="1042">
        <f t="shared" si="1144"/>
        <v>11796.700000000001</v>
      </c>
      <c r="AI548" s="1042">
        <f t="shared" si="1144"/>
        <v>12526.50</v>
      </c>
      <c r="AJ548" s="1042">
        <f t="shared" si="1144"/>
        <v>12388.80</v>
      </c>
      <c r="AK548" s="1349">
        <f t="shared" si="1144"/>
        <v>12388.80</v>
      </c>
      <c r="AL548" s="1042">
        <f t="shared" si="1144"/>
        <v>12641.10</v>
      </c>
      <c r="AM548" s="1042">
        <f t="shared" si="1144"/>
        <v>13055.60</v>
      </c>
      <c r="AN548" s="1042">
        <f t="shared" si="1144"/>
        <v>14199.299999999999</v>
      </c>
      <c r="AO548" s="1042">
        <f t="shared" si="1144"/>
        <v>13437.50</v>
      </c>
      <c r="AP548" s="1349">
        <f t="shared" si="1144"/>
        <v>13437.50</v>
      </c>
      <c r="AQ548" s="1042">
        <f t="shared" si="1144"/>
        <v>15045.90</v>
      </c>
      <c r="AR548" s="1042">
        <f t="shared" si="1144"/>
        <v>15555.90</v>
      </c>
      <c r="AS548" s="1042">
        <f t="shared" si="1144"/>
        <v>16671.40</v>
      </c>
      <c r="AT548" s="1042">
        <f t="shared" si="1144"/>
        <v>15615.80</v>
      </c>
      <c r="AU548" s="1349">
        <f t="shared" si="1144"/>
        <v>15615.80</v>
      </c>
      <c r="AV548" s="1042">
        <f t="shared" si="1145" ref="AV548:BA548">AV913</f>
        <v>16991.40</v>
      </c>
      <c r="AW548" s="1042">
        <f t="shared" si="1145"/>
        <v>17274.80</v>
      </c>
      <c r="AX548" s="1042">
        <f t="shared" si="1145"/>
        <v>17796.900000000001</v>
      </c>
      <c r="AY548" s="1042">
        <f t="shared" si="1145"/>
        <v>17293.60</v>
      </c>
      <c r="AZ548" s="1349">
        <f t="shared" si="1145"/>
        <v>17293.60</v>
      </c>
      <c r="BA548" s="1042">
        <f t="shared" si="1145"/>
        <v>19844.299999999999</v>
      </c>
      <c r="BB548" s="1042">
        <f t="shared" si="1146" ref="BB548:BG548">BB913</f>
        <v>20070.099999999999</v>
      </c>
      <c r="BC548" s="1042">
        <f t="shared" si="1146"/>
        <v>20761.700000000001</v>
      </c>
      <c r="BD548" s="1042">
        <f t="shared" si="1146"/>
        <v>20133.700000000001</v>
      </c>
      <c r="BE548" s="1349">
        <f t="shared" si="1146"/>
        <v>20133.700000000001</v>
      </c>
      <c r="BF548" s="1042">
        <f t="shared" si="1146"/>
        <v>22907.299999999999</v>
      </c>
      <c r="BG548" s="1042">
        <f t="shared" si="1146"/>
        <v>23680.40</v>
      </c>
      <c r="BH548" s="1043">
        <f>BH913</f>
        <v>24772.50</v>
      </c>
      <c r="BI548" s="1044"/>
      <c r="BJ548" s="1350"/>
      <c r="BK548" s="1044"/>
      <c r="BL548" s="1044"/>
      <c r="BM548" s="1044"/>
      <c r="BN548" s="1044"/>
      <c r="BO548" s="1350"/>
      <c r="BP548" s="1351"/>
      <c r="BQ548" s="1351"/>
      <c r="BR548" s="1350"/>
      <c r="BS548" s="648"/>
    </row>
    <row r="549" spans="1:71" s="665" customFormat="1" ht="15" hidden="1" outlineLevel="1">
      <c r="A549" s="1000" t="s">
        <v>33</v>
      </c>
      <c r="B549" s="260"/>
      <c r="C549" s="1323">
        <f t="shared" si="1147" ref="C549:AU549">C902</f>
        <v>69.30</v>
      </c>
      <c r="D549" s="1323">
        <f t="shared" si="1147"/>
        <v>88.10</v>
      </c>
      <c r="E549" s="1323">
        <f t="shared" si="1147"/>
        <v>69.80</v>
      </c>
      <c r="F549" s="1323">
        <f t="shared" si="1147"/>
        <v>66.30</v>
      </c>
      <c r="G549" s="1323">
        <f t="shared" si="1147"/>
        <v>74.900000000000006</v>
      </c>
      <c r="H549" s="1027">
        <f t="shared" si="1147"/>
        <v>81.80</v>
      </c>
      <c r="I549" s="1027">
        <f t="shared" si="1147"/>
        <v>89.80</v>
      </c>
      <c r="J549" s="1027">
        <f t="shared" si="1147"/>
        <v>92.30</v>
      </c>
      <c r="K549" s="1027">
        <f t="shared" si="1147"/>
        <v>85.30</v>
      </c>
      <c r="L549" s="1323">
        <f t="shared" si="1147"/>
        <v>85.30</v>
      </c>
      <c r="M549" s="1027">
        <f t="shared" si="1147"/>
        <v>99.30</v>
      </c>
      <c r="N549" s="1027">
        <f t="shared" si="1147"/>
        <v>233</v>
      </c>
      <c r="O549" s="1027">
        <f t="shared" si="1147"/>
        <v>221.70</v>
      </c>
      <c r="P549" s="1027">
        <f t="shared" si="1147"/>
        <v>199.30</v>
      </c>
      <c r="Q549" s="1323">
        <f t="shared" si="1147"/>
        <v>199.30</v>
      </c>
      <c r="R549" s="1027">
        <f t="shared" si="1147"/>
        <v>216.70</v>
      </c>
      <c r="S549" s="1027">
        <f t="shared" si="1147"/>
        <v>178</v>
      </c>
      <c r="T549" s="1027">
        <f t="shared" si="1147"/>
        <v>174.40</v>
      </c>
      <c r="U549" s="1027">
        <f t="shared" si="1147"/>
        <v>170.50</v>
      </c>
      <c r="V549" s="1323">
        <f t="shared" si="1147"/>
        <v>170.50</v>
      </c>
      <c r="W549" s="1027">
        <f t="shared" si="1147"/>
        <v>182.70</v>
      </c>
      <c r="X549" s="1027">
        <f t="shared" si="1147"/>
        <v>212.60</v>
      </c>
      <c r="Y549" s="1027">
        <f t="shared" si="1147"/>
        <v>211.70</v>
      </c>
      <c r="Z549" s="1027">
        <f t="shared" si="1147"/>
        <v>203.30</v>
      </c>
      <c r="AA549" s="1323">
        <f t="shared" si="1147"/>
        <v>203.30</v>
      </c>
      <c r="AB549" s="1027">
        <f t="shared" si="1147"/>
        <v>342.80</v>
      </c>
      <c r="AC549" s="1027">
        <f t="shared" si="1147"/>
        <v>289.80</v>
      </c>
      <c r="AD549" s="1027">
        <f t="shared" si="1147"/>
        <v>379.60</v>
      </c>
      <c r="AE549" s="1027">
        <f t="shared" si="1147"/>
        <v>309.70</v>
      </c>
      <c r="AF549" s="1323">
        <f t="shared" si="1147"/>
        <v>309.70</v>
      </c>
      <c r="AG549" s="1027">
        <f t="shared" si="1147"/>
        <v>446.70</v>
      </c>
      <c r="AH549" s="1027">
        <f t="shared" si="1147"/>
        <v>338</v>
      </c>
      <c r="AI549" s="1027">
        <f t="shared" si="1147"/>
        <v>458.80</v>
      </c>
      <c r="AJ549" s="1027">
        <f t="shared" si="1147"/>
        <v>626.50</v>
      </c>
      <c r="AK549" s="1323">
        <f t="shared" si="1147"/>
        <v>626.50</v>
      </c>
      <c r="AL549" s="1027">
        <f t="shared" si="1147"/>
        <v>438.20</v>
      </c>
      <c r="AM549" s="1027">
        <f t="shared" si="1147"/>
        <v>361.30</v>
      </c>
      <c r="AN549" s="1027">
        <f t="shared" si="1147"/>
        <v>463.40</v>
      </c>
      <c r="AO549" s="1027">
        <f t="shared" si="1147"/>
        <v>368.10</v>
      </c>
      <c r="AP549" s="1323">
        <f t="shared" si="1147"/>
        <v>368.10</v>
      </c>
      <c r="AQ549" s="1027">
        <f t="shared" si="1147"/>
        <v>667.60</v>
      </c>
      <c r="AR549" s="1027">
        <f t="shared" si="1147"/>
        <v>620</v>
      </c>
      <c r="AS549" s="1027">
        <f t="shared" si="1147"/>
        <v>661.10</v>
      </c>
      <c r="AT549" s="1027">
        <f t="shared" si="1147"/>
        <v>457.60</v>
      </c>
      <c r="AU549" s="1323">
        <f t="shared" si="1147"/>
        <v>457.60</v>
      </c>
      <c r="AV549" s="1027">
        <f t="shared" si="1148" ref="AV549:BA549">AV902</f>
        <v>455.10</v>
      </c>
      <c r="AW549" s="1027">
        <f t="shared" si="1148"/>
        <v>464.30</v>
      </c>
      <c r="AX549" s="1027">
        <f t="shared" si="1148"/>
        <v>367.50</v>
      </c>
      <c r="AY549" s="1027">
        <f t="shared" si="1148"/>
        <v>295.50</v>
      </c>
      <c r="AZ549" s="1323">
        <f t="shared" si="1148"/>
        <v>295.50</v>
      </c>
      <c r="BA549" s="1027">
        <f t="shared" si="1148"/>
        <v>269.60000000000002</v>
      </c>
      <c r="BB549" s="1027">
        <f t="shared" si="1149" ref="BB549:BG549">BB902</f>
        <v>242.90</v>
      </c>
      <c r="BC549" s="1027">
        <f t="shared" si="1149"/>
        <v>235</v>
      </c>
      <c r="BD549" s="1027">
        <f t="shared" si="1149"/>
        <v>249.80</v>
      </c>
      <c r="BE549" s="1323">
        <f t="shared" si="1149"/>
        <v>249.80</v>
      </c>
      <c r="BF549" s="1027">
        <f t="shared" si="1149"/>
        <v>209.80</v>
      </c>
      <c r="BG549" s="1027">
        <f t="shared" si="1149"/>
        <v>290.80</v>
      </c>
      <c r="BH549" s="1028">
        <f>BH902</f>
        <v>224</v>
      </c>
      <c r="BI549" s="1029"/>
      <c r="BJ549" s="1324"/>
      <c r="BK549" s="1029"/>
      <c r="BL549" s="1029"/>
      <c r="BM549" s="1029"/>
      <c r="BN549" s="1029"/>
      <c r="BO549" s="1324"/>
      <c r="BP549" s="1324"/>
      <c r="BQ549" s="1324"/>
      <c r="BR549" s="1324"/>
      <c r="BS549" s="648"/>
    </row>
    <row r="550" spans="1:71" s="668" customFormat="1" ht="15" hidden="1" outlineLevel="1">
      <c r="A550" s="648" t="s">
        <v>34</v>
      </c>
      <c r="B550" s="394"/>
      <c r="C550" s="1320">
        <f t="shared" si="1150" ref="C550:AT550">C548-C549</f>
        <v>4103.5999999999995</v>
      </c>
      <c r="D550" s="1320">
        <f t="shared" si="1150"/>
        <v>4265.70</v>
      </c>
      <c r="E550" s="1320">
        <f t="shared" si="1150"/>
        <v>4509.5999999999995</v>
      </c>
      <c r="F550" s="1320">
        <f t="shared" si="1150"/>
        <v>4864.3999999999996</v>
      </c>
      <c r="G550" s="1320">
        <f t="shared" si="1150"/>
        <v>5099.6000000000004</v>
      </c>
      <c r="H550" s="1021">
        <f t="shared" si="1150"/>
        <v>5378.30</v>
      </c>
      <c r="I550" s="1021">
        <f t="shared" si="1150"/>
        <v>5492.80</v>
      </c>
      <c r="J550" s="1021">
        <f t="shared" si="1150"/>
        <v>5684.70</v>
      </c>
      <c r="K550" s="1021">
        <f t="shared" si="1150"/>
        <v>5354.80</v>
      </c>
      <c r="L550" s="1320">
        <f t="shared" si="1150"/>
        <v>5354.80</v>
      </c>
      <c r="M550" s="1021">
        <f t="shared" si="1150"/>
        <v>5754.70</v>
      </c>
      <c r="N550" s="1021">
        <f t="shared" si="1150"/>
        <v>6408.90</v>
      </c>
      <c r="O550" s="1021">
        <f t="shared" si="1150"/>
        <v>6750.20</v>
      </c>
      <c r="P550" s="1021">
        <f t="shared" si="1150"/>
        <v>6422.50</v>
      </c>
      <c r="Q550" s="1320">
        <f t="shared" si="1150"/>
        <v>6422.50</v>
      </c>
      <c r="R550" s="1021">
        <f t="shared" si="1150"/>
        <v>6924</v>
      </c>
      <c r="S550" s="1021">
        <f t="shared" si="1150"/>
        <v>7292.10</v>
      </c>
      <c r="T550" s="1021">
        <f t="shared" si="1150"/>
        <v>7618</v>
      </c>
      <c r="U550" s="1021">
        <f t="shared" si="1150"/>
        <v>7297.80</v>
      </c>
      <c r="V550" s="1320">
        <f t="shared" si="1150"/>
        <v>7297.80</v>
      </c>
      <c r="W550" s="1021">
        <f t="shared" si="1150"/>
        <v>7762.30</v>
      </c>
      <c r="X550" s="1021">
        <f t="shared" si="1150"/>
        <v>8195.10</v>
      </c>
      <c r="Y550" s="1021">
        <f t="shared" si="1150"/>
        <v>8793.5999999999985</v>
      </c>
      <c r="Z550" s="1021">
        <f t="shared" si="1150"/>
        <v>8700.2000000000007</v>
      </c>
      <c r="AA550" s="1320">
        <f t="shared" si="1150"/>
        <v>8700.2000000000007</v>
      </c>
      <c r="AB550" s="1021">
        <f t="shared" si="1150"/>
        <v>9495</v>
      </c>
      <c r="AC550" s="1021">
        <f t="shared" si="1150"/>
        <v>9956.10</v>
      </c>
      <c r="AD550" s="1021">
        <f t="shared" si="1150"/>
        <v>10629.60</v>
      </c>
      <c r="AE550" s="1021">
        <f t="shared" si="1150"/>
        <v>10376.799999999999</v>
      </c>
      <c r="AF550" s="1320">
        <f t="shared" si="1150"/>
        <v>10376.799999999999</v>
      </c>
      <c r="AG550" s="1021">
        <f t="shared" si="1150"/>
        <v>11156.90</v>
      </c>
      <c r="AH550" s="1021">
        <f t="shared" si="1150"/>
        <v>11458.700000000001</v>
      </c>
      <c r="AI550" s="1021">
        <f t="shared" si="1150"/>
        <v>12067.700000000001</v>
      </c>
      <c r="AJ550" s="1021">
        <f t="shared" si="1150"/>
        <v>11762.299999999999</v>
      </c>
      <c r="AK550" s="1320">
        <f t="shared" si="1150"/>
        <v>11762.299999999999</v>
      </c>
      <c r="AL550" s="1021">
        <f t="shared" si="1150"/>
        <v>12202.90</v>
      </c>
      <c r="AM550" s="1021">
        <f t="shared" si="1150"/>
        <v>12694.300000000001</v>
      </c>
      <c r="AN550" s="1021">
        <f t="shared" si="1150"/>
        <v>13735.90</v>
      </c>
      <c r="AO550" s="1021">
        <f t="shared" si="1150"/>
        <v>13069.40</v>
      </c>
      <c r="AP550" s="1320">
        <f t="shared" si="1150"/>
        <v>13069.40</v>
      </c>
      <c r="AQ550" s="1021">
        <f t="shared" si="1150"/>
        <v>14378.299999999999</v>
      </c>
      <c r="AR550" s="1021">
        <f t="shared" si="1150"/>
        <v>14935.90</v>
      </c>
      <c r="AS550" s="1021">
        <f t="shared" si="1150"/>
        <v>16010.300000000001</v>
      </c>
      <c r="AT550" s="1021">
        <f t="shared" si="1150"/>
        <v>15158.20</v>
      </c>
      <c r="AU550" s="1320">
        <f t="shared" si="1151" ref="AU550:AZ550">AU548-AU549</f>
        <v>15158.20</v>
      </c>
      <c r="AV550" s="1021">
        <f t="shared" si="1151"/>
        <v>16536.300000000003</v>
      </c>
      <c r="AW550" s="1021">
        <f t="shared" si="1151"/>
        <v>16810.50</v>
      </c>
      <c r="AX550" s="1021">
        <f t="shared" si="1151"/>
        <v>17429.40</v>
      </c>
      <c r="AY550" s="1021">
        <f t="shared" si="1151"/>
        <v>16998.099999999999</v>
      </c>
      <c r="AZ550" s="1320">
        <f t="shared" si="1151"/>
        <v>16998.099999999999</v>
      </c>
      <c r="BA550" s="1021">
        <f t="shared" si="1152" ref="BA550:BF550">BA548-BA549</f>
        <v>19574.700000000001</v>
      </c>
      <c r="BB550" s="1021">
        <f t="shared" si="1152"/>
        <v>19827.199999999997</v>
      </c>
      <c r="BC550" s="1021">
        <f t="shared" si="1152"/>
        <v>20526.700000000001</v>
      </c>
      <c r="BD550" s="1021">
        <f t="shared" si="1152"/>
        <v>19883.900000000001</v>
      </c>
      <c r="BE550" s="1320">
        <f t="shared" si="1152"/>
        <v>19883.900000000001</v>
      </c>
      <c r="BF550" s="1021">
        <f t="shared" si="1152"/>
        <v>22697.50</v>
      </c>
      <c r="BG550" s="1021">
        <f>BG548-BG549</f>
        <v>23389.60</v>
      </c>
      <c r="BH550" s="1022">
        <f>BH548-BH549</f>
        <v>24548.50</v>
      </c>
      <c r="BI550" s="1023">
        <f>BH550+BI554</f>
        <v>24837.545198958614</v>
      </c>
      <c r="BJ550" s="1321">
        <f>BI550</f>
        <v>24837.545198958614</v>
      </c>
      <c r="BK550" s="1023">
        <f>BJ550+BK554</f>
        <v>25244.062916932107</v>
      </c>
      <c r="BL550" s="1023">
        <f>BK550+BL554</f>
        <v>26177.393667955192</v>
      </c>
      <c r="BM550" s="1023">
        <f>BL550+BM554</f>
        <v>27092.044140546412</v>
      </c>
      <c r="BN550" s="1023">
        <f>BM550+BN554</f>
        <v>27414.476540241569</v>
      </c>
      <c r="BO550" s="1321">
        <f>BN550</f>
        <v>27414.476540241569</v>
      </c>
      <c r="BP550" s="1322">
        <f>BO550+BP554</f>
        <v>30191.431148958512</v>
      </c>
      <c r="BQ550" s="1322">
        <f>BP550+BQ554</f>
        <v>33080.574723867612</v>
      </c>
      <c r="BR550" s="1321">
        <f>BQ550+BR554</f>
        <v>36086.439699203038</v>
      </c>
      <c r="BS550" s="648"/>
    </row>
    <row r="551" spans="1:71" s="668" customFormat="1" ht="15" hidden="1" outlineLevel="1">
      <c r="A551" s="987"/>
      <c r="B551" s="394"/>
      <c r="C551" s="1322"/>
      <c r="D551" s="1322"/>
      <c r="E551" s="1322"/>
      <c r="F551" s="1322"/>
      <c r="G551" s="1322"/>
      <c r="H551" s="1031"/>
      <c r="I551" s="1031"/>
      <c r="J551" s="1031"/>
      <c r="K551" s="1031"/>
      <c r="L551" s="1322"/>
      <c r="M551" s="1031"/>
      <c r="N551" s="1031"/>
      <c r="O551" s="1031"/>
      <c r="P551" s="1031"/>
      <c r="Q551" s="1322"/>
      <c r="R551" s="1031"/>
      <c r="S551" s="1031"/>
      <c r="T551" s="1031"/>
      <c r="U551" s="1031"/>
      <c r="V551" s="1322"/>
      <c r="W551" s="1031"/>
      <c r="X551" s="1031"/>
      <c r="Y551" s="1031"/>
      <c r="Z551" s="1031"/>
      <c r="AA551" s="1322"/>
      <c r="AB551" s="1031"/>
      <c r="AC551" s="1031"/>
      <c r="AD551" s="1031"/>
      <c r="AE551" s="1031"/>
      <c r="AF551" s="1322"/>
      <c r="AG551" s="1031"/>
      <c r="AH551" s="1031"/>
      <c r="AI551" s="1031"/>
      <c r="AJ551" s="1031"/>
      <c r="AK551" s="1322"/>
      <c r="AL551" s="1031"/>
      <c r="AM551" s="1031"/>
      <c r="AN551" s="1031"/>
      <c r="AO551" s="1031"/>
      <c r="AP551" s="1322"/>
      <c r="AQ551" s="1031"/>
      <c r="AR551" s="1031"/>
      <c r="AS551" s="1031"/>
      <c r="AT551" s="1031"/>
      <c r="AU551" s="1322"/>
      <c r="AV551" s="1031"/>
      <c r="AW551" s="1031"/>
      <c r="AX551" s="1031"/>
      <c r="AY551" s="1031"/>
      <c r="AZ551" s="1322"/>
      <c r="BA551" s="1031"/>
      <c r="BB551" s="1031"/>
      <c r="BC551" s="1031"/>
      <c r="BD551" s="1031"/>
      <c r="BE551" s="1322"/>
      <c r="BF551" s="1031"/>
      <c r="BG551" s="1031"/>
      <c r="BH551" s="1049"/>
      <c r="BI551" s="1023"/>
      <c r="BJ551" s="1321"/>
      <c r="BK551" s="1023"/>
      <c r="BL551" s="1023"/>
      <c r="BM551" s="1023"/>
      <c r="BN551" s="1023"/>
      <c r="BO551" s="1321"/>
      <c r="BP551" s="1322"/>
      <c r="BQ551" s="1322"/>
      <c r="BR551" s="1321"/>
      <c r="BS551" s="648"/>
    </row>
    <row r="552" spans="1:71" s="665" customFormat="1" ht="15" hidden="1" outlineLevel="1">
      <c r="A552" s="371" t="s">
        <v>35</v>
      </c>
      <c r="B552" s="308"/>
      <c r="C552" s="1351"/>
      <c r="D552" s="1349">
        <f t="shared" si="1153" ref="D552:K553">D548-C548</f>
        <v>180.90000000000055</v>
      </c>
      <c r="E552" s="1349">
        <f t="shared" si="1153"/>
        <v>225.59999999999945</v>
      </c>
      <c r="F552" s="1349">
        <f t="shared" si="1153"/>
        <v>351.30000000000018</v>
      </c>
      <c r="G552" s="1349">
        <f t="shared" si="1153"/>
        <v>243.80000000000018</v>
      </c>
      <c r="H552" s="1042">
        <f t="shared" si="1153"/>
        <v>285.60000000000036</v>
      </c>
      <c r="I552" s="1042">
        <f t="shared" si="1153"/>
        <v>122.50</v>
      </c>
      <c r="J552" s="1042">
        <f t="shared" si="1153"/>
        <v>194.39999999999964</v>
      </c>
      <c r="K552" s="1042">
        <f t="shared" si="1153"/>
        <v>-336.89999999999964</v>
      </c>
      <c r="L552" s="1349">
        <f>SUM(H552,I552,J552,K552)</f>
        <v>265.60000000000036</v>
      </c>
      <c r="M552" s="1042">
        <f t="shared" si="1154" ref="M552:P553">M548-L548</f>
        <v>413.89999999999964</v>
      </c>
      <c r="N552" s="1042">
        <f t="shared" si="1154"/>
        <v>787.89999999999964</v>
      </c>
      <c r="O552" s="1042">
        <f t="shared" si="1154"/>
        <v>330</v>
      </c>
      <c r="P552" s="1042">
        <f t="shared" si="1154"/>
        <v>-350.09999999999945</v>
      </c>
      <c r="Q552" s="1349">
        <f>SUM(M552,N552,O552,P552)</f>
        <v>1181.6999999999998</v>
      </c>
      <c r="R552" s="1042">
        <f t="shared" si="1155" ref="R552:U553">R548-Q548</f>
        <v>518.89999999999964</v>
      </c>
      <c r="S552" s="1042">
        <f t="shared" si="1155"/>
        <v>329.40000000000055</v>
      </c>
      <c r="T552" s="1042">
        <f t="shared" si="1155"/>
        <v>322.29999999999927</v>
      </c>
      <c r="U552" s="1042">
        <f t="shared" si="1155"/>
        <v>-324.09999999999945</v>
      </c>
      <c r="V552" s="1349">
        <f>SUM(R552,S552,T552,U552)</f>
        <v>846.50</v>
      </c>
      <c r="W552" s="1042">
        <f t="shared" si="1156" ref="W552:Z553">W548-V548</f>
        <v>476.69999999999982</v>
      </c>
      <c r="X552" s="1042">
        <f t="shared" si="1156"/>
        <v>462.70000000000073</v>
      </c>
      <c r="Y552" s="1042">
        <f t="shared" si="1156"/>
        <v>597.59999999999854</v>
      </c>
      <c r="Z552" s="1042">
        <f t="shared" si="1156"/>
        <v>-101.79999999999927</v>
      </c>
      <c r="AA552" s="1349">
        <f>SUM(W552,X552,Y552,Z552)</f>
        <v>1435.1999999999998</v>
      </c>
      <c r="AB552" s="1042">
        <f t="shared" si="1157" ref="AB552:AE553">AB548-AA548</f>
        <v>934.29999999999927</v>
      </c>
      <c r="AC552" s="1042">
        <f t="shared" si="1157"/>
        <v>408.10000000000036</v>
      </c>
      <c r="AD552" s="1042">
        <f t="shared" si="1157"/>
        <v>763.30000000000109</v>
      </c>
      <c r="AE552" s="1042">
        <f t="shared" si="1157"/>
        <v>-322.70000000000073</v>
      </c>
      <c r="AF552" s="1349">
        <f>SUM(AB552,AC552,AD552,AE552)</f>
        <v>1783</v>
      </c>
      <c r="AG552" s="1042">
        <f t="shared" si="1158" ref="AG552:AJ553">AG548-AF548</f>
        <v>917.10000000000036</v>
      </c>
      <c r="AH552" s="1042">
        <f t="shared" si="1158"/>
        <v>193.10000000000036</v>
      </c>
      <c r="AI552" s="1042">
        <f t="shared" si="1158"/>
        <v>729.79999999999927</v>
      </c>
      <c r="AJ552" s="1042">
        <f t="shared" si="1158"/>
        <v>-137.70000000000073</v>
      </c>
      <c r="AK552" s="1349">
        <f>SUM(AG552,AH552,AI552,AJ552)</f>
        <v>1702.2999999999993</v>
      </c>
      <c r="AL552" s="1042">
        <f t="shared" si="1159" ref="AL552:AO553">AL548-AK548</f>
        <v>252.30000000000109</v>
      </c>
      <c r="AM552" s="1042">
        <f t="shared" si="1159"/>
        <v>414.50</v>
      </c>
      <c r="AN552" s="1042">
        <f t="shared" si="1159"/>
        <v>1143.6999999999989</v>
      </c>
      <c r="AO552" s="1042">
        <f t="shared" si="1159"/>
        <v>-761.79999999999927</v>
      </c>
      <c r="AP552" s="1349">
        <f>SUM(AL552,AM552,AN552,AO552)</f>
        <v>1048.7000000000007</v>
      </c>
      <c r="AQ552" s="1042">
        <f t="shared" si="1160" ref="AQ552:AS553">AQ548-AP548</f>
        <v>1608.3999999999996</v>
      </c>
      <c r="AR552" s="1042">
        <f t="shared" si="1160"/>
        <v>510</v>
      </c>
      <c r="AS552" s="1042">
        <f t="shared" si="1160"/>
        <v>1115.5000000000018</v>
      </c>
      <c r="AT552" s="1042">
        <f>AT548-AS548</f>
        <v>-1055.6000000000022</v>
      </c>
      <c r="AU552" s="1349">
        <f>SUM(AQ552,AR552,AS552,AT552)</f>
        <v>2178.2999999999993</v>
      </c>
      <c r="AV552" s="1042">
        <f t="shared" si="1161" ref="AV552:AX553">AV548-AU548</f>
        <v>1375.6000000000022</v>
      </c>
      <c r="AW552" s="1042">
        <f t="shared" si="1161"/>
        <v>283.39999999999782</v>
      </c>
      <c r="AX552" s="1042">
        <f t="shared" si="1161"/>
        <v>522.10000000000218</v>
      </c>
      <c r="AY552" s="1042">
        <f>AY548-AX548</f>
        <v>-503.30000000000291</v>
      </c>
      <c r="AZ552" s="1349">
        <f>SUM(AV552,AW552,AX552,AY552)</f>
        <v>1677.7999999999993</v>
      </c>
      <c r="BA552" s="1042">
        <f t="shared" si="1162" ref="BA552:BC553">BA548-AZ548</f>
        <v>2550.7000000000007</v>
      </c>
      <c r="BB552" s="1042">
        <f t="shared" si="1162"/>
        <v>225.79999999999927</v>
      </c>
      <c r="BC552" s="1042">
        <f t="shared" si="1162"/>
        <v>691.60000000000218</v>
      </c>
      <c r="BD552" s="1042">
        <f>BD548-BC548</f>
        <v>-628</v>
      </c>
      <c r="BE552" s="1349">
        <f>SUM(BA552,BB552,BC552,BD552)</f>
        <v>2840.1000000000022</v>
      </c>
      <c r="BF552" s="1042">
        <f t="shared" si="1163" ref="BF552:BH553">BF548-BE548</f>
        <v>2773.5999999999985</v>
      </c>
      <c r="BG552" s="1042">
        <f t="shared" si="1163"/>
        <v>773.10000000000218</v>
      </c>
      <c r="BH552" s="1043">
        <f t="shared" si="1163"/>
        <v>1092.0999999999985</v>
      </c>
      <c r="BI552" s="1044"/>
      <c r="BJ552" s="1350"/>
      <c r="BK552" s="1044"/>
      <c r="BL552" s="1044"/>
      <c r="BM552" s="1044"/>
      <c r="BN552" s="1044"/>
      <c r="BO552" s="1350"/>
      <c r="BP552" s="1351"/>
      <c r="BQ552" s="1351"/>
      <c r="BR552" s="1350"/>
      <c r="BS552" s="648"/>
    </row>
    <row r="553" spans="1:71" s="665" customFormat="1" ht="15" hidden="1" outlineLevel="1">
      <c r="A553" s="1000" t="s">
        <v>36</v>
      </c>
      <c r="B553" s="260"/>
      <c r="C553" s="1324"/>
      <c r="D553" s="1323">
        <f t="shared" si="1153"/>
        <v>18.799999999999997</v>
      </c>
      <c r="E553" s="1323">
        <f t="shared" si="1153"/>
        <v>-18.299999999999997</v>
      </c>
      <c r="F553" s="1323">
        <f t="shared" si="1153"/>
        <v>-3.50</v>
      </c>
      <c r="G553" s="1323">
        <f t="shared" si="1153"/>
        <v>8.6000000000000085</v>
      </c>
      <c r="H553" s="1027">
        <f t="shared" si="1153"/>
        <v>6.8999999999999915</v>
      </c>
      <c r="I553" s="1027">
        <f t="shared" si="1153"/>
        <v>8</v>
      </c>
      <c r="J553" s="1027">
        <f t="shared" si="1153"/>
        <v>2.50</v>
      </c>
      <c r="K553" s="1027">
        <f t="shared" si="1153"/>
        <v>-7</v>
      </c>
      <c r="L553" s="1323">
        <f>SUM(H553,I553,J553,K553)</f>
        <v>10.399999999999991</v>
      </c>
      <c r="M553" s="1027">
        <f t="shared" si="1154"/>
        <v>14</v>
      </c>
      <c r="N553" s="1027">
        <f t="shared" si="1154"/>
        <v>133.69999999999999</v>
      </c>
      <c r="O553" s="1027">
        <f t="shared" si="1154"/>
        <v>-11.300000000000011</v>
      </c>
      <c r="P553" s="1027">
        <f t="shared" si="1154"/>
        <v>-22.399999999999977</v>
      </c>
      <c r="Q553" s="1323">
        <f>SUM(M553,N553,O553,P553)</f>
        <v>114</v>
      </c>
      <c r="R553" s="1027">
        <f t="shared" si="1155"/>
        <v>17.399999999999977</v>
      </c>
      <c r="S553" s="1027">
        <f t="shared" si="1155"/>
        <v>-38.699999999999989</v>
      </c>
      <c r="T553" s="1027">
        <f t="shared" si="1155"/>
        <v>-3.5999999999999943</v>
      </c>
      <c r="U553" s="1027">
        <f t="shared" si="1155"/>
        <v>-3.9000000000000057</v>
      </c>
      <c r="V553" s="1323">
        <f>SUM(R553,S553,T553,U553)</f>
        <v>-28.800000000000011</v>
      </c>
      <c r="W553" s="1027">
        <f t="shared" si="1156"/>
        <v>12.199999999999989</v>
      </c>
      <c r="X553" s="1027">
        <f t="shared" si="1156"/>
        <v>29.900000000000006</v>
      </c>
      <c r="Y553" s="1027">
        <f t="shared" si="1156"/>
        <v>-0.90000000000000568</v>
      </c>
      <c r="Z553" s="1027">
        <f t="shared" si="1156"/>
        <v>-8.3999999999999773</v>
      </c>
      <c r="AA553" s="1323">
        <f>SUM(W553,X553,Y553,Z553)</f>
        <v>32.800000000000011</v>
      </c>
      <c r="AB553" s="1027">
        <f t="shared" si="1157"/>
        <v>139.50</v>
      </c>
      <c r="AC553" s="1027">
        <f t="shared" si="1157"/>
        <v>-53</v>
      </c>
      <c r="AD553" s="1027">
        <f t="shared" si="1157"/>
        <v>89.800000000000011</v>
      </c>
      <c r="AE553" s="1027">
        <f t="shared" si="1157"/>
        <v>-69.900000000000034</v>
      </c>
      <c r="AF553" s="1323">
        <f>SUM(AB553,AC553,AD553,AE553)</f>
        <v>106.39999999999998</v>
      </c>
      <c r="AG553" s="1027">
        <f t="shared" si="1158"/>
        <v>137</v>
      </c>
      <c r="AH553" s="1027">
        <f t="shared" si="1158"/>
        <v>-108.69999999999999</v>
      </c>
      <c r="AI553" s="1027">
        <f t="shared" si="1158"/>
        <v>120.80000000000001</v>
      </c>
      <c r="AJ553" s="1027">
        <f t="shared" si="1158"/>
        <v>167.70</v>
      </c>
      <c r="AK553" s="1323">
        <f>SUM(AG553,AH553,AI553,AJ553)</f>
        <v>316.80</v>
      </c>
      <c r="AL553" s="1027">
        <f t="shared" si="1159"/>
        <v>-188.30</v>
      </c>
      <c r="AM553" s="1027">
        <f t="shared" si="1159"/>
        <v>-76.899999999999977</v>
      </c>
      <c r="AN553" s="1027">
        <f t="shared" si="1159"/>
        <v>102.09999999999997</v>
      </c>
      <c r="AO553" s="1027">
        <f t="shared" si="1159"/>
        <v>-95.299999999999955</v>
      </c>
      <c r="AP553" s="1323">
        <f>SUM(AL553,AM553,AN553,AO553)</f>
        <v>-258.39999999999998</v>
      </c>
      <c r="AQ553" s="1027">
        <f t="shared" si="1160"/>
        <v>299.50</v>
      </c>
      <c r="AR553" s="1027">
        <f t="shared" si="1160"/>
        <v>-47.600000000000023</v>
      </c>
      <c r="AS553" s="1027">
        <f t="shared" si="1160"/>
        <v>41.100000000000023</v>
      </c>
      <c r="AT553" s="1027">
        <f>AT549-AS549</f>
        <v>-203.50</v>
      </c>
      <c r="AU553" s="1323">
        <f>SUM(AQ553,AR553,AS553,AT553)</f>
        <v>89.50</v>
      </c>
      <c r="AV553" s="1027">
        <f t="shared" si="1161"/>
        <v>-2.50</v>
      </c>
      <c r="AW553" s="1027">
        <f t="shared" si="1161"/>
        <v>9.1999999999999886</v>
      </c>
      <c r="AX553" s="1027">
        <f t="shared" si="1161"/>
        <v>-96.800000000000011</v>
      </c>
      <c r="AY553" s="1027">
        <f>AY549-AX549</f>
        <v>-72</v>
      </c>
      <c r="AZ553" s="1323">
        <f>SUM(AV553,AW553,AX553,AY553)</f>
        <v>-162.10000000000002</v>
      </c>
      <c r="BA553" s="1027">
        <f t="shared" si="1162"/>
        <v>-25.899999999999977</v>
      </c>
      <c r="BB553" s="1027">
        <f t="shared" si="1162"/>
        <v>-26.700000000000017</v>
      </c>
      <c r="BC553" s="1027">
        <f t="shared" si="1162"/>
        <v>-7.9000000000000057</v>
      </c>
      <c r="BD553" s="1027">
        <f>BD549-BC549</f>
        <v>14.800000000000011</v>
      </c>
      <c r="BE553" s="1323">
        <f>SUM(BA553,BB553,BC553,BD553)</f>
        <v>-45.699999999999989</v>
      </c>
      <c r="BF553" s="1027">
        <f t="shared" si="1163"/>
        <v>-40</v>
      </c>
      <c r="BG553" s="1027">
        <f t="shared" si="1163"/>
        <v>81</v>
      </c>
      <c r="BH553" s="1028">
        <f>BH549-BG549</f>
        <v>-66.800000000000011</v>
      </c>
      <c r="BI553" s="1029"/>
      <c r="BJ553" s="1324"/>
      <c r="BK553" s="1029"/>
      <c r="BL553" s="1029"/>
      <c r="BM553" s="1029"/>
      <c r="BN553" s="1029"/>
      <c r="BO553" s="1324"/>
      <c r="BP553" s="1324"/>
      <c r="BQ553" s="1324"/>
      <c r="BR553" s="1324"/>
      <c r="BS553" s="648"/>
    </row>
    <row r="554" spans="1:71" s="668" customFormat="1" ht="15" hidden="1" outlineLevel="1">
      <c r="A554" s="648" t="s">
        <v>37</v>
      </c>
      <c r="B554" s="394"/>
      <c r="C554" s="1322"/>
      <c r="D554" s="1320">
        <f>D552-D553</f>
        <v>162.10000000000053</v>
      </c>
      <c r="E554" s="1320">
        <f t="shared" si="1164" ref="E554:AU554">E552-E553</f>
        <v>243.89999999999947</v>
      </c>
      <c r="F554" s="1320">
        <f t="shared" si="1164"/>
        <v>354.80000000000018</v>
      </c>
      <c r="G554" s="1320">
        <f t="shared" si="1164"/>
        <v>235.20000000000016</v>
      </c>
      <c r="H554" s="1021">
        <f t="shared" si="1164"/>
        <v>278.70000000000039</v>
      </c>
      <c r="I554" s="1021">
        <f t="shared" si="1164"/>
        <v>114.50</v>
      </c>
      <c r="J554" s="1021">
        <f t="shared" si="1164"/>
        <v>191.89999999999964</v>
      </c>
      <c r="K554" s="1021">
        <f t="shared" si="1164"/>
        <v>-329.89999999999964</v>
      </c>
      <c r="L554" s="1320">
        <f t="shared" si="1164"/>
        <v>255.20000000000039</v>
      </c>
      <c r="M554" s="1021">
        <f t="shared" si="1164"/>
        <v>399.89999999999964</v>
      </c>
      <c r="N554" s="1021">
        <f t="shared" si="1164"/>
        <v>654.19999999999959</v>
      </c>
      <c r="O554" s="1021">
        <f t="shared" si="1164"/>
        <v>341.30</v>
      </c>
      <c r="P554" s="1021">
        <f t="shared" si="1164"/>
        <v>-327.69999999999948</v>
      </c>
      <c r="Q554" s="1320">
        <f t="shared" si="1164"/>
        <v>1067.6999999999998</v>
      </c>
      <c r="R554" s="1021">
        <f t="shared" si="1164"/>
        <v>501.49999999999966</v>
      </c>
      <c r="S554" s="1021">
        <f t="shared" si="1164"/>
        <v>368.10000000000053</v>
      </c>
      <c r="T554" s="1021">
        <f t="shared" si="1164"/>
        <v>325.8999999999993</v>
      </c>
      <c r="U554" s="1021">
        <f t="shared" si="1164"/>
        <v>-320.19999999999948</v>
      </c>
      <c r="V554" s="1320">
        <f t="shared" si="1164"/>
        <v>875.30</v>
      </c>
      <c r="W554" s="1021">
        <f t="shared" si="1164"/>
        <v>464.49999999999983</v>
      </c>
      <c r="X554" s="1021">
        <f t="shared" si="1164"/>
        <v>432.80000000000075</v>
      </c>
      <c r="Y554" s="1021">
        <f t="shared" si="1164"/>
        <v>598.49999999999852</v>
      </c>
      <c r="Z554" s="1021">
        <f t="shared" si="1164"/>
        <v>-93.399999999999295</v>
      </c>
      <c r="AA554" s="1320">
        <f t="shared" si="1164"/>
        <v>1402.40</v>
      </c>
      <c r="AB554" s="1021">
        <f t="shared" si="1164"/>
        <v>794.79999999999927</v>
      </c>
      <c r="AC554" s="1021">
        <f t="shared" si="1164"/>
        <v>461.10000000000036</v>
      </c>
      <c r="AD554" s="1021">
        <f t="shared" si="1164"/>
        <v>673.50000000000114</v>
      </c>
      <c r="AE554" s="1021">
        <f t="shared" si="1164"/>
        <v>-252.80000000000069</v>
      </c>
      <c r="AF554" s="1320">
        <f t="shared" si="1164"/>
        <v>1676.60</v>
      </c>
      <c r="AG554" s="1021">
        <f t="shared" si="1164"/>
        <v>780.10000000000036</v>
      </c>
      <c r="AH554" s="1021">
        <f t="shared" si="1164"/>
        <v>301.80000000000035</v>
      </c>
      <c r="AI554" s="1021">
        <f t="shared" si="1164"/>
        <v>608.99999999999932</v>
      </c>
      <c r="AJ554" s="1021">
        <f t="shared" si="1164"/>
        <v>-305.40000000000072</v>
      </c>
      <c r="AK554" s="1320">
        <f t="shared" si="1164"/>
        <v>1385.4999999999993</v>
      </c>
      <c r="AL554" s="1021">
        <f t="shared" si="1164"/>
        <v>440.6000000000011</v>
      </c>
      <c r="AM554" s="1021">
        <f t="shared" si="1164"/>
        <v>491.40</v>
      </c>
      <c r="AN554" s="1021">
        <f t="shared" si="1164"/>
        <v>1041.599999999999</v>
      </c>
      <c r="AO554" s="1021">
        <f t="shared" si="1164"/>
        <v>-666.49999999999932</v>
      </c>
      <c r="AP554" s="1320">
        <f t="shared" si="1164"/>
        <v>1307.1000000000008</v>
      </c>
      <c r="AQ554" s="1021">
        <f t="shared" si="1164"/>
        <v>1308.8999999999996</v>
      </c>
      <c r="AR554" s="1021">
        <f t="shared" si="1164"/>
        <v>557.60</v>
      </c>
      <c r="AS554" s="1021">
        <f t="shared" si="1164"/>
        <v>1074.4000000000019</v>
      </c>
      <c r="AT554" s="1021">
        <f t="shared" si="1164"/>
        <v>-852.10000000000218</v>
      </c>
      <c r="AU554" s="1320">
        <f t="shared" si="1164"/>
        <v>2088.7999999999993</v>
      </c>
      <c r="AV554" s="1021">
        <f t="shared" si="1165" ref="AV554:BA554">AV552-AV553</f>
        <v>1378.1000000000022</v>
      </c>
      <c r="AW554" s="1021">
        <f t="shared" si="1165"/>
        <v>274.19999999999783</v>
      </c>
      <c r="AX554" s="1021">
        <f t="shared" si="1165"/>
        <v>618.90000000000214</v>
      </c>
      <c r="AY554" s="1021">
        <f t="shared" si="1165"/>
        <v>-431.30000000000291</v>
      </c>
      <c r="AZ554" s="1320">
        <f t="shared" si="1165"/>
        <v>1839.8999999999992</v>
      </c>
      <c r="BA554" s="1021">
        <f t="shared" si="1165"/>
        <v>2576.6000000000008</v>
      </c>
      <c r="BB554" s="1021">
        <f t="shared" si="1166" ref="BB554:BG554">BB552-BB553</f>
        <v>252.49999999999929</v>
      </c>
      <c r="BC554" s="1021">
        <f t="shared" si="1166"/>
        <v>699.50000000000216</v>
      </c>
      <c r="BD554" s="1021">
        <f t="shared" si="1166"/>
        <v>-642.79999999999995</v>
      </c>
      <c r="BE554" s="1320">
        <f t="shared" si="1166"/>
        <v>2885.800000000002</v>
      </c>
      <c r="BF554" s="1021">
        <f t="shared" si="1166"/>
        <v>2813.5999999999985</v>
      </c>
      <c r="BG554" s="1021">
        <f t="shared" si="1166"/>
        <v>692.10000000000218</v>
      </c>
      <c r="BH554" s="1022">
        <f>BH552-BH553</f>
        <v>1158.8999999999985</v>
      </c>
      <c r="BI554" s="1023">
        <f>BI310-BI546</f>
        <v>289.04519895861449</v>
      </c>
      <c r="BJ554" s="1321">
        <f>SUM(BF554,BG554,BH554,BI554)</f>
        <v>4953.6451989586139</v>
      </c>
      <c r="BK554" s="1023">
        <f>BK310-BK546</f>
        <v>406.51771797349284</v>
      </c>
      <c r="BL554" s="1023">
        <f>BL310-BL546</f>
        <v>933.3307510230843</v>
      </c>
      <c r="BM554" s="1023">
        <f>BM310-BM546</f>
        <v>914.65047259122002</v>
      </c>
      <c r="BN554" s="1023">
        <f>BN310-BN546</f>
        <v>322.43239969515707</v>
      </c>
      <c r="BO554" s="1321">
        <f>SUM(BK554,BL554,BM554,BN554)</f>
        <v>2576.9313412829542</v>
      </c>
      <c r="BP554" s="1322">
        <f>BP310-BP546</f>
        <v>2776.9546087169438</v>
      </c>
      <c r="BQ554" s="1322">
        <f>BQ310-BQ546</f>
        <v>2889.1435749091033</v>
      </c>
      <c r="BR554" s="1321">
        <f>BR310-BR546</f>
        <v>3005.8649753354257</v>
      </c>
      <c r="BS554" s="648"/>
    </row>
    <row r="555" spans="1:71" s="665" customFormat="1" ht="15" collapsed="1">
      <c r="A555" s="999"/>
      <c r="B555" s="308"/>
      <c r="C555" s="1351"/>
      <c r="D555" s="1351"/>
      <c r="E555" s="1351"/>
      <c r="F555" s="1351"/>
      <c r="G555" s="1351"/>
      <c r="H555" s="1047"/>
      <c r="I555" s="1047"/>
      <c r="J555" s="1047"/>
      <c r="K555" s="1047"/>
      <c r="L555" s="1351"/>
      <c r="M555" s="1047"/>
      <c r="N555" s="1047"/>
      <c r="O555" s="1047"/>
      <c r="P555" s="1047"/>
      <c r="Q555" s="1351"/>
      <c r="R555" s="1047"/>
      <c r="S555" s="1047"/>
      <c r="T555" s="1047"/>
      <c r="U555" s="1047"/>
      <c r="V555" s="1351"/>
      <c r="W555" s="1047"/>
      <c r="X555" s="1047"/>
      <c r="Y555" s="1047"/>
      <c r="Z555" s="1047"/>
      <c r="AA555" s="1351"/>
      <c r="AB555" s="1047"/>
      <c r="AC555" s="1047"/>
      <c r="AD555" s="1047"/>
      <c r="AE555" s="1047"/>
      <c r="AF555" s="1351"/>
      <c r="AG555" s="1047"/>
      <c r="AH555" s="1047"/>
      <c r="AI555" s="1047"/>
      <c r="AJ555" s="1047"/>
      <c r="AK555" s="1351"/>
      <c r="AL555" s="1047"/>
      <c r="AM555" s="1047"/>
      <c r="AN555" s="1047"/>
      <c r="AO555" s="1047"/>
      <c r="AP555" s="1351"/>
      <c r="AQ555" s="1047"/>
      <c r="AR555" s="1047"/>
      <c r="AS555" s="1047"/>
      <c r="AT555" s="1047"/>
      <c r="AU555" s="1351"/>
      <c r="AV555" s="1047"/>
      <c r="AW555" s="1047"/>
      <c r="AX555" s="1047"/>
      <c r="AY555" s="1047"/>
      <c r="AZ555" s="1351"/>
      <c r="BA555" s="1047"/>
      <c r="BB555" s="1047"/>
      <c r="BC555" s="1047"/>
      <c r="BD555" s="1047"/>
      <c r="BE555" s="1351"/>
      <c r="BF555" s="1047"/>
      <c r="BG555" s="1047"/>
      <c r="BH555" s="1048"/>
      <c r="BI555" s="1044"/>
      <c r="BJ555" s="1350"/>
      <c r="BK555" s="1044"/>
      <c r="BL555" s="1044"/>
      <c r="BM555" s="1044"/>
      <c r="BN555" s="1044"/>
      <c r="BO555" s="1350"/>
      <c r="BP555" s="1351"/>
      <c r="BQ555" s="1351"/>
      <c r="BR555" s="1350"/>
      <c r="BS555" s="648"/>
    </row>
    <row r="556" spans="1:71" s="668" customFormat="1" ht="15">
      <c r="A556" s="991" t="s">
        <v>38</v>
      </c>
      <c r="B556" s="991"/>
      <c r="C556" s="1035"/>
      <c r="D556" s="1035"/>
      <c r="E556" s="1035"/>
      <c r="F556" s="1035"/>
      <c r="G556" s="1035"/>
      <c r="H556" s="1035"/>
      <c r="I556" s="1035"/>
      <c r="J556" s="1035"/>
      <c r="K556" s="1035"/>
      <c r="L556" s="1035"/>
      <c r="M556" s="1035"/>
      <c r="N556" s="1035"/>
      <c r="O556" s="1035"/>
      <c r="P556" s="1035"/>
      <c r="Q556" s="1035"/>
      <c r="R556" s="1035"/>
      <c r="S556" s="1035"/>
      <c r="T556" s="1035"/>
      <c r="U556" s="1035"/>
      <c r="V556" s="1035"/>
      <c r="W556" s="1035"/>
      <c r="X556" s="1035"/>
      <c r="Y556" s="1035"/>
      <c r="Z556" s="1035"/>
      <c r="AA556" s="1035"/>
      <c r="AB556" s="1035"/>
      <c r="AC556" s="1035"/>
      <c r="AD556" s="1035"/>
      <c r="AE556" s="1035"/>
      <c r="AF556" s="1035"/>
      <c r="AG556" s="1035"/>
      <c r="AH556" s="1035"/>
      <c r="AI556" s="1035"/>
      <c r="AJ556" s="1035"/>
      <c r="AK556" s="1035"/>
      <c r="AL556" s="1035"/>
      <c r="AM556" s="1035"/>
      <c r="AN556" s="1035"/>
      <c r="AO556" s="1035"/>
      <c r="AP556" s="1035"/>
      <c r="AQ556" s="1035"/>
      <c r="AR556" s="1035"/>
      <c r="AS556" s="1035"/>
      <c r="AT556" s="1035"/>
      <c r="AU556" s="1035"/>
      <c r="AV556" s="1035"/>
      <c r="AW556" s="1035"/>
      <c r="AX556" s="1035"/>
      <c r="AY556" s="1035"/>
      <c r="AZ556" s="1035"/>
      <c r="BA556" s="1035"/>
      <c r="BB556" s="1035"/>
      <c r="BC556" s="1035"/>
      <c r="BD556" s="1035"/>
      <c r="BE556" s="1035"/>
      <c r="BF556" s="1035"/>
      <c r="BG556" s="1035"/>
      <c r="BH556" s="1036"/>
      <c r="BI556" s="1037"/>
      <c r="BJ556" s="1037"/>
      <c r="BK556" s="1037"/>
      <c r="BL556" s="1037"/>
      <c r="BM556" s="1037"/>
      <c r="BN556" s="1037"/>
      <c r="BO556" s="1037"/>
      <c r="BP556" s="1035"/>
      <c r="BQ556" s="1035"/>
      <c r="BR556" s="1037"/>
      <c r="BS556" s="648"/>
    </row>
    <row r="557" spans="1:71" s="665" customFormat="1" ht="15" hidden="1" outlineLevel="1">
      <c r="A557" s="371" t="s">
        <v>39</v>
      </c>
      <c r="B557" s="308"/>
      <c r="C557" s="1349">
        <f t="shared" si="1167" ref="C557:AU557">C914</f>
        <v>6653</v>
      </c>
      <c r="D557" s="1349">
        <f t="shared" si="1167"/>
        <v>7071</v>
      </c>
      <c r="E557" s="1349">
        <f t="shared" si="1167"/>
        <v>7245.80</v>
      </c>
      <c r="F557" s="1349">
        <f t="shared" si="1167"/>
        <v>7838.40</v>
      </c>
      <c r="G557" s="1349">
        <f t="shared" si="1167"/>
        <v>8479.7000000000007</v>
      </c>
      <c r="H557" s="1042">
        <f t="shared" si="1167"/>
        <v>8592.60</v>
      </c>
      <c r="I557" s="1042">
        <f t="shared" si="1167"/>
        <v>8639.90</v>
      </c>
      <c r="J557" s="1042">
        <f t="shared" si="1167"/>
        <v>8728.40</v>
      </c>
      <c r="K557" s="1042">
        <f t="shared" si="1167"/>
        <v>8857.40</v>
      </c>
      <c r="L557" s="1349">
        <f t="shared" si="1167"/>
        <v>8857.40</v>
      </c>
      <c r="M557" s="1042">
        <f t="shared" si="1167"/>
        <v>9001.60</v>
      </c>
      <c r="N557" s="1042">
        <f t="shared" si="1167"/>
        <v>9701.2000000000007</v>
      </c>
      <c r="O557" s="1042">
        <f t="shared" si="1167"/>
        <v>9827.2000000000007</v>
      </c>
      <c r="P557" s="1042">
        <f t="shared" si="1167"/>
        <v>10039</v>
      </c>
      <c r="Q557" s="1349">
        <f t="shared" si="1167"/>
        <v>10039</v>
      </c>
      <c r="R557" s="1042">
        <f t="shared" si="1167"/>
        <v>10286.700000000001</v>
      </c>
      <c r="S557" s="1042">
        <f t="shared" si="1167"/>
        <v>10674.80</v>
      </c>
      <c r="T557" s="1042">
        <f t="shared" si="1167"/>
        <v>11228.20</v>
      </c>
      <c r="U557" s="1042">
        <f t="shared" si="1167"/>
        <v>11368</v>
      </c>
      <c r="V557" s="1349">
        <f t="shared" si="1167"/>
        <v>11368</v>
      </c>
      <c r="W557" s="1042">
        <f t="shared" si="1167"/>
        <v>11628.90</v>
      </c>
      <c r="X557" s="1042">
        <f t="shared" si="1167"/>
        <v>12060.40</v>
      </c>
      <c r="Y557" s="1042">
        <f t="shared" si="1167"/>
        <v>13353.299999999999</v>
      </c>
      <c r="Z557" s="1042">
        <f t="shared" si="1167"/>
        <v>13086.90</v>
      </c>
      <c r="AA557" s="1349">
        <f t="shared" si="1167"/>
        <v>13086.90</v>
      </c>
      <c r="AB557" s="1042">
        <f t="shared" si="1167"/>
        <v>13329</v>
      </c>
      <c r="AC557" s="1042">
        <f t="shared" si="1167"/>
        <v>14070.80</v>
      </c>
      <c r="AD557" s="1042">
        <f t="shared" si="1167"/>
        <v>14620.80</v>
      </c>
      <c r="AE557" s="1042">
        <f t="shared" si="1167"/>
        <v>15400.80</v>
      </c>
      <c r="AF557" s="1349">
        <f t="shared" si="1167"/>
        <v>15400.80</v>
      </c>
      <c r="AG557" s="1042">
        <f t="shared" si="1167"/>
        <v>15876.60</v>
      </c>
      <c r="AH557" s="1042">
        <f t="shared" si="1167"/>
        <v>16568.60</v>
      </c>
      <c r="AI557" s="1042">
        <f t="shared" si="1167"/>
        <v>17370</v>
      </c>
      <c r="AJ557" s="1042">
        <f t="shared" si="1167"/>
        <v>18105.40</v>
      </c>
      <c r="AK557" s="1349">
        <f t="shared" si="1167"/>
        <v>18105.40</v>
      </c>
      <c r="AL557" s="1042">
        <f t="shared" si="1167"/>
        <v>18306.50</v>
      </c>
      <c r="AM557" s="1042">
        <f t="shared" si="1167"/>
        <v>18512</v>
      </c>
      <c r="AN557" s="1042">
        <f t="shared" si="1167"/>
        <v>19589.20</v>
      </c>
      <c r="AO557" s="1042">
        <f t="shared" si="1167"/>
        <v>20265.80</v>
      </c>
      <c r="AP557" s="1349">
        <f t="shared" si="1167"/>
        <v>20265.80</v>
      </c>
      <c r="AQ557" s="1042">
        <f t="shared" si="1167"/>
        <v>21063.700000000001</v>
      </c>
      <c r="AR557" s="1042">
        <f t="shared" si="1167"/>
        <v>23895.60</v>
      </c>
      <c r="AS557" s="1042">
        <f t="shared" si="1167"/>
        <v>25926.299999999999</v>
      </c>
      <c r="AT557" s="1042">
        <f t="shared" si="1167"/>
        <v>26164.099999999999</v>
      </c>
      <c r="AU557" s="1349">
        <f t="shared" si="1167"/>
        <v>26164.099999999999</v>
      </c>
      <c r="AV557" s="1042">
        <f t="shared" si="1168" ref="AV557:BA557">AV914</f>
        <v>26754.200000000001</v>
      </c>
      <c r="AW557" s="1042">
        <f t="shared" si="1168"/>
        <v>27812</v>
      </c>
      <c r="AX557" s="1042">
        <f t="shared" si="1168"/>
        <v>30631.799999999999</v>
      </c>
      <c r="AY557" s="1042">
        <f t="shared" si="1168"/>
        <v>30359.299999999999</v>
      </c>
      <c r="AZ557" s="1349">
        <f t="shared" si="1168"/>
        <v>30359.299999999999</v>
      </c>
      <c r="BA557" s="1042">
        <f t="shared" si="1168"/>
        <v>31026.40</v>
      </c>
      <c r="BB557" s="1042">
        <f t="shared" si="1169" ref="BB557:BG557">BB914</f>
        <v>32753.299999999999</v>
      </c>
      <c r="BC557" s="1042">
        <f t="shared" si="1169"/>
        <v>33577.300000000003</v>
      </c>
      <c r="BD557" s="1042">
        <f t="shared" si="1169"/>
        <v>34389.199999999997</v>
      </c>
      <c r="BE557" s="1349">
        <f t="shared" si="1169"/>
        <v>34389.199999999997</v>
      </c>
      <c r="BF557" s="1042">
        <f t="shared" si="1169"/>
        <v>34831</v>
      </c>
      <c r="BG557" s="1042">
        <f t="shared" si="1169"/>
        <v>36605.199999999997</v>
      </c>
      <c r="BH557" s="1043">
        <f>BH914</f>
        <v>38061.50</v>
      </c>
      <c r="BI557" s="1044"/>
      <c r="BJ557" s="1350"/>
      <c r="BK557" s="1044"/>
      <c r="BL557" s="1044"/>
      <c r="BM557" s="1044"/>
      <c r="BN557" s="1044"/>
      <c r="BO557" s="1350"/>
      <c r="BP557" s="1351"/>
      <c r="BQ557" s="1351"/>
      <c r="BR557" s="1350"/>
      <c r="BS557" s="648"/>
    </row>
    <row r="558" spans="1:71" s="665" customFormat="1" ht="15" hidden="1" outlineLevel="1">
      <c r="A558" s="1000" t="s">
        <v>585</v>
      </c>
      <c r="B558" s="260"/>
      <c r="C558" s="1365">
        <v>529.40</v>
      </c>
      <c r="D558" s="1365">
        <v>704.10</v>
      </c>
      <c r="E558" s="1365">
        <v>785.70</v>
      </c>
      <c r="F558" s="1365">
        <v>862.10</v>
      </c>
      <c r="G558" s="1365">
        <v>1045.9000000000001</v>
      </c>
      <c r="H558" s="1027">
        <f>H901-34.5</f>
        <v>1077</v>
      </c>
      <c r="I558" s="1027">
        <f>I901-35.1</f>
        <v>1099.9000000000001</v>
      </c>
      <c r="J558" s="1027">
        <f>J901-39.4</f>
        <v>1126.50</v>
      </c>
      <c r="K558" s="1027">
        <f>L558</f>
        <v>1185.9000000000001</v>
      </c>
      <c r="L558" s="1365">
        <v>1185.9000000000001</v>
      </c>
      <c r="M558" s="1027">
        <f>M901-50.8</f>
        <v>1206.4000000000001</v>
      </c>
      <c r="N558" s="1027">
        <f>N901-46.2</f>
        <v>1356.10</v>
      </c>
      <c r="O558" s="1027">
        <f>O901-46.1</f>
        <v>1368.90</v>
      </c>
      <c r="P558" s="1027">
        <f>Q558</f>
        <v>1442.70</v>
      </c>
      <c r="Q558" s="1365">
        <v>1442.70</v>
      </c>
      <c r="R558" s="1228">
        <v>1508.70</v>
      </c>
      <c r="S558" s="1228">
        <v>1595.90</v>
      </c>
      <c r="T558" s="1228">
        <v>1834.20</v>
      </c>
      <c r="U558" s="1027">
        <f>V558</f>
        <v>1801</v>
      </c>
      <c r="V558" s="1365">
        <v>1801</v>
      </c>
      <c r="W558" s="1228">
        <v>1850.40</v>
      </c>
      <c r="X558" s="1228">
        <v>1947.90</v>
      </c>
      <c r="Y558" s="1228">
        <v>2624.70</v>
      </c>
      <c r="Z558" s="1027">
        <f>AA558</f>
        <v>2170.10</v>
      </c>
      <c r="AA558" s="1365">
        <v>2170.10</v>
      </c>
      <c r="AB558" s="1228">
        <v>2137</v>
      </c>
      <c r="AC558" s="1228">
        <v>2293.10</v>
      </c>
      <c r="AD558" s="1228">
        <v>2376.40</v>
      </c>
      <c r="AE558" s="1027">
        <f>AF558</f>
        <v>2572.6999999999998</v>
      </c>
      <c r="AF558" s="1365">
        <v>2572.6999999999998</v>
      </c>
      <c r="AG558" s="1228">
        <v>2708.40</v>
      </c>
      <c r="AH558" s="1228">
        <v>2915</v>
      </c>
      <c r="AI558" s="1228">
        <v>3145.10</v>
      </c>
      <c r="AJ558" s="1027">
        <f>AK558</f>
        <v>3212.20</v>
      </c>
      <c r="AK558" s="1365">
        <v>3212.20</v>
      </c>
      <c r="AL558" s="1228">
        <v>3443.70</v>
      </c>
      <c r="AM558" s="1228">
        <v>3502.70</v>
      </c>
      <c r="AN558" s="1228">
        <v>3804.30</v>
      </c>
      <c r="AO558" s="1027">
        <f>AP558</f>
        <v>3798.20</v>
      </c>
      <c r="AP558" s="1365">
        <v>3798.20</v>
      </c>
      <c r="AQ558" s="1228">
        <v>3968.60</v>
      </c>
      <c r="AR558" s="1228">
        <v>4464.8999999999996</v>
      </c>
      <c r="AS558" s="1228">
        <v>4822.50</v>
      </c>
      <c r="AT558" s="1027">
        <f>AU558</f>
        <v>4733.6000000000004</v>
      </c>
      <c r="AU558" s="1365">
        <v>4733.6000000000004</v>
      </c>
      <c r="AV558" s="1228">
        <v>4758.3999999999996</v>
      </c>
      <c r="AW558" s="1228">
        <v>4684.6000000000004</v>
      </c>
      <c r="AX558" s="1228">
        <v>6034</v>
      </c>
      <c r="AY558" s="1027">
        <f>AZ558</f>
        <v>5559.20</v>
      </c>
      <c r="AZ558" s="1365">
        <v>5559.20</v>
      </c>
      <c r="BA558" s="1228">
        <v>5301.10</v>
      </c>
      <c r="BB558" s="1228">
        <v>5064.3999999999996</v>
      </c>
      <c r="BC558" s="1228">
        <v>4941.20</v>
      </c>
      <c r="BD558" s="1027">
        <f>BE558</f>
        <v>4789</v>
      </c>
      <c r="BE558" s="1365">
        <v>4789</v>
      </c>
      <c r="BF558" s="1228">
        <v>4651.8999999999996</v>
      </c>
      <c r="BG558" s="1228">
        <v>4515</v>
      </c>
      <c r="BH558" s="1229">
        <v>4546</v>
      </c>
      <c r="BI558" s="1029"/>
      <c r="BJ558" s="1324"/>
      <c r="BK558" s="1029"/>
      <c r="BL558" s="1029"/>
      <c r="BM558" s="1029"/>
      <c r="BN558" s="1029"/>
      <c r="BO558" s="1324"/>
      <c r="BP558" s="1324"/>
      <c r="BQ558" s="1324"/>
      <c r="BR558" s="1324"/>
      <c r="BS558" s="648"/>
    </row>
    <row r="559" spans="1:71" s="668" customFormat="1" ht="15" hidden="1" outlineLevel="1">
      <c r="A559" s="648" t="s">
        <v>40</v>
      </c>
      <c r="B559" s="394"/>
      <c r="C559" s="1320">
        <f t="shared" si="1170" ref="C559:AT559">C557-C558</f>
        <v>6123.60</v>
      </c>
      <c r="D559" s="1320">
        <f t="shared" si="1170"/>
        <v>6366.90</v>
      </c>
      <c r="E559" s="1320">
        <f t="shared" si="1170"/>
        <v>6460.10</v>
      </c>
      <c r="F559" s="1320">
        <f t="shared" si="1170"/>
        <v>6976.2999999999993</v>
      </c>
      <c r="G559" s="1320">
        <f t="shared" si="1170"/>
        <v>7433.8000000000011</v>
      </c>
      <c r="H559" s="1021">
        <f t="shared" si="1170"/>
        <v>7515.60</v>
      </c>
      <c r="I559" s="1021">
        <f t="shared" si="1170"/>
        <v>7540</v>
      </c>
      <c r="J559" s="1021">
        <f t="shared" si="1170"/>
        <v>7601.90</v>
      </c>
      <c r="K559" s="1021">
        <f t="shared" si="1170"/>
        <v>7671.50</v>
      </c>
      <c r="L559" s="1320">
        <f t="shared" si="1170"/>
        <v>7671.50</v>
      </c>
      <c r="M559" s="1021">
        <f t="shared" si="1170"/>
        <v>7795.2000000000007</v>
      </c>
      <c r="N559" s="1021">
        <f t="shared" si="1170"/>
        <v>8345.10</v>
      </c>
      <c r="O559" s="1021">
        <f t="shared" si="1170"/>
        <v>8458.3000000000011</v>
      </c>
      <c r="P559" s="1021">
        <f t="shared" si="1170"/>
        <v>8596.2999999999993</v>
      </c>
      <c r="Q559" s="1320">
        <f t="shared" si="1170"/>
        <v>8596.2999999999993</v>
      </c>
      <c r="R559" s="1021">
        <f t="shared" si="1170"/>
        <v>8778</v>
      </c>
      <c r="S559" s="1021">
        <f t="shared" si="1170"/>
        <v>9078.90</v>
      </c>
      <c r="T559" s="1021">
        <f t="shared" si="1170"/>
        <v>9394</v>
      </c>
      <c r="U559" s="1021">
        <f t="shared" si="1170"/>
        <v>9567</v>
      </c>
      <c r="V559" s="1320">
        <f t="shared" si="1170"/>
        <v>9567</v>
      </c>
      <c r="W559" s="1021">
        <f t="shared" si="1170"/>
        <v>9778.50</v>
      </c>
      <c r="X559" s="1021">
        <f t="shared" si="1170"/>
        <v>10112.50</v>
      </c>
      <c r="Y559" s="1021">
        <f t="shared" si="1170"/>
        <v>10728.60</v>
      </c>
      <c r="Z559" s="1021">
        <f t="shared" si="1170"/>
        <v>10916.80</v>
      </c>
      <c r="AA559" s="1320">
        <f t="shared" si="1170"/>
        <v>10916.80</v>
      </c>
      <c r="AB559" s="1021">
        <f t="shared" si="1170"/>
        <v>11192</v>
      </c>
      <c r="AC559" s="1021">
        <f t="shared" si="1170"/>
        <v>11777.699999999999</v>
      </c>
      <c r="AD559" s="1021">
        <f t="shared" si="1170"/>
        <v>12244.40</v>
      </c>
      <c r="AE559" s="1021">
        <f t="shared" si="1170"/>
        <v>12828.099999999999</v>
      </c>
      <c r="AF559" s="1320">
        <f t="shared" si="1170"/>
        <v>12828.099999999999</v>
      </c>
      <c r="AG559" s="1021">
        <f t="shared" si="1170"/>
        <v>13168.20</v>
      </c>
      <c r="AH559" s="1021">
        <f t="shared" si="1170"/>
        <v>13653.60</v>
      </c>
      <c r="AI559" s="1021">
        <f t="shared" si="1170"/>
        <v>14224.90</v>
      </c>
      <c r="AJ559" s="1021">
        <f t="shared" si="1170"/>
        <v>14893.20</v>
      </c>
      <c r="AK559" s="1320">
        <f t="shared" si="1170"/>
        <v>14893.20</v>
      </c>
      <c r="AL559" s="1021">
        <f t="shared" si="1170"/>
        <v>14862.80</v>
      </c>
      <c r="AM559" s="1021">
        <f t="shared" si="1170"/>
        <v>15009.299999999999</v>
      </c>
      <c r="AN559" s="1021">
        <f t="shared" si="1170"/>
        <v>15784.900000000001</v>
      </c>
      <c r="AO559" s="1021">
        <f t="shared" si="1170"/>
        <v>16467.60</v>
      </c>
      <c r="AP559" s="1320">
        <f t="shared" si="1170"/>
        <v>16467.60</v>
      </c>
      <c r="AQ559" s="1021">
        <f t="shared" si="1170"/>
        <v>17095.100000000002</v>
      </c>
      <c r="AR559" s="1021">
        <f t="shared" si="1170"/>
        <v>19430.699999999997</v>
      </c>
      <c r="AS559" s="1021">
        <f t="shared" si="1170"/>
        <v>21103.799999999999</v>
      </c>
      <c r="AT559" s="1021">
        <f t="shared" si="1170"/>
        <v>21430.50</v>
      </c>
      <c r="AU559" s="1320">
        <f t="shared" si="1171" ref="AU559:AZ559">AU557-AU558</f>
        <v>21430.50</v>
      </c>
      <c r="AV559" s="1021">
        <f t="shared" si="1171"/>
        <v>21995.800000000003</v>
      </c>
      <c r="AW559" s="1021">
        <f t="shared" si="1171"/>
        <v>23127.400000000001</v>
      </c>
      <c r="AX559" s="1021">
        <f t="shared" si="1171"/>
        <v>24597.799999999999</v>
      </c>
      <c r="AY559" s="1021">
        <f t="shared" si="1171"/>
        <v>24800.099999999999</v>
      </c>
      <c r="AZ559" s="1320">
        <f t="shared" si="1171"/>
        <v>24800.099999999999</v>
      </c>
      <c r="BA559" s="1021">
        <f t="shared" si="1172" ref="BA559:BF559">BA557-BA558</f>
        <v>25725.300000000003</v>
      </c>
      <c r="BB559" s="1021">
        <f t="shared" si="1172"/>
        <v>27688.900000000001</v>
      </c>
      <c r="BC559" s="1021">
        <f t="shared" si="1172"/>
        <v>28636.100000000002</v>
      </c>
      <c r="BD559" s="1021">
        <f t="shared" si="1172"/>
        <v>29600.199999999997</v>
      </c>
      <c r="BE559" s="1320">
        <f t="shared" si="1172"/>
        <v>29600.199999999997</v>
      </c>
      <c r="BF559" s="1021">
        <f t="shared" si="1172"/>
        <v>30179.099999999999</v>
      </c>
      <c r="BG559" s="1021">
        <f>BG557-BG558</f>
        <v>32090.199999999997</v>
      </c>
      <c r="BH559" s="1022">
        <f>BH557-BH558</f>
        <v>33515.50</v>
      </c>
      <c r="BI559" s="1023">
        <f>BH559+BI563</f>
        <v>34600.566800194698</v>
      </c>
      <c r="BJ559" s="1321">
        <f>BI559</f>
        <v>34600.566800194698</v>
      </c>
      <c r="BK559" s="1023">
        <f>BJ559+BK563</f>
        <v>35887.459661451161</v>
      </c>
      <c r="BL559" s="1023">
        <f>BK559+BL563</f>
        <v>37088.441083697166</v>
      </c>
      <c r="BM559" s="1023">
        <f>BL559+BM563</f>
        <v>38331.263728817496</v>
      </c>
      <c r="BN559" s="1023">
        <f>BM559+BN563</f>
        <v>39520.426434808862</v>
      </c>
      <c r="BO559" s="1321">
        <f>BN559</f>
        <v>39520.426434808862</v>
      </c>
      <c r="BP559" s="1322">
        <f>BO559+BP563</f>
        <v>44794.498960805839</v>
      </c>
      <c r="BQ559" s="1322">
        <f>BP559+BQ563</f>
        <v>50281.644016853097</v>
      </c>
      <c r="BR559" s="1321">
        <f>BQ559+BR563</f>
        <v>55990.46973316466</v>
      </c>
      <c r="BS559" s="648"/>
    </row>
    <row r="560" spans="1:71" s="669" customFormat="1" ht="7.5" customHeight="1" hidden="1" outlineLevel="1">
      <c r="A560" s="107"/>
      <c r="B560" s="108"/>
      <c r="C560" s="1325"/>
      <c r="D560" s="1325"/>
      <c r="E560" s="1325"/>
      <c r="F560" s="1325"/>
      <c r="G560" s="1325"/>
      <c r="H560" s="726"/>
      <c r="I560" s="726"/>
      <c r="J560" s="726"/>
      <c r="K560" s="726"/>
      <c r="L560" s="1325"/>
      <c r="M560" s="726"/>
      <c r="N560" s="726"/>
      <c r="O560" s="726"/>
      <c r="P560" s="726"/>
      <c r="Q560" s="1325"/>
      <c r="R560" s="726"/>
      <c r="S560" s="726"/>
      <c r="T560" s="726"/>
      <c r="U560" s="726"/>
      <c r="V560" s="1325"/>
      <c r="W560" s="726"/>
      <c r="X560" s="726"/>
      <c r="Y560" s="726"/>
      <c r="Z560" s="726"/>
      <c r="AA560" s="1325"/>
      <c r="AB560" s="726"/>
      <c r="AC560" s="726"/>
      <c r="AD560" s="726"/>
      <c r="AE560" s="726"/>
      <c r="AF560" s="1325"/>
      <c r="AG560" s="726"/>
      <c r="AH560" s="726"/>
      <c r="AI560" s="726"/>
      <c r="AJ560" s="726"/>
      <c r="AK560" s="1325"/>
      <c r="AL560" s="726"/>
      <c r="AM560" s="726"/>
      <c r="AN560" s="726"/>
      <c r="AO560" s="726"/>
      <c r="AP560" s="1325"/>
      <c r="AQ560" s="726"/>
      <c r="AR560" s="726"/>
      <c r="AS560" s="726"/>
      <c r="AT560" s="726"/>
      <c r="AU560" s="1325"/>
      <c r="AV560" s="726"/>
      <c r="AW560" s="726"/>
      <c r="AX560" s="726"/>
      <c r="AY560" s="726"/>
      <c r="AZ560" s="1325"/>
      <c r="BA560" s="726"/>
      <c r="BB560" s="726"/>
      <c r="BC560" s="726"/>
      <c r="BD560" s="726"/>
      <c r="BE560" s="1325"/>
      <c r="BF560" s="726"/>
      <c r="BG560" s="726"/>
      <c r="BH560" s="808"/>
      <c r="BI560" s="98"/>
      <c r="BJ560" s="1326"/>
      <c r="BK560" s="98"/>
      <c r="BL560" s="98"/>
      <c r="BM560" s="98"/>
      <c r="BN560" s="98"/>
      <c r="BO560" s="1326"/>
      <c r="BP560" s="1325"/>
      <c r="BQ560" s="1325"/>
      <c r="BR560" s="1326"/>
      <c r="BS560" s="648"/>
    </row>
    <row r="561" spans="1:71" s="665" customFormat="1" ht="15" hidden="1" outlineLevel="1">
      <c r="A561" s="371" t="s">
        <v>41</v>
      </c>
      <c r="B561" s="308"/>
      <c r="C561" s="1351"/>
      <c r="D561" s="1349">
        <f t="shared" si="1173" ref="D561:AI561">D276</f>
        <v>10131.299999999999</v>
      </c>
      <c r="E561" s="1349">
        <f t="shared" si="1173"/>
        <v>10634.80</v>
      </c>
      <c r="F561" s="1349">
        <f t="shared" si="1173"/>
        <v>11948</v>
      </c>
      <c r="G561" s="1349">
        <f t="shared" si="1173"/>
        <v>12472.40</v>
      </c>
      <c r="H561" s="1042">
        <f t="shared" si="1173"/>
        <v>3205.90</v>
      </c>
      <c r="I561" s="1042">
        <f t="shared" si="1173"/>
        <v>3269.10</v>
      </c>
      <c r="J561" s="1042">
        <f t="shared" si="1173"/>
        <v>3291.80</v>
      </c>
      <c r="K561" s="1042">
        <f t="shared" si="1173"/>
        <v>3539.4000000000015</v>
      </c>
      <c r="L561" s="1349">
        <f t="shared" si="1173"/>
        <v>13306.20</v>
      </c>
      <c r="M561" s="1042">
        <f t="shared" si="1173"/>
        <v>3368.60</v>
      </c>
      <c r="N561" s="1042">
        <f t="shared" si="1173"/>
        <v>3617.20</v>
      </c>
      <c r="O561" s="1042">
        <f t="shared" si="1173"/>
        <v>3654.30</v>
      </c>
      <c r="P561" s="1042">
        <f t="shared" si="1173"/>
        <v>3701.9000000000015</v>
      </c>
      <c r="Q561" s="1349">
        <f t="shared" si="1173"/>
        <v>14342</v>
      </c>
      <c r="R561" s="1042">
        <f t="shared" si="1173"/>
        <v>3913.40</v>
      </c>
      <c r="S561" s="1042">
        <f t="shared" si="1173"/>
        <v>4243</v>
      </c>
      <c r="T561" s="1042">
        <f t="shared" si="1173"/>
        <v>4398.20</v>
      </c>
      <c r="U561" s="1042">
        <f t="shared" si="1173"/>
        <v>4325</v>
      </c>
      <c r="V561" s="1349">
        <f t="shared" si="1173"/>
        <v>16879.60</v>
      </c>
      <c r="W561" s="1042">
        <f t="shared" si="1173"/>
        <v>4263.3999999999996</v>
      </c>
      <c r="X561" s="1042">
        <f t="shared" si="1173"/>
        <v>4614.8999999999996</v>
      </c>
      <c r="Y561" s="1042">
        <f t="shared" si="1173"/>
        <v>5050.50</v>
      </c>
      <c r="Z561" s="1042">
        <f t="shared" si="1173"/>
        <v>4879.2000000000007</v>
      </c>
      <c r="AA561" s="1349">
        <f t="shared" si="1173"/>
        <v>18808</v>
      </c>
      <c r="AB561" s="1042">
        <f t="shared" si="1173"/>
        <v>4870.80</v>
      </c>
      <c r="AC561" s="1042">
        <f t="shared" si="1173"/>
        <v>5375.30</v>
      </c>
      <c r="AD561" s="1042">
        <f t="shared" si="1173"/>
        <v>5523.10</v>
      </c>
      <c r="AE561" s="1042">
        <f t="shared" si="1173"/>
        <v>5951.7999999999993</v>
      </c>
      <c r="AF561" s="1349">
        <f t="shared" si="1173"/>
        <v>21721</v>
      </c>
      <c r="AG561" s="1042">
        <f t="shared" si="1173"/>
        <v>5759</v>
      </c>
      <c r="AH561" s="1042">
        <f t="shared" si="1173"/>
        <v>6138.10</v>
      </c>
      <c r="AI561" s="1042">
        <f t="shared" si="1173"/>
        <v>6426.30</v>
      </c>
      <c r="AJ561" s="1042">
        <f t="shared" si="1174" ref="AJ561:AU561">AJ276</f>
        <v>7147.0999999999985</v>
      </c>
      <c r="AK561" s="1349">
        <f t="shared" si="1174"/>
        <v>25470.50</v>
      </c>
      <c r="AL561" s="1042">
        <f t="shared" si="1174"/>
        <v>6155.20</v>
      </c>
      <c r="AM561" s="1042">
        <f t="shared" si="1174"/>
        <v>5321.40</v>
      </c>
      <c r="AN561" s="1042">
        <f t="shared" si="1174"/>
        <v>6713.10</v>
      </c>
      <c r="AO561" s="1042">
        <f t="shared" si="1174"/>
        <v>6932.1000000000022</v>
      </c>
      <c r="AP561" s="1349">
        <f t="shared" si="1174"/>
        <v>25121.799999999999</v>
      </c>
      <c r="AQ561" s="1042">
        <f t="shared" si="1174"/>
        <v>7110.50</v>
      </c>
      <c r="AR561" s="1042">
        <f t="shared" si="1174"/>
        <v>8406.40</v>
      </c>
      <c r="AS561" s="1042">
        <f t="shared" si="1174"/>
        <v>9250.7000000000007</v>
      </c>
      <c r="AT561" s="1042">
        <f t="shared" si="1174"/>
        <v>8860</v>
      </c>
      <c r="AU561" s="1349">
        <f t="shared" si="1174"/>
        <v>33627.60</v>
      </c>
      <c r="AV561" s="1042">
        <f t="shared" si="1175" ref="AV561:AZ561">AV276</f>
        <v>8858.40</v>
      </c>
      <c r="AW561" s="1042">
        <f t="shared" si="1175"/>
        <v>9421.10</v>
      </c>
      <c r="AX561" s="1042">
        <f t="shared" si="1175"/>
        <v>10018.700000000001</v>
      </c>
      <c r="AY561" s="1042">
        <f t="shared" si="1175"/>
        <v>9824.4999999999964</v>
      </c>
      <c r="AZ561" s="1349">
        <f t="shared" si="1175"/>
        <v>38122.699999999997</v>
      </c>
      <c r="BA561" s="1042">
        <f t="shared" si="1176" ref="BA561:BR561">BA276</f>
        <v>10624</v>
      </c>
      <c r="BB561" s="1042">
        <f t="shared" si="1176"/>
        <v>12170.099999999999</v>
      </c>
      <c r="BC561" s="1042">
        <f t="shared" si="1176"/>
        <v>11387.90</v>
      </c>
      <c r="BD561" s="1042">
        <f t="shared" si="1176"/>
        <v>11472.60</v>
      </c>
      <c r="BE561" s="1349">
        <f t="shared" si="1176"/>
        <v>45654.599999999999</v>
      </c>
      <c r="BF561" s="1042">
        <f>BF276</f>
        <v>10971.60</v>
      </c>
      <c r="BG561" s="1042">
        <f>BG276</f>
        <v>12595.300000000001</v>
      </c>
      <c r="BH561" s="1043">
        <f>BH276</f>
        <v>12510.299999999994</v>
      </c>
      <c r="BI561" s="1044">
        <f t="shared" si="1176"/>
        <v>13563.335002433738</v>
      </c>
      <c r="BJ561" s="1350">
        <f t="shared" si="1176"/>
        <v>49640.535002433724</v>
      </c>
      <c r="BK561" s="1044">
        <f t="shared" si="1176"/>
        <v>16086.160765705765</v>
      </c>
      <c r="BL561" s="1044">
        <f t="shared" si="1176"/>
        <v>15012.267778075118</v>
      </c>
      <c r="BM561" s="1044">
        <f t="shared" si="1176"/>
        <v>15535.283064004127</v>
      </c>
      <c r="BN561" s="1044">
        <f t="shared" si="1176"/>
        <v>14864.533824892049</v>
      </c>
      <c r="BO561" s="1350">
        <f t="shared" si="1176"/>
        <v>61498.245432677068</v>
      </c>
      <c r="BP561" s="1351">
        <f t="shared" si="1176"/>
        <v>65925.906555438996</v>
      </c>
      <c r="BQ561" s="1351">
        <f t="shared" si="1176"/>
        <v>68589.313180278725</v>
      </c>
      <c r="BR561" s="1350">
        <f t="shared" si="1176"/>
        <v>71360.321432761993</v>
      </c>
      <c r="BS561" s="648"/>
    </row>
    <row r="562" spans="1:71" s="665" customFormat="1" ht="15" hidden="1" outlineLevel="1">
      <c r="A562" s="1000" t="s">
        <v>42</v>
      </c>
      <c r="B562" s="260"/>
      <c r="C562" s="1324"/>
      <c r="D562" s="1323">
        <f t="shared" si="1177" ref="D562:AT562">D561-D563</f>
        <v>9888</v>
      </c>
      <c r="E562" s="1323">
        <f t="shared" si="1177"/>
        <v>10541.60</v>
      </c>
      <c r="F562" s="1323">
        <f t="shared" si="1177"/>
        <v>11431.80</v>
      </c>
      <c r="G562" s="1323">
        <f t="shared" si="1177"/>
        <v>12014.899999999998</v>
      </c>
      <c r="H562" s="1027">
        <f t="shared" si="1177"/>
        <v>3124.1000000000008</v>
      </c>
      <c r="I562" s="1027">
        <f t="shared" si="1177"/>
        <v>3244.7000000000003</v>
      </c>
      <c r="J562" s="1027">
        <f t="shared" si="1177"/>
        <v>3229.9000000000005</v>
      </c>
      <c r="K562" s="1027">
        <f t="shared" si="1177"/>
        <v>3469.8000000000011</v>
      </c>
      <c r="L562" s="1323">
        <f t="shared" si="1177"/>
        <v>13068.500000000002</v>
      </c>
      <c r="M562" s="1027">
        <f t="shared" si="1177"/>
        <v>3244.8999999999992</v>
      </c>
      <c r="N562" s="1027">
        <f t="shared" si="1177"/>
        <v>3067.30</v>
      </c>
      <c r="O562" s="1027">
        <f t="shared" si="1177"/>
        <v>3541.0999999999995</v>
      </c>
      <c r="P562" s="1027">
        <f t="shared" si="1177"/>
        <v>3563.9000000000033</v>
      </c>
      <c r="Q562" s="1323">
        <f t="shared" si="1177"/>
        <v>13417.20</v>
      </c>
      <c r="R562" s="1027">
        <f t="shared" si="1177"/>
        <v>3731.6999999999994</v>
      </c>
      <c r="S562" s="1027">
        <f t="shared" si="1177"/>
        <v>3942.1000000000004</v>
      </c>
      <c r="T562" s="1027">
        <f t="shared" si="1177"/>
        <v>4083.0999999999995</v>
      </c>
      <c r="U562" s="1027">
        <f t="shared" si="1177"/>
        <v>4152</v>
      </c>
      <c r="V562" s="1323">
        <f t="shared" si="1177"/>
        <v>15908.899999999998</v>
      </c>
      <c r="W562" s="1027">
        <f t="shared" si="1177"/>
        <v>4051.8999999999996</v>
      </c>
      <c r="X562" s="1027">
        <f t="shared" si="1177"/>
        <v>4280.8999999999996</v>
      </c>
      <c r="Y562" s="1027">
        <f t="shared" si="1177"/>
        <v>4434.4000000000015</v>
      </c>
      <c r="Z562" s="1027">
        <f t="shared" si="1177"/>
        <v>4691</v>
      </c>
      <c r="AA562" s="1323">
        <f t="shared" si="1177"/>
        <v>17458.20</v>
      </c>
      <c r="AB562" s="1027">
        <f t="shared" si="1177"/>
        <v>4595.5999999999995</v>
      </c>
      <c r="AC562" s="1027">
        <f t="shared" si="1177"/>
        <v>4789.6000000000013</v>
      </c>
      <c r="AD562" s="1027">
        <f t="shared" si="1177"/>
        <v>5056.3999999999996</v>
      </c>
      <c r="AE562" s="1027">
        <f t="shared" si="1177"/>
        <v>5368.10</v>
      </c>
      <c r="AF562" s="1323">
        <f t="shared" si="1177"/>
        <v>19809.700000000001</v>
      </c>
      <c r="AG562" s="1027">
        <f t="shared" si="1177"/>
        <v>5418.8999999999978</v>
      </c>
      <c r="AH562" s="1027">
        <f t="shared" si="1177"/>
        <v>5652.7000000000025</v>
      </c>
      <c r="AI562" s="1027">
        <f t="shared" si="1177"/>
        <v>5854.9999999999991</v>
      </c>
      <c r="AJ562" s="1027">
        <f t="shared" si="1177"/>
        <v>6478.7999999999975</v>
      </c>
      <c r="AK562" s="1323">
        <f t="shared" si="1177"/>
        <v>23405.399999999998</v>
      </c>
      <c r="AL562" s="1027">
        <f t="shared" si="1177"/>
        <v>6185.6000000000013</v>
      </c>
      <c r="AM562" s="1027">
        <f t="shared" si="1177"/>
        <v>5174.8999999999996</v>
      </c>
      <c r="AN562" s="1027">
        <f t="shared" si="1177"/>
        <v>5937.4999999999982</v>
      </c>
      <c r="AO562" s="1027">
        <f t="shared" si="1177"/>
        <v>6249.4000000000051</v>
      </c>
      <c r="AP562" s="1323">
        <f t="shared" si="1177"/>
        <v>23547.400000000001</v>
      </c>
      <c r="AQ562" s="1027">
        <f t="shared" si="1177"/>
        <v>6482.9999999999964</v>
      </c>
      <c r="AR562" s="1027">
        <f t="shared" si="1177"/>
        <v>6070.8000000000047</v>
      </c>
      <c r="AS562" s="1027">
        <f t="shared" si="1177"/>
        <v>7577.5999999999985</v>
      </c>
      <c r="AT562" s="1027">
        <f t="shared" si="1177"/>
        <v>8533.2999999999993</v>
      </c>
      <c r="AU562" s="1323">
        <f t="shared" si="1178" ref="AU562:AZ562">AU561-AU563</f>
        <v>28664.699999999997</v>
      </c>
      <c r="AV562" s="1027">
        <f t="shared" si="1178"/>
        <v>8293.0999999999967</v>
      </c>
      <c r="AW562" s="1027">
        <f t="shared" si="1178"/>
        <v>8289.5000000000018</v>
      </c>
      <c r="AX562" s="1027">
        <f t="shared" si="1178"/>
        <v>8548.3000000000029</v>
      </c>
      <c r="AY562" s="1027">
        <f t="shared" si="1178"/>
        <v>9622.1999999999971</v>
      </c>
      <c r="AZ562" s="1323">
        <f t="shared" si="1178"/>
        <v>34753.099999999999</v>
      </c>
      <c r="BA562" s="1027">
        <f t="shared" si="1179" ref="BA562:BF562">BA561-BA563</f>
        <v>9698.7999999999956</v>
      </c>
      <c r="BB562" s="1027">
        <f t="shared" si="1179"/>
        <v>10206.50</v>
      </c>
      <c r="BC562" s="1027">
        <f t="shared" si="1179"/>
        <v>10440.699999999999</v>
      </c>
      <c r="BD562" s="1027">
        <f t="shared" si="1179"/>
        <v>10508.500000000004</v>
      </c>
      <c r="BE562" s="1323">
        <f t="shared" si="1179"/>
        <v>40854.50</v>
      </c>
      <c r="BF562" s="1027">
        <f t="shared" si="1179"/>
        <v>10392.699999999999</v>
      </c>
      <c r="BG562" s="1027">
        <f>BG561-BG563</f>
        <v>10684.200000000003</v>
      </c>
      <c r="BH562" s="1028">
        <f>BH561-BH563</f>
        <v>11084.999999999991</v>
      </c>
      <c r="BI562" s="1029">
        <f>BI565*BI561</f>
        <v>12478.26820223904</v>
      </c>
      <c r="BJ562" s="1324">
        <f>SUM(BF562,BG562,BH562,BI562)</f>
        <v>44640.168202239031</v>
      </c>
      <c r="BK562" s="1029">
        <f>BK565*BK561</f>
        <v>14799.267904449303</v>
      </c>
      <c r="BL562" s="1029">
        <f>BL565*BL561</f>
        <v>13811.28635582911</v>
      </c>
      <c r="BM562" s="1029">
        <f>BM565*BM561</f>
        <v>14292.460418883797</v>
      </c>
      <c r="BN562" s="1029">
        <f>BN565*BN561</f>
        <v>13675.371118900686</v>
      </c>
      <c r="BO562" s="1324">
        <f>SUM(BK562,BL562,BM562,BN562)</f>
        <v>56578.385798062896</v>
      </c>
      <c r="BP562" s="1324">
        <f>BP565*BP561</f>
        <v>60651.83402944202</v>
      </c>
      <c r="BQ562" s="1324">
        <f>BQ565*BQ561</f>
        <v>63102.168124231466</v>
      </c>
      <c r="BR562" s="1324">
        <f>BR565*BR561</f>
        <v>65651.49571645043</v>
      </c>
      <c r="BS562" s="648"/>
    </row>
    <row r="563" spans="1:71" s="668" customFormat="1" ht="15" hidden="1" outlineLevel="1">
      <c r="A563" s="25" t="s">
        <v>43</v>
      </c>
      <c r="B563" s="394"/>
      <c r="C563" s="1322"/>
      <c r="D563" s="1320">
        <f t="shared" si="1180" ref="D563:K563">D559-C559</f>
        <v>243.29999999999927</v>
      </c>
      <c r="E563" s="1320">
        <f t="shared" si="1180"/>
        <v>93.200000000000728</v>
      </c>
      <c r="F563" s="1320">
        <f t="shared" si="1180"/>
        <v>516.19999999999891</v>
      </c>
      <c r="G563" s="1320">
        <f t="shared" si="1180"/>
        <v>457.50000000000182</v>
      </c>
      <c r="H563" s="1021">
        <f t="shared" si="1180"/>
        <v>81.799999999999272</v>
      </c>
      <c r="I563" s="1021">
        <f t="shared" si="1180"/>
        <v>24.399999999999636</v>
      </c>
      <c r="J563" s="1021">
        <f t="shared" si="1180"/>
        <v>61.899999999999636</v>
      </c>
      <c r="K563" s="1021">
        <f t="shared" si="1180"/>
        <v>69.600000000000364</v>
      </c>
      <c r="L563" s="1320">
        <f>SUM(H563,I563,J563,K563)</f>
        <v>237.69999999999891</v>
      </c>
      <c r="M563" s="1021">
        <f>M559-L559</f>
        <v>123.70000000000073</v>
      </c>
      <c r="N563" s="1021">
        <f>N559-M559</f>
        <v>549.89999999999964</v>
      </c>
      <c r="O563" s="1021">
        <f>O559-N559</f>
        <v>113.20000000000073</v>
      </c>
      <c r="P563" s="1021">
        <f>P559-O559</f>
        <v>137.99999999999818</v>
      </c>
      <c r="Q563" s="1320">
        <f>SUM(M563,N563,O563,P563)</f>
        <v>924.79999999999927</v>
      </c>
      <c r="R563" s="1021">
        <f>R559-Q559</f>
        <v>181.70000000000073</v>
      </c>
      <c r="S563" s="1021">
        <f>S559-R559</f>
        <v>300.89999999999964</v>
      </c>
      <c r="T563" s="1021">
        <f>T559-S559</f>
        <v>315.10000000000036</v>
      </c>
      <c r="U563" s="1021">
        <f>U559-T559</f>
        <v>173</v>
      </c>
      <c r="V563" s="1320">
        <f>SUM(R563,S563,T563,U563)</f>
        <v>970.70000000000073</v>
      </c>
      <c r="W563" s="1021">
        <f>W559-V559</f>
        <v>211.50</v>
      </c>
      <c r="X563" s="1021">
        <f>X559-W559</f>
        <v>334</v>
      </c>
      <c r="Y563" s="1021">
        <f>Y559-X559</f>
        <v>616.09999999999854</v>
      </c>
      <c r="Z563" s="1021">
        <f>Z559-Y559</f>
        <v>188.20000000000073</v>
      </c>
      <c r="AA563" s="1320">
        <f>SUM(W563,X563,Y563,Z563)</f>
        <v>1349.7999999999993</v>
      </c>
      <c r="AB563" s="1021">
        <f>AB559-AA559</f>
        <v>275.20000000000073</v>
      </c>
      <c r="AC563" s="1021">
        <f>AC559-AB559</f>
        <v>585.69999999999891</v>
      </c>
      <c r="AD563" s="1021">
        <f>AD559-AC559</f>
        <v>466.70000000000073</v>
      </c>
      <c r="AE563" s="1021">
        <f>AE559-AD559</f>
        <v>583.69999999999891</v>
      </c>
      <c r="AF563" s="1320">
        <f>SUM(AB563,AC563,AD563,AE563)</f>
        <v>1911.2999999999993</v>
      </c>
      <c r="AG563" s="1021">
        <f>AG559-AF559</f>
        <v>340.10000000000218</v>
      </c>
      <c r="AH563" s="1021">
        <f>AH559-AG559</f>
        <v>485.39999999999782</v>
      </c>
      <c r="AI563" s="1021">
        <f>AI559-AH559</f>
        <v>571.30000000000109</v>
      </c>
      <c r="AJ563" s="1021">
        <f>AJ559-AI559</f>
        <v>668.30000000000109</v>
      </c>
      <c r="AK563" s="1320">
        <f>SUM(AG563,AH563,AI563,AJ563)</f>
        <v>2065.1000000000022</v>
      </c>
      <c r="AL563" s="1021">
        <f>AL559-AK559</f>
        <v>-30.400000000001455</v>
      </c>
      <c r="AM563" s="1021">
        <f>AM559-AL559</f>
        <v>146.50</v>
      </c>
      <c r="AN563" s="1021">
        <f>AN559-AM559</f>
        <v>775.60000000000218</v>
      </c>
      <c r="AO563" s="1021">
        <f>AO559-AN559</f>
        <v>682.69999999999709</v>
      </c>
      <c r="AP563" s="1320">
        <f>SUM(AL563,AM563,AN563,AO563)</f>
        <v>1574.3999999999978</v>
      </c>
      <c r="AQ563" s="1021">
        <f>AQ559-AP559</f>
        <v>627.50000000000364</v>
      </c>
      <c r="AR563" s="1021">
        <f>AR559-AQ559</f>
        <v>2335.5999999999949</v>
      </c>
      <c r="AS563" s="1021">
        <f>AS559-AR559</f>
        <v>1673.1000000000022</v>
      </c>
      <c r="AT563" s="1021">
        <f>AT559-AS559</f>
        <v>326.70000000000073</v>
      </c>
      <c r="AU563" s="1320">
        <f>SUM(AQ563,AR563,AS563,AT563)</f>
        <v>4962.9000000000015</v>
      </c>
      <c r="AV563" s="1021">
        <f>AV559-AU559</f>
        <v>565.30000000000291</v>
      </c>
      <c r="AW563" s="1021">
        <f>AW559-AV559</f>
        <v>1131.5999999999985</v>
      </c>
      <c r="AX563" s="1021">
        <f>AX559-AW559</f>
        <v>1470.3999999999978</v>
      </c>
      <c r="AY563" s="1021">
        <f>AY559-AX559</f>
        <v>202.29999999999927</v>
      </c>
      <c r="AZ563" s="1320">
        <f>SUM(AV563,AW563,AX563,AY563)</f>
        <v>3369.5999999999985</v>
      </c>
      <c r="BA563" s="1021">
        <f>BA559-AZ559</f>
        <v>925.20000000000437</v>
      </c>
      <c r="BB563" s="1021">
        <f>BB559-BA559</f>
        <v>1963.5999999999985</v>
      </c>
      <c r="BC563" s="1021">
        <f>BC559-BB559</f>
        <v>947.20000000000073</v>
      </c>
      <c r="BD563" s="1021">
        <f>BD559-BC559</f>
        <v>964.09999999999491</v>
      </c>
      <c r="BE563" s="1320">
        <f>SUM(BA563,BB563,BC563,BD563)</f>
        <v>4800.0999999999985</v>
      </c>
      <c r="BF563" s="1021">
        <f>BF559-BE559</f>
        <v>578.90000000000146</v>
      </c>
      <c r="BG563" s="1021">
        <f>BG559-BF559</f>
        <v>1911.0999999999985</v>
      </c>
      <c r="BH563" s="1022">
        <f>BH559-BG559</f>
        <v>1425.3000000000029</v>
      </c>
      <c r="BI563" s="1023">
        <f t="shared" si="1181" ref="BI563:BR563">BI561-BI562</f>
        <v>1085.0668001946979</v>
      </c>
      <c r="BJ563" s="1321">
        <f t="shared" si="1181"/>
        <v>5000.3668001946935</v>
      </c>
      <c r="BK563" s="1023">
        <f t="shared" si="1181"/>
        <v>1286.8928612564614</v>
      </c>
      <c r="BL563" s="1023">
        <f t="shared" si="1181"/>
        <v>1200.9814222460082</v>
      </c>
      <c r="BM563" s="1023">
        <f t="shared" si="1181"/>
        <v>1242.82264512033</v>
      </c>
      <c r="BN563" s="1023">
        <f t="shared" si="1181"/>
        <v>1189.1627059913626</v>
      </c>
      <c r="BO563" s="1321">
        <f t="shared" si="1181"/>
        <v>4919.8596346141712</v>
      </c>
      <c r="BP563" s="1322">
        <f t="shared" si="1181"/>
        <v>5274.0725259969768</v>
      </c>
      <c r="BQ563" s="1322">
        <f t="shared" si="1181"/>
        <v>5487.1450560472585</v>
      </c>
      <c r="BR563" s="1321">
        <f t="shared" si="1181"/>
        <v>5708.8257163115632</v>
      </c>
      <c r="BS563" s="648"/>
    </row>
    <row r="564" spans="1:71" s="669" customFormat="1" ht="7.5" customHeight="1" hidden="1" outlineLevel="1">
      <c r="A564" s="107"/>
      <c r="B564" s="108"/>
      <c r="C564" s="1325"/>
      <c r="D564" s="1325"/>
      <c r="E564" s="1325"/>
      <c r="F564" s="1325"/>
      <c r="G564" s="1325"/>
      <c r="H564" s="726"/>
      <c r="I564" s="726"/>
      <c r="J564" s="726"/>
      <c r="K564" s="726"/>
      <c r="L564" s="1325"/>
      <c r="M564" s="726"/>
      <c r="N564" s="726"/>
      <c r="O564" s="726"/>
      <c r="P564" s="726"/>
      <c r="Q564" s="1325"/>
      <c r="R564" s="726"/>
      <c r="S564" s="726"/>
      <c r="T564" s="726"/>
      <c r="U564" s="726"/>
      <c r="V564" s="1325"/>
      <c r="W564" s="726"/>
      <c r="X564" s="726"/>
      <c r="Y564" s="726"/>
      <c r="Z564" s="726"/>
      <c r="AA564" s="1325"/>
      <c r="AB564" s="726"/>
      <c r="AC564" s="726"/>
      <c r="AD564" s="726"/>
      <c r="AE564" s="726"/>
      <c r="AF564" s="1325"/>
      <c r="AG564" s="726"/>
      <c r="AH564" s="726"/>
      <c r="AI564" s="726"/>
      <c r="AJ564" s="726"/>
      <c r="AK564" s="1325"/>
      <c r="AL564" s="726"/>
      <c r="AM564" s="726"/>
      <c r="AN564" s="726"/>
      <c r="AO564" s="726"/>
      <c r="AP564" s="1325"/>
      <c r="AQ564" s="726"/>
      <c r="AR564" s="726"/>
      <c r="AS564" s="726"/>
      <c r="AT564" s="726"/>
      <c r="AU564" s="1325"/>
      <c r="AV564" s="726"/>
      <c r="AW564" s="726"/>
      <c r="AX564" s="726"/>
      <c r="AY564" s="726"/>
      <c r="AZ564" s="1325"/>
      <c r="BA564" s="726"/>
      <c r="BB564" s="726"/>
      <c r="BC564" s="726"/>
      <c r="BD564" s="726"/>
      <c r="BE564" s="1325"/>
      <c r="BF564" s="726"/>
      <c r="BG564" s="726"/>
      <c r="BH564" s="808"/>
      <c r="BI564" s="98"/>
      <c r="BJ564" s="1326"/>
      <c r="BK564" s="98"/>
      <c r="BL564" s="98"/>
      <c r="BM564" s="98"/>
      <c r="BN564" s="98"/>
      <c r="BO564" s="1326"/>
      <c r="BP564" s="1325"/>
      <c r="BQ564" s="1325"/>
      <c r="BR564" s="1326"/>
      <c r="BS564" s="648"/>
    </row>
    <row r="565" spans="1:71" s="669" customFormat="1" ht="15" hidden="1" outlineLevel="1">
      <c r="A565" s="22" t="s">
        <v>44</v>
      </c>
      <c r="B565" s="108"/>
      <c r="C565" s="1325"/>
      <c r="D565" s="1327">
        <f t="shared" si="1182" ref="D565:AM565">D562/D561</f>
        <v>0.97598531284237966</v>
      </c>
      <c r="E565" s="1327">
        <f t="shared" si="1182"/>
        <v>0.99123631850152327</v>
      </c>
      <c r="F565" s="1327">
        <f t="shared" si="1182"/>
        <v>0.95679611650485441</v>
      </c>
      <c r="G565" s="1327">
        <f t="shared" si="1182"/>
        <v>0.9633190083704819</v>
      </c>
      <c r="H565" s="725">
        <f t="shared" si="1182"/>
        <v>0.97448454412177565</v>
      </c>
      <c r="I565" s="725">
        <f t="shared" si="1182"/>
        <v>0.99253617203511679</v>
      </c>
      <c r="J565" s="725">
        <f t="shared" si="1182"/>
        <v>0.9811956984020902</v>
      </c>
      <c r="K565" s="725">
        <f t="shared" si="1182"/>
        <v>0.98033565011018808</v>
      </c>
      <c r="L565" s="1327">
        <f t="shared" si="1182"/>
        <v>0.98213614705926566</v>
      </c>
      <c r="M565" s="725">
        <f t="shared" si="1182"/>
        <v>0.96327851332897918</v>
      </c>
      <c r="N565" s="725">
        <f t="shared" si="1182"/>
        <v>0.84797633528696237</v>
      </c>
      <c r="O565" s="725">
        <f t="shared" si="1182"/>
        <v>0.96902279506334987</v>
      </c>
      <c r="P565" s="725">
        <f t="shared" si="1182"/>
        <v>0.96272184553877793</v>
      </c>
      <c r="Q565" s="1327">
        <f t="shared" si="1182"/>
        <v>0.93551805884813843</v>
      </c>
      <c r="R565" s="725">
        <f t="shared" si="1182"/>
        <v>0.95356978586395447</v>
      </c>
      <c r="S565" s="725">
        <f t="shared" si="1182"/>
        <v>0.92908319585199162</v>
      </c>
      <c r="T565" s="725">
        <f t="shared" si="1182"/>
        <v>0.92835705515892852</v>
      </c>
      <c r="U565" s="725">
        <f t="shared" si="1182"/>
        <v>0.96</v>
      </c>
      <c r="V565" s="1327">
        <f t="shared" si="1182"/>
        <v>0.94249271309746674</v>
      </c>
      <c r="W565" s="725">
        <f t="shared" si="1182"/>
        <v>0.95039170615002111</v>
      </c>
      <c r="X565" s="725">
        <f t="shared" si="1182"/>
        <v>0.92762573403540705</v>
      </c>
      <c r="Y565" s="725">
        <f t="shared" si="1182"/>
        <v>0.87801207801207826</v>
      </c>
      <c r="Z565" s="725">
        <f t="shared" si="1182"/>
        <v>0.96142810296769943</v>
      </c>
      <c r="AA565" s="1327">
        <f t="shared" si="1182"/>
        <v>0.92823266695023399</v>
      </c>
      <c r="AB565" s="725">
        <f t="shared" si="1182"/>
        <v>0.94350004106101648</v>
      </c>
      <c r="AC565" s="725">
        <f t="shared" si="1182"/>
        <v>0.89103863970383068</v>
      </c>
      <c r="AD565" s="725">
        <f t="shared" si="1182"/>
        <v>0.91550035306259159</v>
      </c>
      <c r="AE565" s="725">
        <f t="shared" si="1182"/>
        <v>0.90192882825363774</v>
      </c>
      <c r="AF565" s="1327">
        <f t="shared" si="1182"/>
        <v>0.91200681368261138</v>
      </c>
      <c r="AG565" s="725">
        <f t="shared" si="1182"/>
        <v>0.94094460843896477</v>
      </c>
      <c r="AH565" s="725">
        <f t="shared" si="1182"/>
        <v>0.92092015444518693</v>
      </c>
      <c r="AI565" s="725">
        <f t="shared" si="1182"/>
        <v>0.9110996996716616</v>
      </c>
      <c r="AJ565" s="725">
        <f t="shared" si="1182"/>
        <v>0.9064935428355555</v>
      </c>
      <c r="AK565" s="1327">
        <f t="shared" si="1182"/>
        <v>0.91892189002964209</v>
      </c>
      <c r="AL565" s="725">
        <f t="shared" si="1182"/>
        <v>1.0049389134390436</v>
      </c>
      <c r="AM565" s="725">
        <f t="shared" si="1182"/>
        <v>0.97246965084376291</v>
      </c>
      <c r="AN565" s="725">
        <f t="shared" si="1183" ref="AN565:AU565">AN562/AN561</f>
        <v>0.88446470334122806</v>
      </c>
      <c r="AO565" s="725">
        <f t="shared" si="1183"/>
        <v>0.90151613508172168</v>
      </c>
      <c r="AP565" s="1327">
        <f t="shared" si="1183"/>
        <v>0.93732933149694697</v>
      </c>
      <c r="AQ565" s="725">
        <f t="shared" si="1183"/>
        <v>0.91175022853526422</v>
      </c>
      <c r="AR565" s="725">
        <f t="shared" si="1183"/>
        <v>0.7221640654739252</v>
      </c>
      <c r="AS565" s="725">
        <f t="shared" si="1183"/>
        <v>0.81913801117753227</v>
      </c>
      <c r="AT565" s="725">
        <f t="shared" si="1183"/>
        <v>0.96312641083521433</v>
      </c>
      <c r="AU565" s="1327">
        <f t="shared" si="1183"/>
        <v>0.85241587267601604</v>
      </c>
      <c r="AV565" s="725">
        <f t="shared" si="1184" ref="AV565:BA565">AV562/AV561</f>
        <v>0.93618486408380708</v>
      </c>
      <c r="AW565" s="725">
        <f t="shared" si="1184"/>
        <v>0.87988663744148787</v>
      </c>
      <c r="AX565" s="725">
        <f t="shared" si="1184"/>
        <v>0.853234451575554</v>
      </c>
      <c r="AY565" s="725">
        <f t="shared" si="1184"/>
        <v>0.97940862130388318</v>
      </c>
      <c r="AZ565" s="1327">
        <f t="shared" si="1184"/>
        <v>0.91161171690357712</v>
      </c>
      <c r="BA565" s="725">
        <f t="shared" si="1184"/>
        <v>0.91291415662650566</v>
      </c>
      <c r="BB565" s="725">
        <f t="shared" si="1185" ref="BB565:BG565">BB562/BB561</f>
        <v>0.83865374976376539</v>
      </c>
      <c r="BC565" s="725">
        <f t="shared" si="1185"/>
        <v>0.91682399740074982</v>
      </c>
      <c r="BD565" s="725">
        <f t="shared" si="1185"/>
        <v>0.91596499485731264</v>
      </c>
      <c r="BE565" s="1327">
        <f t="shared" si="1185"/>
        <v>0.89486053979226632</v>
      </c>
      <c r="BF565" s="725">
        <f t="shared" si="1185"/>
        <v>0.9472365015129971</v>
      </c>
      <c r="BG565" s="725">
        <f t="shared" si="1185"/>
        <v>0.84826879867887239</v>
      </c>
      <c r="BH565" s="809">
        <f>BH562/BH561</f>
        <v>0.88606987842018148</v>
      </c>
      <c r="BI565" s="1215">
        <v>0.92</v>
      </c>
      <c r="BJ565" s="1326">
        <f>BJ562/BJ561</f>
        <v>0.89926847484722838</v>
      </c>
      <c r="BK565" s="1215">
        <v>0.92</v>
      </c>
      <c r="BL565" s="1215">
        <v>0.92</v>
      </c>
      <c r="BM565" s="1215">
        <v>0.92</v>
      </c>
      <c r="BN565" s="1215">
        <v>0.92</v>
      </c>
      <c r="BO565" s="1326">
        <f>BO562/BO561</f>
        <v>0.92</v>
      </c>
      <c r="BP565" s="1341">
        <v>0.91999999997630888</v>
      </c>
      <c r="BQ565" s="1341">
        <v>0.91999999997630888</v>
      </c>
      <c r="BR565" s="1342">
        <v>0.91999999997630888</v>
      </c>
      <c r="BS565" s="648"/>
    </row>
    <row r="566" spans="1:71" s="665" customFormat="1" ht="15" collapsed="1">
      <c r="A566" s="999"/>
      <c r="B566" s="308"/>
      <c r="C566" s="1351"/>
      <c r="D566" s="1351"/>
      <c r="E566" s="1351"/>
      <c r="F566" s="1351"/>
      <c r="G566" s="1351"/>
      <c r="H566" s="1047"/>
      <c r="I566" s="1047"/>
      <c r="J566" s="1047"/>
      <c r="K566" s="1047"/>
      <c r="L566" s="1351"/>
      <c r="M566" s="1047"/>
      <c r="N566" s="1047"/>
      <c r="O566" s="1047"/>
      <c r="P566" s="1047"/>
      <c r="Q566" s="1351"/>
      <c r="R566" s="1047"/>
      <c r="S566" s="1047"/>
      <c r="T566" s="1047"/>
      <c r="U566" s="1047"/>
      <c r="V566" s="1351"/>
      <c r="W566" s="1047"/>
      <c r="X566" s="1047"/>
      <c r="Y566" s="1047"/>
      <c r="Z566" s="1047"/>
      <c r="AA566" s="1351"/>
      <c r="AB566" s="1047"/>
      <c r="AC566" s="1047"/>
      <c r="AD566" s="1047"/>
      <c r="AE566" s="1047"/>
      <c r="AF566" s="1351"/>
      <c r="AG566" s="1047"/>
      <c r="AH566" s="1047"/>
      <c r="AI566" s="1047"/>
      <c r="AJ566" s="1047"/>
      <c r="AK566" s="1351"/>
      <c r="AL566" s="1047"/>
      <c r="AM566" s="1047"/>
      <c r="AN566" s="1047"/>
      <c r="AO566" s="1047"/>
      <c r="AP566" s="1351"/>
      <c r="AQ566" s="1047"/>
      <c r="AR566" s="1047"/>
      <c r="AS566" s="1047"/>
      <c r="AT566" s="1047"/>
      <c r="AU566" s="1351"/>
      <c r="AV566" s="1047"/>
      <c r="AW566" s="1047"/>
      <c r="AX566" s="1047"/>
      <c r="AY566" s="1047"/>
      <c r="AZ566" s="1351"/>
      <c r="BA566" s="1047"/>
      <c r="BB566" s="1047"/>
      <c r="BC566" s="1047"/>
      <c r="BD566" s="1047"/>
      <c r="BE566" s="1351"/>
      <c r="BF566" s="1047"/>
      <c r="BG566" s="1047"/>
      <c r="BH566" s="1048"/>
      <c r="BI566" s="1044"/>
      <c r="BJ566" s="1350"/>
      <c r="BK566" s="1044"/>
      <c r="BL566" s="1044"/>
      <c r="BM566" s="1044"/>
      <c r="BN566" s="1044"/>
      <c r="BO566" s="1350"/>
      <c r="BP566" s="1351"/>
      <c r="BQ566" s="1351"/>
      <c r="BR566" s="1350"/>
      <c r="BS566" s="648"/>
    </row>
    <row r="567" spans="1:71" s="668" customFormat="1" ht="15">
      <c r="A567" s="991" t="s">
        <v>712</v>
      </c>
      <c r="B567" s="991"/>
      <c r="C567" s="1035"/>
      <c r="D567" s="1035"/>
      <c r="E567" s="1035"/>
      <c r="F567" s="1035"/>
      <c r="G567" s="1035"/>
      <c r="H567" s="1035"/>
      <c r="I567" s="1035"/>
      <c r="J567" s="1035"/>
      <c r="K567" s="1035"/>
      <c r="L567" s="1035"/>
      <c r="M567" s="1035"/>
      <c r="N567" s="1035"/>
      <c r="O567" s="1035"/>
      <c r="P567" s="1035"/>
      <c r="Q567" s="1035"/>
      <c r="R567" s="1035"/>
      <c r="S567" s="1035"/>
      <c r="T567" s="1035"/>
      <c r="U567" s="1035"/>
      <c r="V567" s="1035"/>
      <c r="W567" s="1035"/>
      <c r="X567" s="1035"/>
      <c r="Y567" s="1035"/>
      <c r="Z567" s="1035"/>
      <c r="AA567" s="1035"/>
      <c r="AB567" s="1035"/>
      <c r="AC567" s="1035"/>
      <c r="AD567" s="1035"/>
      <c r="AE567" s="1035"/>
      <c r="AF567" s="1035"/>
      <c r="AG567" s="1035"/>
      <c r="AH567" s="1035"/>
      <c r="AI567" s="1035"/>
      <c r="AJ567" s="1035"/>
      <c r="AK567" s="1035"/>
      <c r="AL567" s="1035"/>
      <c r="AM567" s="1035"/>
      <c r="AN567" s="1035"/>
      <c r="AO567" s="1035"/>
      <c r="AP567" s="1035"/>
      <c r="AQ567" s="1035"/>
      <c r="AR567" s="1035"/>
      <c r="AS567" s="1035"/>
      <c r="AT567" s="1035"/>
      <c r="AU567" s="1035"/>
      <c r="AV567" s="1035"/>
      <c r="AW567" s="1035"/>
      <c r="AX567" s="1035"/>
      <c r="AY567" s="1035"/>
      <c r="AZ567" s="1035"/>
      <c r="BA567" s="1035"/>
      <c r="BB567" s="1035"/>
      <c r="BC567" s="1035"/>
      <c r="BD567" s="1035"/>
      <c r="BE567" s="1035"/>
      <c r="BF567" s="1035"/>
      <c r="BG567" s="1035"/>
      <c r="BH567" s="1036"/>
      <c r="BI567" s="1037"/>
      <c r="BJ567" s="1037"/>
      <c r="BK567" s="1037"/>
      <c r="BL567" s="1037"/>
      <c r="BM567" s="1037"/>
      <c r="BN567" s="1037"/>
      <c r="BO567" s="1037"/>
      <c r="BP567" s="1035"/>
      <c r="BQ567" s="1035"/>
      <c r="BR567" s="1037"/>
      <c r="BS567" s="648"/>
    </row>
    <row r="568" spans="1:71" s="673" customFormat="1" ht="15" hidden="1" outlineLevel="1">
      <c r="A568" s="905" t="s">
        <v>713</v>
      </c>
      <c r="B568" s="712"/>
      <c r="C568" s="1431">
        <v>24661</v>
      </c>
      <c r="D568" s="1431">
        <v>24638</v>
      </c>
      <c r="E568" s="1431">
        <v>25007</v>
      </c>
      <c r="F568" s="1431">
        <v>25889</v>
      </c>
      <c r="G568" s="1431">
        <v>26145</v>
      </c>
      <c r="H568" s="945"/>
      <c r="I568" s="945"/>
      <c r="J568" s="945"/>
      <c r="K568" s="945"/>
      <c r="L568" s="1431">
        <v>26501</v>
      </c>
      <c r="M568" s="945"/>
      <c r="N568" s="945"/>
      <c r="O568" s="945"/>
      <c r="P568" s="945"/>
      <c r="Q568" s="1431">
        <v>28580</v>
      </c>
      <c r="R568" s="945"/>
      <c r="S568" s="945"/>
      <c r="T568" s="945"/>
      <c r="U568" s="945"/>
      <c r="V568" s="1431">
        <v>31721</v>
      </c>
      <c r="W568" s="945"/>
      <c r="X568" s="945"/>
      <c r="Y568" s="945"/>
      <c r="Z568" s="945"/>
      <c r="AA568" s="1431">
        <v>33656</v>
      </c>
      <c r="AB568" s="945"/>
      <c r="AC568" s="945"/>
      <c r="AD568" s="945"/>
      <c r="AE568" s="945"/>
      <c r="AF568" s="1431">
        <v>37346</v>
      </c>
      <c r="AG568" s="945"/>
      <c r="AH568" s="945"/>
      <c r="AI568" s="945"/>
      <c r="AJ568" s="945"/>
      <c r="AK568" s="1431">
        <v>41571</v>
      </c>
      <c r="AL568" s="945"/>
      <c r="AM568" s="945"/>
      <c r="AN568" s="945"/>
      <c r="AO568" s="945"/>
      <c r="AP568" s="1431">
        <v>43326</v>
      </c>
      <c r="AQ568" s="945"/>
      <c r="AR568" s="945"/>
      <c r="AS568" s="945"/>
      <c r="AT568" s="945"/>
      <c r="AU568" s="1431">
        <v>49077</v>
      </c>
      <c r="AV568" s="945"/>
      <c r="AW568" s="945"/>
      <c r="AX568" s="945"/>
      <c r="AY568" s="945"/>
      <c r="AZ568" s="1431">
        <v>55063</v>
      </c>
      <c r="BA568" s="945"/>
      <c r="BB568" s="945"/>
      <c r="BC568" s="945"/>
      <c r="BD568" s="945"/>
      <c r="BE568" s="1431">
        <v>61432</v>
      </c>
      <c r="BF568" s="945"/>
      <c r="BG568" s="945"/>
      <c r="BH568" s="446"/>
      <c r="BI568" s="911"/>
      <c r="BJ568" s="1432"/>
      <c r="BK568" s="911"/>
      <c r="BL568" s="911"/>
      <c r="BM568" s="911"/>
      <c r="BN568" s="911"/>
      <c r="BO568" s="1432"/>
      <c r="BP568" s="1335"/>
      <c r="BQ568" s="1335"/>
      <c r="BR568" s="1432"/>
      <c r="BS568" s="34"/>
    </row>
    <row r="569" spans="1:71" s="665" customFormat="1" ht="15" collapsed="1">
      <c r="A569" s="999"/>
      <c r="B569" s="308"/>
      <c r="C569" s="1351"/>
      <c r="D569" s="1351"/>
      <c r="E569" s="1351"/>
      <c r="F569" s="1351"/>
      <c r="G569" s="1351"/>
      <c r="H569" s="1047"/>
      <c r="I569" s="1047"/>
      <c r="J569" s="1047"/>
      <c r="K569" s="1047"/>
      <c r="L569" s="1351"/>
      <c r="M569" s="1047"/>
      <c r="N569" s="1047"/>
      <c r="O569" s="1047"/>
      <c r="P569" s="1047"/>
      <c r="Q569" s="1351"/>
      <c r="R569" s="1047"/>
      <c r="S569" s="1047"/>
      <c r="T569" s="1047"/>
      <c r="U569" s="1047"/>
      <c r="V569" s="1351"/>
      <c r="W569" s="1047"/>
      <c r="X569" s="1047"/>
      <c r="Y569" s="1047"/>
      <c r="Z569" s="1047"/>
      <c r="AA569" s="1351"/>
      <c r="AB569" s="1047"/>
      <c r="AC569" s="1047"/>
      <c r="AD569" s="1047"/>
      <c r="AE569" s="1047"/>
      <c r="AF569" s="1351"/>
      <c r="AG569" s="1047"/>
      <c r="AH569" s="1047"/>
      <c r="AI569" s="1047"/>
      <c r="AJ569" s="1047"/>
      <c r="AK569" s="1351"/>
      <c r="AL569" s="1047"/>
      <c r="AM569" s="1047"/>
      <c r="AN569" s="1047"/>
      <c r="AO569" s="1047"/>
      <c r="AP569" s="1351"/>
      <c r="AQ569" s="1047"/>
      <c r="AR569" s="1047"/>
      <c r="AS569" s="1047"/>
      <c r="AT569" s="1047"/>
      <c r="AU569" s="1351"/>
      <c r="AV569" s="1047"/>
      <c r="AW569" s="1047"/>
      <c r="AX569" s="1047"/>
      <c r="AY569" s="1047"/>
      <c r="AZ569" s="1351"/>
      <c r="BA569" s="1047"/>
      <c r="BB569" s="1047"/>
      <c r="BC569" s="1047"/>
      <c r="BD569" s="1047"/>
      <c r="BE569" s="1351"/>
      <c r="BF569" s="1047"/>
      <c r="BG569" s="1047"/>
      <c r="BH569" s="1048"/>
      <c r="BI569" s="1044"/>
      <c r="BJ569" s="1350"/>
      <c r="BK569" s="1044"/>
      <c r="BL569" s="1044"/>
      <c r="BM569" s="1044"/>
      <c r="BN569" s="1044"/>
      <c r="BO569" s="1350"/>
      <c r="BP569" s="1351"/>
      <c r="BQ569" s="1351"/>
      <c r="BR569" s="1350"/>
      <c r="BS569" s="648"/>
    </row>
    <row r="570" spans="1:71" s="668" customFormat="1" ht="15">
      <c r="A570" s="991" t="s">
        <v>50</v>
      </c>
      <c r="B570" s="991"/>
      <c r="C570" s="1035"/>
      <c r="D570" s="1035"/>
      <c r="E570" s="1035"/>
      <c r="F570" s="1035"/>
      <c r="G570" s="1035"/>
      <c r="H570" s="1035"/>
      <c r="I570" s="1035"/>
      <c r="J570" s="1035"/>
      <c r="K570" s="1035"/>
      <c r="L570" s="1035"/>
      <c r="M570" s="1035"/>
      <c r="N570" s="1035"/>
      <c r="O570" s="1035"/>
      <c r="P570" s="1035"/>
      <c r="Q570" s="1035"/>
      <c r="R570" s="1035"/>
      <c r="S570" s="1035"/>
      <c r="T570" s="1035"/>
      <c r="U570" s="1035"/>
      <c r="V570" s="1035"/>
      <c r="W570" s="1035"/>
      <c r="X570" s="1035"/>
      <c r="Y570" s="1035"/>
      <c r="Z570" s="1035"/>
      <c r="AA570" s="1035"/>
      <c r="AB570" s="1035"/>
      <c r="AC570" s="1035"/>
      <c r="AD570" s="1035"/>
      <c r="AE570" s="1035"/>
      <c r="AF570" s="1035"/>
      <c r="AG570" s="1035"/>
      <c r="AH570" s="1035"/>
      <c r="AI570" s="1035"/>
      <c r="AJ570" s="1035"/>
      <c r="AK570" s="1035"/>
      <c r="AL570" s="1035"/>
      <c r="AM570" s="1035"/>
      <c r="AN570" s="1035"/>
      <c r="AO570" s="1035"/>
      <c r="AP570" s="1035"/>
      <c r="AQ570" s="1035"/>
      <c r="AR570" s="1035"/>
      <c r="AS570" s="1035"/>
      <c r="AT570" s="1035"/>
      <c r="AU570" s="1035"/>
      <c r="AV570" s="1035"/>
      <c r="AW570" s="1035"/>
      <c r="AX570" s="1035"/>
      <c r="AY570" s="1035"/>
      <c r="AZ570" s="1035"/>
      <c r="BA570" s="1035"/>
      <c r="BB570" s="1035"/>
      <c r="BC570" s="1035"/>
      <c r="BD570" s="1035"/>
      <c r="BE570" s="1035"/>
      <c r="BF570" s="1035"/>
      <c r="BG570" s="1035"/>
      <c r="BH570" s="1036"/>
      <c r="BI570" s="1037"/>
      <c r="BJ570" s="1037"/>
      <c r="BK570" s="1037"/>
      <c r="BL570" s="1037"/>
      <c r="BM570" s="1037"/>
      <c r="BN570" s="1037"/>
      <c r="BO570" s="1037"/>
      <c r="BP570" s="1035"/>
      <c r="BQ570" s="1035"/>
      <c r="BR570" s="1037"/>
      <c r="BS570" s="648"/>
    </row>
    <row r="571" spans="1:71" s="686" customFormat="1" ht="15" hidden="1" outlineLevel="1">
      <c r="A571" s="41" t="s">
        <v>51</v>
      </c>
      <c r="B571" s="999"/>
      <c r="C571" s="1364">
        <v>14012.80</v>
      </c>
      <c r="D571" s="1364">
        <v>14314.80</v>
      </c>
      <c r="E571" s="1364">
        <v>14902.80</v>
      </c>
      <c r="F571" s="1364">
        <v>16018</v>
      </c>
      <c r="G571" s="1364">
        <v>17103.40</v>
      </c>
      <c r="H571" s="1225">
        <v>4402.30</v>
      </c>
      <c r="I571" s="1225">
        <v>4513.50</v>
      </c>
      <c r="J571" s="1225">
        <v>4540.1000000000004</v>
      </c>
      <c r="K571" s="1047">
        <f>L571-J571-I571-H571</f>
        <v>4942.5999999999995</v>
      </c>
      <c r="L571" s="1364">
        <v>18398.50</v>
      </c>
      <c r="M571" s="1225">
        <v>4666.30</v>
      </c>
      <c r="N571" s="1225">
        <v>4995.80</v>
      </c>
      <c r="O571" s="1225">
        <v>5070.6000000000004</v>
      </c>
      <c r="P571" s="1047">
        <f>Q571-O571-N571-M571</f>
        <v>5166.3999999999969</v>
      </c>
      <c r="Q571" s="1364">
        <v>19899.099999999999</v>
      </c>
      <c r="R571" s="1225">
        <v>5317.40</v>
      </c>
      <c r="S571" s="1225">
        <v>5561.80</v>
      </c>
      <c r="T571" s="1225">
        <v>5723.40</v>
      </c>
      <c r="U571" s="1047">
        <f>V571-T571-S571-R571</f>
        <v>5871.40</v>
      </c>
      <c r="V571" s="1364">
        <v>22474</v>
      </c>
      <c r="W571" s="1225">
        <v>6026.70</v>
      </c>
      <c r="X571" s="1225">
        <v>6313.30</v>
      </c>
      <c r="Y571" s="1225">
        <v>6544</v>
      </c>
      <c r="Z571" s="1047">
        <f>AA571-Y571-X571-W571</f>
        <v>6845.9000000000024</v>
      </c>
      <c r="AA571" s="1364">
        <v>25729.900000000001</v>
      </c>
      <c r="AB571" s="1225">
        <v>7174</v>
      </c>
      <c r="AC571" s="1225">
        <v>7634.20</v>
      </c>
      <c r="AD571" s="1225">
        <v>7930.50</v>
      </c>
      <c r="AE571" s="1047">
        <f>AF571-AD571-AC571-AB571</f>
        <v>8194.5999999999985</v>
      </c>
      <c r="AF571" s="1364">
        <v>30933.299999999999</v>
      </c>
      <c r="AG571" s="1225">
        <v>8459.7999999999993</v>
      </c>
      <c r="AH571" s="1225">
        <v>8824.7000000000007</v>
      </c>
      <c r="AI571" s="1225">
        <v>9012.2000000000007</v>
      </c>
      <c r="AJ571" s="1047">
        <f>AK571-AI571-AH571-AG571</f>
        <v>9895.7000000000007</v>
      </c>
      <c r="AK571" s="1364">
        <v>36192.40</v>
      </c>
      <c r="AL571" s="1225">
        <v>9430.7000000000007</v>
      </c>
      <c r="AM571" s="1225">
        <v>9648.60</v>
      </c>
      <c r="AN571" s="1225">
        <v>9973.50</v>
      </c>
      <c r="AO571" s="1047">
        <f>AP571-AN571-AM571-AL571</f>
        <v>10208.799999999999</v>
      </c>
      <c r="AP571" s="1364">
        <v>39261.60</v>
      </c>
      <c r="AQ571" s="1225">
        <v>10420.200000000001</v>
      </c>
      <c r="AR571" s="1047">
        <f>21402.5-AQ571</f>
        <v>10982.299999999999</v>
      </c>
      <c r="AS571" s="1225">
        <v>11364.80</v>
      </c>
      <c r="AT571" s="1047">
        <f>AU571-AS571-AR571-AQ571</f>
        <v>11601.399999999994</v>
      </c>
      <c r="AU571" s="1364">
        <v>44368.699999999997</v>
      </c>
      <c r="AV571" s="1225">
        <v>11802.90</v>
      </c>
      <c r="AW571" s="1047">
        <f>23950.8-AV571</f>
        <v>12147.90</v>
      </c>
      <c r="AX571" s="1225">
        <v>12398.90</v>
      </c>
      <c r="AY571" s="1047">
        <f>AZ571-AX571-AW571-AV571</f>
        <v>12891.499999999995</v>
      </c>
      <c r="AZ571" s="1364">
        <v>49241.199999999997</v>
      </c>
      <c r="BA571" s="1225">
        <v>13533.10</v>
      </c>
      <c r="BB571" s="1047">
        <f>27997.5-BA571</f>
        <v>14464.40</v>
      </c>
      <c r="BC571" s="1225">
        <v>14894.299999999999</v>
      </c>
      <c r="BD571" s="1047">
        <f>BE571-BC571-BB571-BA571</f>
        <v>15772.600000000004</v>
      </c>
      <c r="BE571" s="1364">
        <v>58664.400000000001</v>
      </c>
      <c r="BF571" s="1225">
        <v>16148.60</v>
      </c>
      <c r="BG571" s="1047">
        <f>33358.1-BF571</f>
        <v>17209.50</v>
      </c>
      <c r="BH571" s="1048">
        <f>51654.8-BF571-BG571</f>
        <v>18296.700000000004</v>
      </c>
      <c r="BI571" s="1044"/>
      <c r="BJ571" s="1350"/>
      <c r="BK571" s="1044"/>
      <c r="BL571" s="1044"/>
      <c r="BM571" s="1044"/>
      <c r="BN571" s="1044"/>
      <c r="BO571" s="1350"/>
      <c r="BP571" s="1351"/>
      <c r="BQ571" s="1351"/>
      <c r="BR571" s="1350"/>
      <c r="BS571" s="648"/>
    </row>
    <row r="572" spans="1:71" s="665" customFormat="1" ht="15" hidden="1" outlineLevel="1">
      <c r="A572" s="371" t="s">
        <v>52</v>
      </c>
      <c r="B572" s="321"/>
      <c r="C572" s="1364">
        <v>507</v>
      </c>
      <c r="D572" s="1364">
        <v>520.10</v>
      </c>
      <c r="E572" s="1364">
        <v>480</v>
      </c>
      <c r="F572" s="1364">
        <v>443</v>
      </c>
      <c r="G572" s="1364">
        <v>422</v>
      </c>
      <c r="H572" s="1225">
        <v>103.30</v>
      </c>
      <c r="I572" s="1225">
        <v>99.20</v>
      </c>
      <c r="J572" s="1225">
        <v>101.70</v>
      </c>
      <c r="K572" s="1047">
        <f>L572-J572-I572-H572</f>
        <v>104.20</v>
      </c>
      <c r="L572" s="1364">
        <v>408.40</v>
      </c>
      <c r="M572" s="1225">
        <v>105.09999999999999</v>
      </c>
      <c r="N572" s="1225">
        <v>113.30</v>
      </c>
      <c r="O572" s="1225">
        <v>117.50</v>
      </c>
      <c r="P572" s="1047">
        <f>Q572-O572-N572-M572</f>
        <v>118.70000000000002</v>
      </c>
      <c r="Q572" s="1364">
        <v>454.60</v>
      </c>
      <c r="R572" s="1225">
        <v>118.80</v>
      </c>
      <c r="S572" s="1225">
        <v>114.59999999999999</v>
      </c>
      <c r="T572" s="1225">
        <v>119.30</v>
      </c>
      <c r="U572" s="1047">
        <f>V572-T572-S572-R572</f>
        <v>126.19999999999997</v>
      </c>
      <c r="V572" s="1364">
        <v>478.90</v>
      </c>
      <c r="W572" s="1225">
        <v>129.19999999999999</v>
      </c>
      <c r="X572" s="1225">
        <v>138.80000000000001</v>
      </c>
      <c r="Y572" s="1225">
        <v>142.90000000000001</v>
      </c>
      <c r="Z572" s="1047">
        <f>AA572-Y572-X572-W572</f>
        <v>152.20000000000005</v>
      </c>
      <c r="AA572" s="1364">
        <v>563.10</v>
      </c>
      <c r="AB572" s="1225">
        <v>166.30</v>
      </c>
      <c r="AC572" s="1225">
        <v>192.10</v>
      </c>
      <c r="AD572" s="1225">
        <v>218.10</v>
      </c>
      <c r="AE572" s="1047">
        <f>AF572-AD572-AC572-AB572</f>
        <v>243.99999999999994</v>
      </c>
      <c r="AF572" s="1364">
        <v>820.50</v>
      </c>
      <c r="AG572" s="1225">
        <v>252.90</v>
      </c>
      <c r="AH572" s="1225">
        <v>261.30</v>
      </c>
      <c r="AI572" s="1225">
        <v>263</v>
      </c>
      <c r="AJ572" s="1047">
        <f>AK572-AI572-AH572-AG572</f>
        <v>264.80000000000007</v>
      </c>
      <c r="AK572" s="1364">
        <v>1042</v>
      </c>
      <c r="AL572" s="1225">
        <v>241.20</v>
      </c>
      <c r="AM572" s="1225">
        <v>243.80</v>
      </c>
      <c r="AN572" s="1225">
        <v>230.50</v>
      </c>
      <c r="AO572" s="1047">
        <f>AP572-AN572-AM572-AL572</f>
        <v>221.10000000000002</v>
      </c>
      <c r="AP572" s="1364">
        <v>936.60</v>
      </c>
      <c r="AQ572" s="1225">
        <v>220.20</v>
      </c>
      <c r="AR572" s="1042">
        <f>430.9-AQ572</f>
        <v>210.70</v>
      </c>
      <c r="AS572" s="1225">
        <v>208.90</v>
      </c>
      <c r="AT572" s="1047">
        <f>AU572-AS572-AR572-AQ572</f>
        <v>221.10000000000002</v>
      </c>
      <c r="AU572" s="1364">
        <v>860.90</v>
      </c>
      <c r="AV572" s="1225">
        <v>242.20</v>
      </c>
      <c r="AW572" s="1042">
        <f>534.6-AV572</f>
        <v>292.40000000000003</v>
      </c>
      <c r="AX572" s="1225">
        <v>333.60</v>
      </c>
      <c r="AY572" s="1047">
        <f>AZ572-AX572-AW572-AV572</f>
        <v>392.10</v>
      </c>
      <c r="AZ572" s="1364">
        <v>1260.30</v>
      </c>
      <c r="BA572" s="1225">
        <v>419.60</v>
      </c>
      <c r="BB572" s="1042">
        <f>874.1-BA572</f>
        <v>454.50</v>
      </c>
      <c r="BC572" s="1225">
        <v>510.20</v>
      </c>
      <c r="BD572" s="1047">
        <f>BE572-BC572-BB572-BA572</f>
        <v>507.49999999999989</v>
      </c>
      <c r="BE572" s="1364">
        <v>1891.80</v>
      </c>
      <c r="BF572" s="1225">
        <v>617.60</v>
      </c>
      <c r="BG572" s="1042">
        <f>1302.6-BF572</f>
        <v>684.99999999999989</v>
      </c>
      <c r="BH572" s="1043">
        <f>2042.1-BG572-BF572</f>
        <v>739.49999999999989</v>
      </c>
      <c r="BI572" s="1044"/>
      <c r="BJ572" s="1350"/>
      <c r="BK572" s="1044"/>
      <c r="BL572" s="1044"/>
      <c r="BM572" s="1044"/>
      <c r="BN572" s="1044"/>
      <c r="BO572" s="1350"/>
      <c r="BP572" s="1351"/>
      <c r="BQ572" s="1351"/>
      <c r="BR572" s="1350"/>
      <c r="BS572" s="648"/>
    </row>
    <row r="573" spans="1:71" s="665" customFormat="1" ht="15" hidden="1" outlineLevel="1">
      <c r="A573" s="71" t="s">
        <v>53</v>
      </c>
      <c r="B573" s="321"/>
      <c r="C573" s="1364">
        <v>-80.900000000000006</v>
      </c>
      <c r="D573" s="1364">
        <v>-19.10</v>
      </c>
      <c r="E573" s="1364">
        <v>-6</v>
      </c>
      <c r="F573" s="1364">
        <v>-7.30</v>
      </c>
      <c r="G573" s="1364">
        <v>-6</v>
      </c>
      <c r="H573" s="1047"/>
      <c r="I573" s="1047"/>
      <c r="J573" s="1047"/>
      <c r="K573" s="1047">
        <f>L573-J573-I573-H573</f>
        <v>0</v>
      </c>
      <c r="L573" s="1351"/>
      <c r="M573" s="1047"/>
      <c r="N573" s="1047"/>
      <c r="O573" s="1047"/>
      <c r="P573" s="1047">
        <f>Q573-O573-N573-M573</f>
        <v>0</v>
      </c>
      <c r="Q573" s="1351"/>
      <c r="R573" s="1047"/>
      <c r="S573" s="1047"/>
      <c r="T573" s="1047"/>
      <c r="U573" s="1047">
        <f>V573-T573-S573-R573</f>
        <v>0</v>
      </c>
      <c r="V573" s="1351"/>
      <c r="W573" s="1047"/>
      <c r="X573" s="1047"/>
      <c r="Y573" s="1047"/>
      <c r="Z573" s="1047">
        <f>AA573-Y573-X573-W573</f>
        <v>0</v>
      </c>
      <c r="AA573" s="1351"/>
      <c r="AB573" s="1047"/>
      <c r="AC573" s="1047"/>
      <c r="AD573" s="1047"/>
      <c r="AE573" s="1047">
        <f>AF573-AD573-AC573-AB573</f>
        <v>0</v>
      </c>
      <c r="AF573" s="1351"/>
      <c r="AG573" s="1047"/>
      <c r="AH573" s="1047"/>
      <c r="AI573" s="1047"/>
      <c r="AJ573" s="1047">
        <f>AK573-AI573-AH573-AG573</f>
        <v>0</v>
      </c>
      <c r="AK573" s="1351"/>
      <c r="AL573" s="1047"/>
      <c r="AM573" s="1047"/>
      <c r="AN573" s="1047"/>
      <c r="AO573" s="1047">
        <f>AP573-AN573-AM573-AL573</f>
        <v>0</v>
      </c>
      <c r="AP573" s="1351"/>
      <c r="AQ573" s="1047"/>
      <c r="AR573" s="1047"/>
      <c r="AS573" s="1047"/>
      <c r="AT573" s="1047">
        <f>AU573-AS573-AR573-AQ573</f>
        <v>0</v>
      </c>
      <c r="AU573" s="1351"/>
      <c r="AV573" s="1047"/>
      <c r="AW573" s="1047"/>
      <c r="AX573" s="1047"/>
      <c r="AY573" s="1047">
        <f>AZ573-AX573-AW573-AV573</f>
        <v>0</v>
      </c>
      <c r="AZ573" s="1351"/>
      <c r="BA573" s="1047"/>
      <c r="BB573" s="1047"/>
      <c r="BC573" s="1047"/>
      <c r="BD573" s="1047">
        <f>BE573-BC573-BB573-BA573</f>
        <v>0</v>
      </c>
      <c r="BE573" s="1351"/>
      <c r="BF573" s="1047"/>
      <c r="BG573" s="1047"/>
      <c r="BH573" s="1048"/>
      <c r="BI573" s="1044"/>
      <c r="BJ573" s="1350"/>
      <c r="BK573" s="1044"/>
      <c r="BL573" s="1044"/>
      <c r="BM573" s="1044"/>
      <c r="BN573" s="1044"/>
      <c r="BO573" s="1350"/>
      <c r="BP573" s="1351"/>
      <c r="BQ573" s="1351"/>
      <c r="BR573" s="1350"/>
      <c r="BS573" s="648"/>
    </row>
    <row r="574" spans="1:71" s="665" customFormat="1" ht="15" hidden="1" outlineLevel="1">
      <c r="A574" s="71" t="s">
        <v>54</v>
      </c>
      <c r="B574" s="321"/>
      <c r="C574" s="1364">
        <v>40.10</v>
      </c>
      <c r="D574" s="1364">
        <v>5.20</v>
      </c>
      <c r="E574" s="1364">
        <v>0.50</v>
      </c>
      <c r="F574" s="1364">
        <v>-0.70</v>
      </c>
      <c r="G574" s="1364">
        <v>-0.10000000000000001</v>
      </c>
      <c r="H574" s="1047"/>
      <c r="I574" s="1047"/>
      <c r="J574" s="1047"/>
      <c r="K574" s="1047"/>
      <c r="L574" s="1351"/>
      <c r="M574" s="1047"/>
      <c r="N574" s="1047"/>
      <c r="O574" s="1047"/>
      <c r="P574" s="1047"/>
      <c r="Q574" s="1351"/>
      <c r="R574" s="1047"/>
      <c r="S574" s="1047"/>
      <c r="T574" s="1047"/>
      <c r="U574" s="1047"/>
      <c r="V574" s="1351"/>
      <c r="W574" s="1047"/>
      <c r="X574" s="1047"/>
      <c r="Y574" s="1047"/>
      <c r="Z574" s="1047"/>
      <c r="AA574" s="1351"/>
      <c r="AB574" s="1047"/>
      <c r="AC574" s="1047"/>
      <c r="AD574" s="1047"/>
      <c r="AE574" s="1047"/>
      <c r="AF574" s="1351"/>
      <c r="AG574" s="1047"/>
      <c r="AH574" s="1047"/>
      <c r="AI574" s="1047"/>
      <c r="AJ574" s="1047"/>
      <c r="AK574" s="1351"/>
      <c r="AL574" s="1047"/>
      <c r="AM574" s="1047"/>
      <c r="AN574" s="1047"/>
      <c r="AO574" s="1047"/>
      <c r="AP574" s="1351"/>
      <c r="AQ574" s="1047"/>
      <c r="AR574" s="1047"/>
      <c r="AS574" s="1047"/>
      <c r="AT574" s="1047"/>
      <c r="AU574" s="1351"/>
      <c r="AV574" s="1047"/>
      <c r="AW574" s="1047"/>
      <c r="AX574" s="1047"/>
      <c r="AY574" s="1047"/>
      <c r="AZ574" s="1351"/>
      <c r="BA574" s="1047"/>
      <c r="BB574" s="1047"/>
      <c r="BC574" s="1047"/>
      <c r="BD574" s="1047"/>
      <c r="BE574" s="1351"/>
      <c r="BF574" s="1047"/>
      <c r="BG574" s="1047"/>
      <c r="BH574" s="1048"/>
      <c r="BI574" s="1044"/>
      <c r="BJ574" s="1350"/>
      <c r="BK574" s="1044"/>
      <c r="BL574" s="1044"/>
      <c r="BM574" s="1044"/>
      <c r="BN574" s="1044"/>
      <c r="BO574" s="1350"/>
      <c r="BP574" s="1351"/>
      <c r="BQ574" s="1351"/>
      <c r="BR574" s="1350"/>
      <c r="BS574" s="648"/>
    </row>
    <row r="575" spans="1:71" s="665" customFormat="1" ht="15" hidden="1" outlineLevel="1">
      <c r="A575" s="57" t="s">
        <v>55</v>
      </c>
      <c r="B575" s="415"/>
      <c r="C575" s="1433">
        <v>-40.799999999999997</v>
      </c>
      <c r="D575" s="1433">
        <v>-13.90</v>
      </c>
      <c r="E575" s="1433">
        <v>-5.50</v>
      </c>
      <c r="F575" s="1433">
        <v>-8</v>
      </c>
      <c r="G575" s="1433">
        <v>-6.10</v>
      </c>
      <c r="H575" s="1267">
        <v>0</v>
      </c>
      <c r="I575" s="1267">
        <v>0</v>
      </c>
      <c r="J575" s="1267">
        <v>-0.10000000000000001</v>
      </c>
      <c r="K575" s="1057">
        <f>L575-J575-I575-H575</f>
        <v>-7.8000000000000007</v>
      </c>
      <c r="L575" s="1433">
        <v>-7.90</v>
      </c>
      <c r="M575" s="1267">
        <v>-7.90</v>
      </c>
      <c r="N575" s="1267">
        <v>-1.70</v>
      </c>
      <c r="O575" s="1267">
        <v>-13.60</v>
      </c>
      <c r="P575" s="1057">
        <f>Q575-O575-N575-M575</f>
        <v>-0.60000000000000142</v>
      </c>
      <c r="Q575" s="1433">
        <v>-23.80</v>
      </c>
      <c r="R575" s="1267">
        <v>0</v>
      </c>
      <c r="S575" s="1267">
        <v>-0.20</v>
      </c>
      <c r="T575" s="1267">
        <v>-61.60</v>
      </c>
      <c r="U575" s="1057">
        <f>V575-T575-S575-R575</f>
        <v>-24.999999999999996</v>
      </c>
      <c r="V575" s="1433">
        <v>-86.80</v>
      </c>
      <c r="W575" s="1267">
        <v>-1</v>
      </c>
      <c r="X575" s="1267">
        <v>-13.80</v>
      </c>
      <c r="Y575" s="1267">
        <v>-43</v>
      </c>
      <c r="Z575" s="1057">
        <f>AA575-Y575-X575-W575</f>
        <v>-6.6999999999999993</v>
      </c>
      <c r="AA575" s="1433">
        <v>-64.50</v>
      </c>
      <c r="AB575" s="1267">
        <v>0</v>
      </c>
      <c r="AC575" s="1267">
        <v>-11.10</v>
      </c>
      <c r="AD575" s="1267">
        <v>-22.10</v>
      </c>
      <c r="AE575" s="1057">
        <f>AF575-AD575-AC575-AB575</f>
        <v>-35.099999999999994</v>
      </c>
      <c r="AF575" s="1433">
        <v>-68.30</v>
      </c>
      <c r="AG575" s="1267">
        <v>-24.30</v>
      </c>
      <c r="AH575" s="1267">
        <v>0</v>
      </c>
      <c r="AI575" s="1267">
        <v>-38.10</v>
      </c>
      <c r="AJ575" s="1057">
        <f>AK575-AI575-AH575-AG575</f>
        <v>-0.89999999999999503</v>
      </c>
      <c r="AK575" s="1433">
        <v>-63.30</v>
      </c>
      <c r="AL575" s="1267">
        <v>0</v>
      </c>
      <c r="AM575" s="1267">
        <v>0</v>
      </c>
      <c r="AN575" s="1267">
        <v>0</v>
      </c>
      <c r="AO575" s="1057">
        <f>AP575-AN575-AM575-AL575</f>
        <v>0</v>
      </c>
      <c r="AP575" s="1359"/>
      <c r="AQ575" s="1057"/>
      <c r="AR575" s="1058">
        <f>-2.5-AQ575</f>
        <v>-2.50</v>
      </c>
      <c r="AS575" s="1267">
        <v>-1.20</v>
      </c>
      <c r="AT575" s="1057">
        <f>AU575-AS575-AR575-AQ575</f>
        <v>-1.2999999999999998</v>
      </c>
      <c r="AU575" s="1433">
        <v>-5</v>
      </c>
      <c r="AV575" s="1267">
        <v>-2.2000000000000002</v>
      </c>
      <c r="AW575" s="1058">
        <f>-4.3-AV575</f>
        <v>-2.0999999999999996</v>
      </c>
      <c r="AX575" s="1267">
        <v>-2.2000000000000002</v>
      </c>
      <c r="AY575" s="1057">
        <f>AZ575-AX575-AW575-AV575</f>
        <v>-2.0999999999999996</v>
      </c>
      <c r="AZ575" s="1433">
        <v>-8.60</v>
      </c>
      <c r="BA575" s="1267">
        <v>-2.2999999999999998</v>
      </c>
      <c r="BB575" s="1058">
        <f>-4.5-BA575</f>
        <v>-2.2000000000000002</v>
      </c>
      <c r="BC575" s="1267">
        <v>-2.2999999999999998</v>
      </c>
      <c r="BD575" s="1057">
        <f>BE575-BC575-BB575-BA575</f>
        <v>-2.2000000000000002</v>
      </c>
      <c r="BE575" s="1433">
        <v>-9</v>
      </c>
      <c r="BF575" s="1267">
        <v>0</v>
      </c>
      <c r="BG575" s="1058">
        <f>0-BF575</f>
        <v>0</v>
      </c>
      <c r="BH575" s="1268">
        <v>0</v>
      </c>
      <c r="BI575" s="1057"/>
      <c r="BJ575" s="1359"/>
      <c r="BK575" s="1057"/>
      <c r="BL575" s="1057"/>
      <c r="BM575" s="1057"/>
      <c r="BN575" s="1057"/>
      <c r="BO575" s="1359"/>
      <c r="BP575" s="1359"/>
      <c r="BQ575" s="1359"/>
      <c r="BR575" s="1359"/>
      <c r="BS575" s="648"/>
    </row>
    <row r="576" spans="1:71" s="665" customFormat="1" ht="15" hidden="1" outlineLevel="1">
      <c r="A576" s="31" t="s">
        <v>56</v>
      </c>
      <c r="B576" s="321"/>
      <c r="C576" s="1364">
        <v>67.900000000000006</v>
      </c>
      <c r="D576" s="1364">
        <v>110</v>
      </c>
      <c r="E576" s="1364">
        <v>108.09999999999999</v>
      </c>
      <c r="F576" s="1364">
        <v>314.80</v>
      </c>
      <c r="G576" s="1364">
        <v>324.50</v>
      </c>
      <c r="H576" s="1225">
        <v>119.40000000000001</v>
      </c>
      <c r="I576" s="1225">
        <v>40.40</v>
      </c>
      <c r="J576" s="1225">
        <v>38.299999999999997</v>
      </c>
      <c r="K576" s="1047">
        <f>L576-J576-I576-H576</f>
        <v>34</v>
      </c>
      <c r="L576" s="1364">
        <v>232.10</v>
      </c>
      <c r="M576" s="1225">
        <v>40.90</v>
      </c>
      <c r="N576" s="1225">
        <v>77.70</v>
      </c>
      <c r="O576" s="1225">
        <v>-2.2000000000000002</v>
      </c>
      <c r="P576" s="1047">
        <f>Q576-O576-N576-M576</f>
        <v>20.099999999999987</v>
      </c>
      <c r="Q576" s="1364">
        <v>136.50</v>
      </c>
      <c r="R576" s="1225">
        <v>17.40</v>
      </c>
      <c r="S576" s="1225">
        <v>32.50</v>
      </c>
      <c r="T576" s="1225">
        <v>40.90</v>
      </c>
      <c r="U576" s="1047">
        <f>V576-T576-S576-R576</f>
        <v>47.10</v>
      </c>
      <c r="V576" s="1364">
        <v>137.90000000000001</v>
      </c>
      <c r="W576" s="1225">
        <v>52.90</v>
      </c>
      <c r="X576" s="1225">
        <v>45.90</v>
      </c>
      <c r="Y576" s="1225">
        <v>18.30</v>
      </c>
      <c r="Z576" s="1047">
        <f>AA576-Y576-X576-W576</f>
        <v>-3</v>
      </c>
      <c r="AA576" s="1364">
        <v>114.09999999999999</v>
      </c>
      <c r="AB576" s="1225">
        <f>107-155.2</f>
        <v>-48.199999999999989</v>
      </c>
      <c r="AC576" s="1225">
        <f>-9.6+53.5</f>
        <v>43.90</v>
      </c>
      <c r="AD576" s="1225">
        <f>108.4+95.8</f>
        <v>204.20</v>
      </c>
      <c r="AE576" s="1047">
        <f>AF576-AD576-AC576-AB576</f>
        <v>-29.200000000000017</v>
      </c>
      <c r="AF576" s="1364">
        <v>170.70</v>
      </c>
      <c r="AG576" s="1225">
        <v>46.10</v>
      </c>
      <c r="AH576" s="1225">
        <f>67.5+112.4</f>
        <v>179.90</v>
      </c>
      <c r="AI576" s="1225">
        <f>71.7+31.8</f>
        <v>103.50</v>
      </c>
      <c r="AJ576" s="1047">
        <f>AK576-AI576-AH576-AG576</f>
        <v>5.1000000000000156</v>
      </c>
      <c r="AK576" s="1364">
        <v>334.60</v>
      </c>
      <c r="AL576" s="1225">
        <v>315.20</v>
      </c>
      <c r="AM576" s="1225">
        <v>260</v>
      </c>
      <c r="AN576" s="1225">
        <v>195.90</v>
      </c>
      <c r="AO576" s="1047">
        <f>AP576-AN576-AM576-AL576</f>
        <v>143.60000000000008</v>
      </c>
      <c r="AP576" s="1364">
        <v>914.70</v>
      </c>
      <c r="AQ576" s="1225">
        <v>143.80000000000001</v>
      </c>
      <c r="AR576" s="1042">
        <f>553.9-AQ576</f>
        <v>410.10</v>
      </c>
      <c r="AS576" s="1225">
        <v>53.90</v>
      </c>
      <c r="AT576" s="1047">
        <f>AU576-AS576-AR576-AQ576</f>
        <v>6.50</v>
      </c>
      <c r="AU576" s="1364">
        <v>614.29999999999995</v>
      </c>
      <c r="AV576" s="1225">
        <v>-54.50</v>
      </c>
      <c r="AW576" s="1042">
        <f>492.1-AV576</f>
        <v>546.60</v>
      </c>
      <c r="AX576" s="1225">
        <v>-62.10</v>
      </c>
      <c r="AY576" s="1047">
        <f>AZ576-AX576-AW576-AV576</f>
        <v>-233.50</v>
      </c>
      <c r="AZ576" s="1364">
        <v>196.50</v>
      </c>
      <c r="BA576" s="1225">
        <v>-30.30</v>
      </c>
      <c r="BB576" s="1042">
        <f>104.8-BA576</f>
        <v>135.09999999999999</v>
      </c>
      <c r="BC576" s="1225">
        <v>-66.20</v>
      </c>
      <c r="BD576" s="1047">
        <f>BE576-BC576-BB576-BA576</f>
        <v>-24.899999999999988</v>
      </c>
      <c r="BE576" s="1364">
        <v>13.70</v>
      </c>
      <c r="BF576" s="1225">
        <v>-146.50</v>
      </c>
      <c r="BG576" s="1042">
        <f>-372.9-BF576</f>
        <v>-226.39999999999998</v>
      </c>
      <c r="BH576" s="1043">
        <f>-304.9-BG576-BF576</f>
        <v>68</v>
      </c>
      <c r="BI576" s="1044"/>
      <c r="BJ576" s="1350"/>
      <c r="BK576" s="1044"/>
      <c r="BL576" s="1044"/>
      <c r="BM576" s="1044"/>
      <c r="BN576" s="1044"/>
      <c r="BO576" s="1350"/>
      <c r="BP576" s="1351"/>
      <c r="BQ576" s="1351"/>
      <c r="BR576" s="1350"/>
      <c r="BS576" s="648"/>
    </row>
    <row r="577" spans="1:71" s="665" customFormat="1" ht="15" hidden="1" outlineLevel="1">
      <c r="A577" s="31" t="s">
        <v>57</v>
      </c>
      <c r="B577" s="321"/>
      <c r="C577" s="1351"/>
      <c r="D577" s="1351"/>
      <c r="E577" s="1351"/>
      <c r="F577" s="1351"/>
      <c r="G577" s="1351"/>
      <c r="H577" s="1047"/>
      <c r="I577" s="1047"/>
      <c r="J577" s="1047"/>
      <c r="K577" s="1047"/>
      <c r="L577" s="1351"/>
      <c r="M577" s="1047"/>
      <c r="N577" s="1047"/>
      <c r="O577" s="1047"/>
      <c r="P577" s="1047"/>
      <c r="Q577" s="1351"/>
      <c r="R577" s="1047"/>
      <c r="S577" s="1047"/>
      <c r="T577" s="1047"/>
      <c r="U577" s="1047"/>
      <c r="V577" s="1351"/>
      <c r="W577" s="1047"/>
      <c r="X577" s="1047"/>
      <c r="Y577" s="1047"/>
      <c r="Z577" s="1047"/>
      <c r="AA577" s="1351"/>
      <c r="AB577" s="1047"/>
      <c r="AC577" s="1047"/>
      <c r="AD577" s="1047"/>
      <c r="AE577" s="1047">
        <f>AF577-AB577-AC577-AD577</f>
        <v>-507.90</v>
      </c>
      <c r="AF577" s="1364">
        <v>-507.90</v>
      </c>
      <c r="AG577" s="1225">
        <v>392.70</v>
      </c>
      <c r="AH577" s="1047"/>
      <c r="AI577" s="1047"/>
      <c r="AJ577" s="1047">
        <f>AK577-AG577-AH577-AI577</f>
        <v>365.20</v>
      </c>
      <c r="AK577" s="1364">
        <v>757.90</v>
      </c>
      <c r="AL577" s="1225">
        <v>-868.80</v>
      </c>
      <c r="AM577" s="1225">
        <v>630.79999999999995</v>
      </c>
      <c r="AN577" s="1225">
        <v>336.70</v>
      </c>
      <c r="AO577" s="1047">
        <f>AP577-AL577-AM577-AN577</f>
        <v>616.59999999999991</v>
      </c>
      <c r="AP577" s="1364">
        <v>715.30</v>
      </c>
      <c r="AQ577" s="1225">
        <v>441.50</v>
      </c>
      <c r="AR577" s="1042">
        <f>495.7-AQ577</f>
        <v>54.199999999999989</v>
      </c>
      <c r="AS577" s="1225">
        <v>-15.90</v>
      </c>
      <c r="AT577" s="1047">
        <f>AU577-AQ577-AR577-AS577</f>
        <v>420.10</v>
      </c>
      <c r="AU577" s="1364">
        <v>899.90</v>
      </c>
      <c r="AV577" s="1225">
        <v>-388.60</v>
      </c>
      <c r="AW577" s="1042">
        <f>-2110.8-AV577</f>
        <v>-1722.2000000000003</v>
      </c>
      <c r="AX577" s="1225">
        <v>-152.09999999999999</v>
      </c>
      <c r="AY577" s="1047">
        <f>AZ577-AV577-AW577-AX577</f>
        <v>162.80000000000027</v>
      </c>
      <c r="AZ577" s="1364">
        <v>-2100.10</v>
      </c>
      <c r="BA577" s="1225">
        <v>104.40000000000001</v>
      </c>
      <c r="BB577" s="1042">
        <f>98.4-BA577</f>
        <v>-6</v>
      </c>
      <c r="BC577" s="1225">
        <v>-80.50</v>
      </c>
      <c r="BD577" s="1047">
        <f>BE577-BA577-BB577-BC577</f>
        <v>330.50</v>
      </c>
      <c r="BE577" s="1364">
        <v>348.40</v>
      </c>
      <c r="BF577" s="1225">
        <v>302.10000000000002</v>
      </c>
      <c r="BG577" s="1042">
        <f>402.2-BF577</f>
        <v>100.09999999999997</v>
      </c>
      <c r="BH577" s="1043">
        <f>621.6-BG577-BF577</f>
        <v>219.39999999999998</v>
      </c>
      <c r="BI577" s="1044"/>
      <c r="BJ577" s="1350"/>
      <c r="BK577" s="1044"/>
      <c r="BL577" s="1044"/>
      <c r="BM577" s="1044"/>
      <c r="BN577" s="1044"/>
      <c r="BO577" s="1350"/>
      <c r="BP577" s="1351"/>
      <c r="BQ577" s="1351"/>
      <c r="BR577" s="1350"/>
      <c r="BS577" s="648"/>
    </row>
    <row r="578" spans="1:71" s="665" customFormat="1" ht="15" hidden="1" outlineLevel="1">
      <c r="A578" s="56" t="s">
        <v>58</v>
      </c>
      <c r="B578" s="415"/>
      <c r="C578" s="1360">
        <f t="shared" si="1186" ref="C578:Z578">C576+C575</f>
        <v>27.100000000000009</v>
      </c>
      <c r="D578" s="1360">
        <f t="shared" si="1186"/>
        <v>96.10</v>
      </c>
      <c r="E578" s="1360">
        <f t="shared" si="1186"/>
        <v>102.59999999999999</v>
      </c>
      <c r="F578" s="1360">
        <f t="shared" si="1186"/>
        <v>306.80</v>
      </c>
      <c r="G578" s="1360">
        <f t="shared" si="1186"/>
        <v>318.39999999999998</v>
      </c>
      <c r="H578" s="1058">
        <f t="shared" si="1186"/>
        <v>119.40000000000001</v>
      </c>
      <c r="I578" s="1058">
        <f t="shared" si="1186"/>
        <v>40.40</v>
      </c>
      <c r="J578" s="1058">
        <f t="shared" si="1186"/>
        <v>38.199999999999996</v>
      </c>
      <c r="K578" s="1057">
        <f t="shared" si="1186"/>
        <v>26.20</v>
      </c>
      <c r="L578" s="1360">
        <f t="shared" si="1186"/>
        <v>224.20</v>
      </c>
      <c r="M578" s="1058">
        <f t="shared" si="1186"/>
        <v>33</v>
      </c>
      <c r="N578" s="1058">
        <f t="shared" si="1186"/>
        <v>76</v>
      </c>
      <c r="O578" s="1058">
        <f t="shared" si="1186"/>
        <v>-15.80</v>
      </c>
      <c r="P578" s="1057">
        <f t="shared" si="1186"/>
        <v>19.499999999999986</v>
      </c>
      <c r="Q578" s="1360">
        <f t="shared" si="1186"/>
        <v>112.70</v>
      </c>
      <c r="R578" s="1058">
        <f t="shared" si="1186"/>
        <v>17.40</v>
      </c>
      <c r="S578" s="1058">
        <f t="shared" si="1186"/>
        <v>32.299999999999997</v>
      </c>
      <c r="T578" s="1058">
        <f t="shared" si="1186"/>
        <v>-20.700000000000003</v>
      </c>
      <c r="U578" s="1057">
        <f t="shared" si="1186"/>
        <v>22.100000000000005</v>
      </c>
      <c r="V578" s="1360">
        <f t="shared" si="1186"/>
        <v>51.100000000000009</v>
      </c>
      <c r="W578" s="1058">
        <f t="shared" si="1186"/>
        <v>51.90</v>
      </c>
      <c r="X578" s="1058">
        <f t="shared" si="1186"/>
        <v>32.099999999999994</v>
      </c>
      <c r="Y578" s="1058">
        <f t="shared" si="1186"/>
        <v>-24.70</v>
      </c>
      <c r="Z578" s="1057">
        <f t="shared" si="1186"/>
        <v>-9.6999999999999993</v>
      </c>
      <c r="AA578" s="1360">
        <f t="shared" si="1187" ref="AA578:AM578">SUM(AA575:AA577)</f>
        <v>49.599999999999994</v>
      </c>
      <c r="AB578" s="1058">
        <f t="shared" si="1187"/>
        <v>-48.199999999999989</v>
      </c>
      <c r="AC578" s="1058">
        <f t="shared" si="1187"/>
        <v>32.799999999999997</v>
      </c>
      <c r="AD578" s="1058">
        <f t="shared" si="1187"/>
        <v>182.10</v>
      </c>
      <c r="AE578" s="1058">
        <f t="shared" si="1187"/>
        <v>-572.20000000000005</v>
      </c>
      <c r="AF578" s="1360">
        <f t="shared" si="1187"/>
        <v>-405.50</v>
      </c>
      <c r="AG578" s="1058">
        <f t="shared" si="1187"/>
        <v>414.50</v>
      </c>
      <c r="AH578" s="1058">
        <f t="shared" si="1187"/>
        <v>179.90</v>
      </c>
      <c r="AI578" s="1058">
        <f t="shared" si="1187"/>
        <v>65.400000000000006</v>
      </c>
      <c r="AJ578" s="1058">
        <f t="shared" si="1187"/>
        <v>369.40</v>
      </c>
      <c r="AK578" s="1360">
        <f t="shared" si="1187"/>
        <v>1029.20</v>
      </c>
      <c r="AL578" s="1058">
        <f t="shared" si="1187"/>
        <v>-553.59999999999991</v>
      </c>
      <c r="AM578" s="1058">
        <f t="shared" si="1187"/>
        <v>890.80</v>
      </c>
      <c r="AN578" s="1058">
        <f t="shared" si="1188" ref="AN578:AU578">SUM(AN575:AN577)</f>
        <v>532.60</v>
      </c>
      <c r="AO578" s="1058">
        <f t="shared" si="1188"/>
        <v>760.20</v>
      </c>
      <c r="AP578" s="1360">
        <f t="shared" si="1188"/>
        <v>1630</v>
      </c>
      <c r="AQ578" s="1058">
        <f t="shared" si="1188"/>
        <v>585.29999999999995</v>
      </c>
      <c r="AR578" s="1058">
        <f t="shared" si="1188"/>
        <v>461.79999999999995</v>
      </c>
      <c r="AS578" s="1058">
        <f t="shared" si="1188"/>
        <v>36.799999999999997</v>
      </c>
      <c r="AT578" s="1058">
        <f t="shared" si="1188"/>
        <v>425.29999999999995</v>
      </c>
      <c r="AU578" s="1360">
        <f t="shared" si="1188"/>
        <v>1509.1999999999998</v>
      </c>
      <c r="AV578" s="1058">
        <f t="shared" si="1189" ref="AV578:BA578">SUM(AV575:AV577)</f>
        <v>-445.30</v>
      </c>
      <c r="AW578" s="1058">
        <f t="shared" si="1189"/>
        <v>-1177.7000000000003</v>
      </c>
      <c r="AX578" s="1058">
        <f t="shared" si="1189"/>
        <v>-216.39999999999998</v>
      </c>
      <c r="AY578" s="1058">
        <f t="shared" si="1189"/>
        <v>-72.799999999999727</v>
      </c>
      <c r="AZ578" s="1360">
        <f t="shared" si="1189"/>
        <v>-1912.1999999999998</v>
      </c>
      <c r="BA578" s="1058">
        <f t="shared" si="1189"/>
        <v>71.800000000000011</v>
      </c>
      <c r="BB578" s="1058">
        <f t="shared" si="1190" ref="BB578:BG578">SUM(BB575:BB577)</f>
        <v>126.90000000000001</v>
      </c>
      <c r="BC578" s="1058">
        <f t="shared" si="1190"/>
        <v>-149</v>
      </c>
      <c r="BD578" s="1058">
        <f t="shared" si="1190"/>
        <v>303.40000000000003</v>
      </c>
      <c r="BE578" s="1360">
        <f t="shared" si="1190"/>
        <v>353.10</v>
      </c>
      <c r="BF578" s="1058">
        <f t="shared" si="1190"/>
        <v>155.60000000000002</v>
      </c>
      <c r="BG578" s="1058">
        <f t="shared" si="1190"/>
        <v>-126.30000000000001</v>
      </c>
      <c r="BH578" s="1060">
        <f>SUM(BH575:BH577)</f>
        <v>287.39999999999998</v>
      </c>
      <c r="BI578" s="1057"/>
      <c r="BJ578" s="1359"/>
      <c r="BK578" s="1057"/>
      <c r="BL578" s="1057"/>
      <c r="BM578" s="1057"/>
      <c r="BN578" s="1057"/>
      <c r="BO578" s="1359"/>
      <c r="BP578" s="1359"/>
      <c r="BQ578" s="1359"/>
      <c r="BR578" s="1359"/>
      <c r="BS578" s="648"/>
    </row>
    <row r="579" spans="1:71" s="665" customFormat="1" ht="15" hidden="1" outlineLevel="1">
      <c r="A579" s="371" t="s">
        <v>59</v>
      </c>
      <c r="B579" s="321"/>
      <c r="C579" s="1351"/>
      <c r="D579" s="1364">
        <v>252.20</v>
      </c>
      <c r="E579" s="1364">
        <v>266.50</v>
      </c>
      <c r="F579" s="1364">
        <v>281.80</v>
      </c>
      <c r="G579" s="1364">
        <v>291.80</v>
      </c>
      <c r="H579" s="1225">
        <v>72.80</v>
      </c>
      <c r="I579" s="1225">
        <v>74.400000000000006</v>
      </c>
      <c r="J579" s="1225">
        <v>75.900000000000006</v>
      </c>
      <c r="K579" s="1047">
        <f>L579-SUM(H579,I579,J579)</f>
        <v>86.000000000000028</v>
      </c>
      <c r="L579" s="1364">
        <v>309.10000000000002</v>
      </c>
      <c r="M579" s="1225">
        <v>73.70</v>
      </c>
      <c r="N579" s="1225">
        <v>74.900000000000006</v>
      </c>
      <c r="O579" s="1225">
        <v>79.30</v>
      </c>
      <c r="P579" s="1047">
        <f>Q579-SUM(M579,N579,O579)</f>
        <v>74.099999999999966</v>
      </c>
      <c r="Q579" s="1364">
        <v>302</v>
      </c>
      <c r="R579" s="1225">
        <v>78.900000000000006</v>
      </c>
      <c r="S579" s="1225">
        <v>82.50</v>
      </c>
      <c r="T579" s="1225">
        <v>86.80</v>
      </c>
      <c r="U579" s="1047">
        <f>V579-SUM(R579,S579,T579)</f>
        <v>84.300000000000011</v>
      </c>
      <c r="V579" s="1364">
        <v>332.50</v>
      </c>
      <c r="W579" s="1225">
        <v>85.20</v>
      </c>
      <c r="X579" s="1225">
        <v>88.80</v>
      </c>
      <c r="Y579" s="1225">
        <v>96.30</v>
      </c>
      <c r="Z579" s="1047">
        <f>AA579-SUM(W579,X579,Y579)</f>
        <v>100.30000000000001</v>
      </c>
      <c r="AA579" s="1364">
        <v>370.60</v>
      </c>
      <c r="AB579" s="1225">
        <v>103.80</v>
      </c>
      <c r="AC579" s="1225">
        <v>116</v>
      </c>
      <c r="AD579" s="1225">
        <v>122.59999999999999</v>
      </c>
      <c r="AE579" s="1047">
        <f>AF579-SUM(AB579,AC579,AD579)</f>
        <v>129.80000000000001</v>
      </c>
      <c r="AF579" s="1364">
        <v>472.20</v>
      </c>
      <c r="AG579" s="1225">
        <v>130.19999999999999</v>
      </c>
      <c r="AH579" s="1225">
        <v>134.80000000000001</v>
      </c>
      <c r="AI579" s="1225">
        <v>138.40000000000001</v>
      </c>
      <c r="AJ579" s="1047">
        <f>AK579-SUM(AG579,AH579,AI579)</f>
        <v>160.30000000000007</v>
      </c>
      <c r="AK579" s="1364">
        <v>563.70000000000005</v>
      </c>
      <c r="AL579" s="1225">
        <v>153.50</v>
      </c>
      <c r="AM579" s="1225">
        <v>129.50</v>
      </c>
      <c r="AN579" s="1225">
        <v>151.80000000000001</v>
      </c>
      <c r="AO579" s="1047">
        <f>AP579-SUM(AL579,AM579,AN579)</f>
        <v>168.70</v>
      </c>
      <c r="AP579" s="1364">
        <v>603.50</v>
      </c>
      <c r="AQ579" s="1225">
        <v>165.70</v>
      </c>
      <c r="AR579" s="1042">
        <f>341.9-AQ579</f>
        <v>176.20</v>
      </c>
      <c r="AS579" s="1225">
        <v>174.90</v>
      </c>
      <c r="AT579" s="1047">
        <f>AU579-SUM(AQ579,AR579,AS579)</f>
        <v>175</v>
      </c>
      <c r="AU579" s="1364">
        <v>691.80</v>
      </c>
      <c r="AV579" s="1225">
        <v>174</v>
      </c>
      <c r="AW579" s="1042">
        <f>350.5-AV579</f>
        <v>176.50</v>
      </c>
      <c r="AX579" s="1225">
        <v>181.40</v>
      </c>
      <c r="AY579" s="1047">
        <f>AZ579-SUM(AV579,AW579,AX579)</f>
        <v>190.20000000000005</v>
      </c>
      <c r="AZ579" s="1364">
        <v>722.10</v>
      </c>
      <c r="BA579" s="1225">
        <v>206.20</v>
      </c>
      <c r="BB579" s="1042">
        <f>432.9-BA579</f>
        <v>226.70</v>
      </c>
      <c r="BC579" s="1225">
        <v>223.70</v>
      </c>
      <c r="BD579" s="1047">
        <f>BE579-SUM(BA579,BB579,BC579)</f>
        <v>232.50000000000011</v>
      </c>
      <c r="BE579" s="1364">
        <v>889.10</v>
      </c>
      <c r="BF579" s="1225">
        <v>236.50</v>
      </c>
      <c r="BG579" s="1042">
        <f>496.3-BF579</f>
        <v>259.80</v>
      </c>
      <c r="BH579" s="1043">
        <f>774.4-BG579-BF579</f>
        <v>278.09999999999991</v>
      </c>
      <c r="BI579" s="1044"/>
      <c r="BJ579" s="1350"/>
      <c r="BK579" s="1044"/>
      <c r="BL579" s="1044"/>
      <c r="BM579" s="1044"/>
      <c r="BN579" s="1044"/>
      <c r="BO579" s="1350"/>
      <c r="BP579" s="1351"/>
      <c r="BQ579" s="1351"/>
      <c r="BR579" s="1350"/>
      <c r="BS579" s="648"/>
    </row>
    <row r="580" spans="1:71" s="665" customFormat="1" ht="15" hidden="1" outlineLevel="1">
      <c r="A580" s="371" t="s">
        <v>60</v>
      </c>
      <c r="B580" s="321"/>
      <c r="C580" s="1364">
        <v>16.70</v>
      </c>
      <c r="D580" s="1364">
        <v>25.90</v>
      </c>
      <c r="E580" s="1364">
        <v>22.80</v>
      </c>
      <c r="F580" s="1364">
        <v>36.10</v>
      </c>
      <c r="G580" s="1364">
        <v>39.60</v>
      </c>
      <c r="H580" s="1225">
        <v>9.8000000000000007</v>
      </c>
      <c r="I580" s="1225">
        <v>14</v>
      </c>
      <c r="J580" s="1225">
        <v>15</v>
      </c>
      <c r="K580" s="1047">
        <f>L580-SUM(H580,I580,J580)</f>
        <v>17.200000000000003</v>
      </c>
      <c r="L580" s="1364">
        <v>56</v>
      </c>
      <c r="M580" s="1225">
        <v>17.20</v>
      </c>
      <c r="N580" s="1225">
        <v>23.30</v>
      </c>
      <c r="O580" s="1225">
        <v>23.10</v>
      </c>
      <c r="P580" s="1047">
        <f>Q580-SUM(M580,N580,O580)</f>
        <v>22.699999999999996</v>
      </c>
      <c r="Q580" s="1364">
        <v>86.30</v>
      </c>
      <c r="R580" s="1225">
        <v>25</v>
      </c>
      <c r="S580" s="1225">
        <v>26.50</v>
      </c>
      <c r="T580" s="1225">
        <v>26.20</v>
      </c>
      <c r="U580" s="1047">
        <f>V580-SUM(R580,S580,T580)</f>
        <v>25.599999999999994</v>
      </c>
      <c r="V580" s="1364">
        <v>103.30</v>
      </c>
      <c r="W580" s="1225">
        <v>28.50</v>
      </c>
      <c r="X580" s="1225">
        <v>32.700000000000003</v>
      </c>
      <c r="Y580" s="1225">
        <v>33.299999999999997</v>
      </c>
      <c r="Z580" s="1047">
        <f>AA580-SUM(W580,X580,Y580)</f>
        <v>32.299999999999997</v>
      </c>
      <c r="AA580" s="1364">
        <v>126.80</v>
      </c>
      <c r="AB580" s="1225">
        <v>34.200000000000003</v>
      </c>
      <c r="AC580" s="1225">
        <v>42.90</v>
      </c>
      <c r="AD580" s="1225">
        <v>42.50</v>
      </c>
      <c r="AE580" s="1047">
        <f>AF580-SUM(AB580,AC580,AD580)</f>
        <v>38.900000000000006</v>
      </c>
      <c r="AF580" s="1364">
        <v>158.50</v>
      </c>
      <c r="AG580" s="1225">
        <v>42.60</v>
      </c>
      <c r="AH580" s="1225">
        <v>50</v>
      </c>
      <c r="AI580" s="1225">
        <v>51.50</v>
      </c>
      <c r="AJ580" s="1047">
        <f>AK580-SUM(AG580,AH580,AI580)</f>
        <v>50.900000000000006</v>
      </c>
      <c r="AK580" s="1364">
        <v>195</v>
      </c>
      <c r="AL580" s="1225">
        <v>51.60</v>
      </c>
      <c r="AM580" s="1225">
        <v>59</v>
      </c>
      <c r="AN580" s="1225">
        <v>58.80</v>
      </c>
      <c r="AO580" s="1047">
        <f>AP580-SUM(AL580,AM580,AN580)</f>
        <v>57.000000000000028</v>
      </c>
      <c r="AP580" s="1364">
        <v>226.40</v>
      </c>
      <c r="AQ580" s="1225">
        <v>53.80</v>
      </c>
      <c r="AR580" s="1042">
        <f>128.3-AQ580</f>
        <v>74.500000000000014</v>
      </c>
      <c r="AS580" s="1225">
        <v>73.80</v>
      </c>
      <c r="AT580" s="1047">
        <f>AU580-SUM(AQ580,AR580,AS580)</f>
        <v>69.299999999999955</v>
      </c>
      <c r="AU580" s="1364">
        <v>271.39999999999998</v>
      </c>
      <c r="AV580" s="1225">
        <v>67.70</v>
      </c>
      <c r="AW580" s="1042">
        <f>147.8-AV580</f>
        <v>80.100000000000009</v>
      </c>
      <c r="AX580" s="1225">
        <v>82.70</v>
      </c>
      <c r="AY580" s="1047">
        <f>AZ580-SUM(AV580,AW580,AX580)</f>
        <v>68.800000000000011</v>
      </c>
      <c r="AZ580" s="1364">
        <v>299.30</v>
      </c>
      <c r="BA580" s="1225">
        <v>72.50</v>
      </c>
      <c r="BB580" s="1042">
        <f>153.5-BA580</f>
        <v>81</v>
      </c>
      <c r="BC580" s="1225">
        <v>81.400000000000006</v>
      </c>
      <c r="BD580" s="1047">
        <f>BE580-SUM(BA580,BB580,BC580)</f>
        <v>75.200000000000017</v>
      </c>
      <c r="BE580" s="1364">
        <v>310.10000000000002</v>
      </c>
      <c r="BF580" s="1225">
        <v>84.20</v>
      </c>
      <c r="BG580" s="1042">
        <f>190.5-BF580</f>
        <v>106.30</v>
      </c>
      <c r="BH580" s="1043">
        <f>307.8-BG580-BF580</f>
        <v>117.30</v>
      </c>
      <c r="BI580" s="1044"/>
      <c r="BJ580" s="1350"/>
      <c r="BK580" s="1044"/>
      <c r="BL580" s="1044"/>
      <c r="BM580" s="1044"/>
      <c r="BN580" s="1044"/>
      <c r="BO580" s="1350"/>
      <c r="BP580" s="1351"/>
      <c r="BQ580" s="1351"/>
      <c r="BR580" s="1350"/>
      <c r="BS580" s="648"/>
    </row>
    <row r="581" spans="1:71" s="665" customFormat="1" ht="15" hidden="1" outlineLevel="1">
      <c r="A581" s="371" t="s">
        <v>61</v>
      </c>
      <c r="B581" s="321"/>
      <c r="C581" s="1364">
        <v>0</v>
      </c>
      <c r="D581" s="1364">
        <v>6.40</v>
      </c>
      <c r="E581" s="1364">
        <v>-0.10000000000000001</v>
      </c>
      <c r="F581" s="1364">
        <v>-1.80</v>
      </c>
      <c r="G581" s="1364">
        <v>-4.30</v>
      </c>
      <c r="H581" s="1047"/>
      <c r="I581" s="1047"/>
      <c r="J581" s="1225">
        <v>-4.80</v>
      </c>
      <c r="K581" s="1047">
        <f>L581-SUM(H581,I581,J581)</f>
        <v>0</v>
      </c>
      <c r="L581" s="1364">
        <v>-4.80</v>
      </c>
      <c r="M581" s="1047"/>
      <c r="N581" s="1225">
        <v>0</v>
      </c>
      <c r="O581" s="1225">
        <v>-0.90</v>
      </c>
      <c r="P581" s="1047">
        <f>Q581-SUM(M581,N581,O581)</f>
        <v>0</v>
      </c>
      <c r="Q581" s="1364">
        <v>-0.90</v>
      </c>
      <c r="R581" s="1225">
        <v>0</v>
      </c>
      <c r="S581" s="1225">
        <v>1.60</v>
      </c>
      <c r="T581" s="1225">
        <v>0</v>
      </c>
      <c r="U581" s="1047">
        <f>V581-SUM(R581,S581,T581)</f>
        <v>0</v>
      </c>
      <c r="V581" s="1364">
        <v>1.60</v>
      </c>
      <c r="W581" s="1225">
        <v>0.20</v>
      </c>
      <c r="X581" s="1225">
        <v>0</v>
      </c>
      <c r="Y581" s="1225">
        <v>0</v>
      </c>
      <c r="Z581" s="1047">
        <f>AA581-SUM(W581,X581,Y581)</f>
        <v>-1.20</v>
      </c>
      <c r="AA581" s="1364">
        <v>-1</v>
      </c>
      <c r="AB581" s="1225">
        <v>0</v>
      </c>
      <c r="AC581" s="1225">
        <v>0</v>
      </c>
      <c r="AD581" s="1225">
        <v>0</v>
      </c>
      <c r="AE581" s="1047">
        <f>AF581-SUM(AB581,AC581,AD581)</f>
        <v>0</v>
      </c>
      <c r="AF581" s="1351"/>
      <c r="AG581" s="1047"/>
      <c r="AH581" s="1047"/>
      <c r="AI581" s="1047"/>
      <c r="AJ581" s="1047">
        <f>AK581-SUM(AG581,AH581,AI581)</f>
        <v>0</v>
      </c>
      <c r="AK581" s="1351"/>
      <c r="AL581" s="1047"/>
      <c r="AM581" s="1047"/>
      <c r="AN581" s="1047"/>
      <c r="AO581" s="1047">
        <f>AP581-SUM(AL581,AM581,AN581)</f>
        <v>0</v>
      </c>
      <c r="AP581" s="1351"/>
      <c r="AQ581" s="1047"/>
      <c r="AR581" s="1047"/>
      <c r="AS581" s="1047"/>
      <c r="AT581" s="1047">
        <f>AU581-SUM(AQ581,AR581,AS581)</f>
        <v>0</v>
      </c>
      <c r="AU581" s="1351"/>
      <c r="AV581" s="1047"/>
      <c r="AW581" s="1047"/>
      <c r="AX581" s="1047"/>
      <c r="AY581" s="1047">
        <f>AZ581-SUM(AV581,AW581,AX581)</f>
        <v>0</v>
      </c>
      <c r="AZ581" s="1351"/>
      <c r="BA581" s="1047"/>
      <c r="BB581" s="1047"/>
      <c r="BC581" s="1047"/>
      <c r="BD581" s="1047">
        <f>BE581-SUM(BA581,BB581,BC581)</f>
        <v>0</v>
      </c>
      <c r="BE581" s="1351"/>
      <c r="BF581" s="1047"/>
      <c r="BG581" s="1047"/>
      <c r="BH581" s="1048"/>
      <c r="BI581" s="1044"/>
      <c r="BJ581" s="1350"/>
      <c r="BK581" s="1044"/>
      <c r="BL581" s="1044"/>
      <c r="BM581" s="1044"/>
      <c r="BN581" s="1044"/>
      <c r="BO581" s="1350"/>
      <c r="BP581" s="1351"/>
      <c r="BQ581" s="1351"/>
      <c r="BR581" s="1350"/>
      <c r="BS581" s="648"/>
    </row>
    <row r="582" spans="1:71" s="668" customFormat="1" ht="15" hidden="1" outlineLevel="1">
      <c r="A582" s="42" t="s">
        <v>62</v>
      </c>
      <c r="B582" s="410"/>
      <c r="C582" s="1355">
        <f t="shared" si="1191" ref="C582:AM582">C571+C572+C578+C579+C580+C581</f>
        <v>14563.60</v>
      </c>
      <c r="D582" s="1355">
        <f t="shared" si="1191"/>
        <v>15215.50</v>
      </c>
      <c r="E582" s="1355">
        <f t="shared" si="1191"/>
        <v>15774.60</v>
      </c>
      <c r="F582" s="1355">
        <f t="shared" si="1191"/>
        <v>17083.899999999998</v>
      </c>
      <c r="G582" s="1355">
        <f t="shared" si="1191"/>
        <v>18170.900000000001</v>
      </c>
      <c r="H582" s="1052">
        <f t="shared" si="1191"/>
        <v>4707.6000000000004</v>
      </c>
      <c r="I582" s="1052">
        <f t="shared" si="1191"/>
        <v>4741.4999999999991</v>
      </c>
      <c r="J582" s="1052">
        <f t="shared" si="1191"/>
        <v>4766.0999999999995</v>
      </c>
      <c r="K582" s="1052">
        <f t="shared" si="1191"/>
        <v>5176.1999999999989</v>
      </c>
      <c r="L582" s="1355">
        <f t="shared" si="1191"/>
        <v>19391.40</v>
      </c>
      <c r="M582" s="1052">
        <f t="shared" si="1191"/>
        <v>4895.30</v>
      </c>
      <c r="N582" s="1052">
        <f t="shared" si="1191"/>
        <v>5283.30</v>
      </c>
      <c r="O582" s="1052">
        <f t="shared" si="1191"/>
        <v>5273.8000000000011</v>
      </c>
      <c r="P582" s="1052">
        <f t="shared" si="1191"/>
        <v>5401.3999999999969</v>
      </c>
      <c r="Q582" s="1355">
        <f t="shared" si="1191"/>
        <v>20853.799999999996</v>
      </c>
      <c r="R582" s="1052">
        <f t="shared" si="1191"/>
        <v>5557.4999999999991</v>
      </c>
      <c r="S582" s="1052">
        <f t="shared" si="1191"/>
        <v>5819.3000000000011</v>
      </c>
      <c r="T582" s="1052">
        <f t="shared" si="1191"/>
        <v>5935</v>
      </c>
      <c r="U582" s="1052">
        <f t="shared" si="1191"/>
        <v>6129.60</v>
      </c>
      <c r="V582" s="1355">
        <f t="shared" si="1191"/>
        <v>23441.399999999998</v>
      </c>
      <c r="W582" s="1052">
        <f t="shared" si="1191"/>
        <v>6321.6999999999989</v>
      </c>
      <c r="X582" s="1052">
        <f t="shared" si="1191"/>
        <v>6605.7000000000007</v>
      </c>
      <c r="Y582" s="1052">
        <f t="shared" si="1191"/>
        <v>6791.80</v>
      </c>
      <c r="Z582" s="1052">
        <f t="shared" si="1191"/>
        <v>7119.8000000000029</v>
      </c>
      <c r="AA582" s="1355">
        <f t="shared" si="1191"/>
        <v>26838.999999999996</v>
      </c>
      <c r="AB582" s="1052">
        <f t="shared" si="1191"/>
        <v>7430.10</v>
      </c>
      <c r="AC582" s="1052">
        <f t="shared" si="1191"/>
        <v>8018</v>
      </c>
      <c r="AD582" s="1052">
        <f t="shared" si="1191"/>
        <v>8495.8000000000011</v>
      </c>
      <c r="AE582" s="1052">
        <f t="shared" si="1191"/>
        <v>8035.0999999999985</v>
      </c>
      <c r="AF582" s="1355">
        <f t="shared" si="1191"/>
        <v>31979</v>
      </c>
      <c r="AG582" s="1052">
        <f t="shared" si="1191"/>
        <v>9300</v>
      </c>
      <c r="AH582" s="1052">
        <f t="shared" si="1191"/>
        <v>9450.6999999999989</v>
      </c>
      <c r="AI582" s="1052">
        <f t="shared" si="1191"/>
        <v>9530.50</v>
      </c>
      <c r="AJ582" s="1052">
        <f t="shared" si="1191"/>
        <v>10741.099999999999</v>
      </c>
      <c r="AK582" s="1355">
        <f t="shared" si="1191"/>
        <v>39022.299999999996</v>
      </c>
      <c r="AL582" s="1052">
        <f t="shared" si="1191"/>
        <v>9323.4000000000015</v>
      </c>
      <c r="AM582" s="1052">
        <f t="shared" si="1191"/>
        <v>10971.699999999999</v>
      </c>
      <c r="AN582" s="1052">
        <f t="shared" si="1192" ref="AN582:AU582">AN571+AN572+AN578+AN579+AN580+AN581</f>
        <v>10947.20</v>
      </c>
      <c r="AO582" s="1052">
        <f t="shared" si="1192"/>
        <v>11415.80</v>
      </c>
      <c r="AP582" s="1355">
        <f t="shared" si="1192"/>
        <v>42658.099999999999</v>
      </c>
      <c r="AQ582" s="1052">
        <f t="shared" si="1192"/>
        <v>11445.20</v>
      </c>
      <c r="AR582" s="1052">
        <f t="shared" si="1192"/>
        <v>11905.50</v>
      </c>
      <c r="AS582" s="1052">
        <f t="shared" si="1192"/>
        <v>11859.199999999997</v>
      </c>
      <c r="AT582" s="1052">
        <f t="shared" si="1192"/>
        <v>12492.099999999993</v>
      </c>
      <c r="AU582" s="1355">
        <f t="shared" si="1192"/>
        <v>47702</v>
      </c>
      <c r="AV582" s="1052">
        <f t="shared" si="1193" ref="AV582:BJ582">AV571+AV572+AV578+AV579+AV580+AV581</f>
        <v>11841.500000000002</v>
      </c>
      <c r="AW582" s="1052">
        <f t="shared" si="1193"/>
        <v>11519.20</v>
      </c>
      <c r="AX582" s="1052">
        <f t="shared" si="1193"/>
        <v>12780.20</v>
      </c>
      <c r="AY582" s="1052">
        <f t="shared" si="1193"/>
        <v>13469.799999999996</v>
      </c>
      <c r="AZ582" s="1355">
        <f t="shared" si="1193"/>
        <v>49610.700000000004</v>
      </c>
      <c r="BA582" s="1052">
        <f t="shared" si="1194" ref="BA582:BI582">BA571+BA572+BA578+BA579+BA580+BA581</f>
        <v>14303.20</v>
      </c>
      <c r="BB582" s="1052">
        <f t="shared" si="1194"/>
        <v>15353.50</v>
      </c>
      <c r="BC582" s="1052">
        <f t="shared" si="1194"/>
        <v>15560.60</v>
      </c>
      <c r="BD582" s="1052">
        <f t="shared" si="1194"/>
        <v>16891.200000000004</v>
      </c>
      <c r="BE582" s="1355">
        <f t="shared" si="1194"/>
        <v>62108.50</v>
      </c>
      <c r="BF582" s="1052">
        <f>BF571+BF572+BF578+BF579+BF580+BF581</f>
        <v>17242.50</v>
      </c>
      <c r="BG582" s="1052">
        <f>BG571+BG572+BG578+BG579+BG580+BG581</f>
        <v>18134.299999999999</v>
      </c>
      <c r="BH582" s="1053">
        <f>BH571+BH572+BH578+BH579+BH580+BH581</f>
        <v>19719.000000000004</v>
      </c>
      <c r="BI582" s="1054">
        <f t="shared" si="1194"/>
        <v>0</v>
      </c>
      <c r="BJ582" s="1356">
        <f t="shared" si="1193"/>
        <v>0</v>
      </c>
      <c r="BK582" s="1054">
        <f t="shared" si="1195" ref="BK582:BR582">BK571+BK572+BK578+BK579+BK580+BK581</f>
        <v>0</v>
      </c>
      <c r="BL582" s="1054">
        <f t="shared" si="1195"/>
        <v>0</v>
      </c>
      <c r="BM582" s="1054">
        <f t="shared" si="1195"/>
        <v>0</v>
      </c>
      <c r="BN582" s="1054">
        <f t="shared" si="1195"/>
        <v>0</v>
      </c>
      <c r="BO582" s="1356">
        <f t="shared" si="1195"/>
        <v>0</v>
      </c>
      <c r="BP582" s="1356">
        <f t="shared" si="1195"/>
        <v>0</v>
      </c>
      <c r="BQ582" s="1356">
        <f t="shared" si="1195"/>
        <v>0</v>
      </c>
      <c r="BR582" s="1356">
        <f t="shared" si="1195"/>
        <v>0</v>
      </c>
      <c r="BS582" s="648"/>
    </row>
    <row r="583" spans="1:71" s="665" customFormat="1" ht="15" hidden="1" outlineLevel="1">
      <c r="A583" s="371" t="s">
        <v>63</v>
      </c>
      <c r="B583" s="321"/>
      <c r="C583" s="1364">
        <v>9904.90</v>
      </c>
      <c r="D583" s="1364">
        <v>10131.299999999999</v>
      </c>
      <c r="E583" s="1364">
        <v>10634.80</v>
      </c>
      <c r="F583" s="1364">
        <v>11948</v>
      </c>
      <c r="G583" s="1364">
        <v>12472.40</v>
      </c>
      <c r="H583" s="1225">
        <v>3205.90</v>
      </c>
      <c r="I583" s="1225">
        <v>3269.10</v>
      </c>
      <c r="J583" s="1225">
        <v>3291.80</v>
      </c>
      <c r="K583" s="1047">
        <f>L583-SUM(H583,I583,J583)</f>
        <v>3539.4000000000015</v>
      </c>
      <c r="L583" s="1364">
        <v>13306.20</v>
      </c>
      <c r="M583" s="1225">
        <v>3368.60</v>
      </c>
      <c r="N583" s="1225">
        <v>3617.20</v>
      </c>
      <c r="O583" s="1225">
        <v>3654.30</v>
      </c>
      <c r="P583" s="1047">
        <f>Q583-SUM(M583,N583,O583)</f>
        <v>3701.9000000000015</v>
      </c>
      <c r="Q583" s="1364">
        <v>14342</v>
      </c>
      <c r="R583" s="1225">
        <v>3913.40</v>
      </c>
      <c r="S583" s="1225">
        <v>4243</v>
      </c>
      <c r="T583" s="1225">
        <v>4398.20</v>
      </c>
      <c r="U583" s="1047">
        <f>V583-SUM(R583,S583,T583)</f>
        <v>4325</v>
      </c>
      <c r="V583" s="1364">
        <v>16879.60</v>
      </c>
      <c r="W583" s="1225">
        <v>4263.3999999999996</v>
      </c>
      <c r="X583" s="1225">
        <v>4614.8999999999996</v>
      </c>
      <c r="Y583" s="1225">
        <v>5050.50</v>
      </c>
      <c r="Z583" s="1047">
        <f>AA583-SUM(W583,X583,Y583)</f>
        <v>4879.2000000000007</v>
      </c>
      <c r="AA583" s="1364">
        <v>18808</v>
      </c>
      <c r="AB583" s="1225">
        <v>4870.80</v>
      </c>
      <c r="AC583" s="1225">
        <v>5375.30</v>
      </c>
      <c r="AD583" s="1225">
        <v>5523.10</v>
      </c>
      <c r="AE583" s="1047">
        <f>AF583-SUM(AB583,AC583,AD583)</f>
        <v>5951.7999999999993</v>
      </c>
      <c r="AF583" s="1364">
        <v>21721</v>
      </c>
      <c r="AG583" s="1225">
        <v>5759</v>
      </c>
      <c r="AH583" s="1225">
        <v>6138.10</v>
      </c>
      <c r="AI583" s="1225">
        <v>6426.30</v>
      </c>
      <c r="AJ583" s="1047">
        <f>AK583-SUM(AG583,AH583,AI583)</f>
        <v>7147.0999999999985</v>
      </c>
      <c r="AK583" s="1364">
        <v>25470.50</v>
      </c>
      <c r="AL583" s="1225">
        <v>6155.20</v>
      </c>
      <c r="AM583" s="1225">
        <v>5321.40</v>
      </c>
      <c r="AN583" s="1225">
        <v>6713.10</v>
      </c>
      <c r="AO583" s="1047">
        <f t="shared" si="1196" ref="AO583:AO588">AP583-SUM(AL583,AM583,AN583)</f>
        <v>6932.1000000000022</v>
      </c>
      <c r="AP583" s="1364">
        <v>25121.799999999999</v>
      </c>
      <c r="AQ583" s="1225">
        <v>7110.50</v>
      </c>
      <c r="AR583" s="1042">
        <f>15516.9-AQ583</f>
        <v>8406.40</v>
      </c>
      <c r="AS583" s="1225">
        <v>9250.7000000000007</v>
      </c>
      <c r="AT583" s="1047">
        <f t="shared" si="1197" ref="AT583:AT588">AU583-SUM(AQ583,AR583,AS583)</f>
        <v>8860</v>
      </c>
      <c r="AU583" s="1364">
        <v>33627.60</v>
      </c>
      <c r="AV583" s="1225">
        <v>8858.40</v>
      </c>
      <c r="AW583" s="1042">
        <f>18279.5-AV583</f>
        <v>9421.10</v>
      </c>
      <c r="AX583" s="1225">
        <v>10018.700000000001</v>
      </c>
      <c r="AY583" s="1047">
        <f t="shared" si="1198" ref="AY583:AY589">AZ583-SUM(AV583,AW583,AX583)</f>
        <v>9824.4999999999964</v>
      </c>
      <c r="AZ583" s="1364">
        <v>38122.699999999997</v>
      </c>
      <c r="BA583" s="1225">
        <v>10624</v>
      </c>
      <c r="BB583" s="1042">
        <f>22794.1-BA583</f>
        <v>12170.099999999999</v>
      </c>
      <c r="BC583" s="1225">
        <v>11387.90</v>
      </c>
      <c r="BD583" s="1047">
        <f t="shared" si="1199" ref="BD583:BD589">BE583-SUM(BA583,BB583,BC583)</f>
        <v>11472.60</v>
      </c>
      <c r="BE583" s="1364">
        <v>45654.599999999999</v>
      </c>
      <c r="BF583" s="1225">
        <v>10971.60</v>
      </c>
      <c r="BG583" s="1042">
        <f>23566.9-BF583</f>
        <v>12595.300000000001</v>
      </c>
      <c r="BH583" s="1043">
        <f>36077.2-BG583-BF583</f>
        <v>12510.299999999994</v>
      </c>
      <c r="BI583" s="1044"/>
      <c r="BJ583" s="1350"/>
      <c r="BK583" s="1044"/>
      <c r="BL583" s="1044"/>
      <c r="BM583" s="1044"/>
      <c r="BN583" s="1044"/>
      <c r="BO583" s="1350"/>
      <c r="BP583" s="1351"/>
      <c r="BQ583" s="1351"/>
      <c r="BR583" s="1350"/>
      <c r="BS583" s="648"/>
    </row>
    <row r="584" spans="1:71" s="665" customFormat="1" ht="15" hidden="1" outlineLevel="1">
      <c r="A584" s="371" t="s">
        <v>64</v>
      </c>
      <c r="B584" s="321"/>
      <c r="C584" s="1364">
        <v>1364.60</v>
      </c>
      <c r="D584" s="1364">
        <v>1359.90</v>
      </c>
      <c r="E584" s="1364">
        <v>1399.20</v>
      </c>
      <c r="F584" s="1364">
        <v>1436.60</v>
      </c>
      <c r="G584" s="1364">
        <v>1451.80</v>
      </c>
      <c r="H584" s="1225">
        <v>369</v>
      </c>
      <c r="I584" s="1225">
        <v>374.80</v>
      </c>
      <c r="J584" s="1225">
        <v>375.20</v>
      </c>
      <c r="K584" s="1047">
        <f>L584-SUM(H584,I584,J584)</f>
        <v>405</v>
      </c>
      <c r="L584" s="1364">
        <v>1524</v>
      </c>
      <c r="M584" s="1225">
        <v>379.40</v>
      </c>
      <c r="N584" s="1225">
        <v>417.30</v>
      </c>
      <c r="O584" s="1225">
        <v>423.20</v>
      </c>
      <c r="P584" s="1047">
        <f>Q584-SUM(M584,N584,O584)</f>
        <v>431.89999999999986</v>
      </c>
      <c r="Q584" s="1364">
        <v>1651.80</v>
      </c>
      <c r="R584" s="1225">
        <v>440.30</v>
      </c>
      <c r="S584" s="1225">
        <v>458.90</v>
      </c>
      <c r="T584" s="1225">
        <v>475.40</v>
      </c>
      <c r="U584" s="1047">
        <f>V584-SUM(R584,S584,T584)</f>
        <v>489.20000000000005</v>
      </c>
      <c r="V584" s="1364">
        <v>1863.80</v>
      </c>
      <c r="W584" s="1225">
        <v>502.90</v>
      </c>
      <c r="X584" s="1225">
        <v>514.20000000000005</v>
      </c>
      <c r="Y584" s="1225">
        <v>540.10</v>
      </c>
      <c r="Z584" s="1047">
        <f>AA584-SUM(W584,X584,Y584)</f>
        <v>567.70000000000005</v>
      </c>
      <c r="AA584" s="1364">
        <v>2124.90</v>
      </c>
      <c r="AB584" s="1225">
        <v>596.20000000000005</v>
      </c>
      <c r="AC584" s="1225">
        <v>630.79999999999995</v>
      </c>
      <c r="AD584" s="1225">
        <v>662.70</v>
      </c>
      <c r="AE584" s="1047">
        <f>AF584-SUM(AB584,AC584,AD584)</f>
        <v>683.99999999999977</v>
      </c>
      <c r="AF584" s="1364">
        <v>2573.6999999999998</v>
      </c>
      <c r="AG584" s="1225">
        <v>710.60</v>
      </c>
      <c r="AH584" s="1225">
        <v>738.60</v>
      </c>
      <c r="AI584" s="1225">
        <v>751.50</v>
      </c>
      <c r="AJ584" s="1047">
        <f>AK584-SUM(AG584,AH584,AI584)</f>
        <v>822.50</v>
      </c>
      <c r="AK584" s="1364">
        <v>3023.20</v>
      </c>
      <c r="AL584" s="1225">
        <v>782.80</v>
      </c>
      <c r="AM584" s="1225">
        <v>795.50</v>
      </c>
      <c r="AN584" s="1225">
        <v>835.20</v>
      </c>
      <c r="AO584" s="1047">
        <f t="shared" si="1196"/>
        <v>859.69999999999982</v>
      </c>
      <c r="AP584" s="1364">
        <v>3273.20</v>
      </c>
      <c r="AQ584" s="1225">
        <v>874.40</v>
      </c>
      <c r="AR584" s="1042">
        <f>1803.2-AQ584</f>
        <v>928.80</v>
      </c>
      <c r="AS584" s="1225">
        <v>951.50</v>
      </c>
      <c r="AT584" s="1047">
        <f t="shared" si="1197"/>
        <v>958.10000000000036</v>
      </c>
      <c r="AU584" s="1364">
        <v>3712.80</v>
      </c>
      <c r="AV584" s="1225">
        <v>963.40</v>
      </c>
      <c r="AW584" s="1042">
        <f>1897-AV584</f>
        <v>933.60</v>
      </c>
      <c r="AX584" s="1225">
        <v>970.90</v>
      </c>
      <c r="AY584" s="1047">
        <f t="shared" si="1198"/>
        <v>1049.0999999999999</v>
      </c>
      <c r="AZ584" s="1364">
        <v>3917</v>
      </c>
      <c r="BA584" s="1225">
        <v>1115.80</v>
      </c>
      <c r="BB584" s="1042">
        <f>2269.4-BA584</f>
        <v>1153.6000000000001</v>
      </c>
      <c r="BC584" s="1225">
        <v>1173.20</v>
      </c>
      <c r="BD584" s="1047">
        <f t="shared" si="1199"/>
        <v>1222.50</v>
      </c>
      <c r="BE584" s="1364">
        <v>4665.1000000000004</v>
      </c>
      <c r="BF584" s="1225">
        <v>1232.20</v>
      </c>
      <c r="BG584" s="1042">
        <f>2539.8-BF584</f>
        <v>1307.6000000000001</v>
      </c>
      <c r="BH584" s="1043">
        <f>3930-BG584-BF584</f>
        <v>1390.1999999999996</v>
      </c>
      <c r="BI584" s="1044"/>
      <c r="BJ584" s="1350"/>
      <c r="BK584" s="1044"/>
      <c r="BL584" s="1044"/>
      <c r="BM584" s="1044"/>
      <c r="BN584" s="1044"/>
      <c r="BO584" s="1350"/>
      <c r="BP584" s="1351"/>
      <c r="BQ584" s="1351"/>
      <c r="BR584" s="1350"/>
      <c r="BS584" s="648"/>
    </row>
    <row r="585" spans="1:71" s="665" customFormat="1" ht="15" hidden="1" outlineLevel="1">
      <c r="A585" s="371" t="s">
        <v>65</v>
      </c>
      <c r="B585" s="321"/>
      <c r="C585" s="1364">
        <v>1567.70</v>
      </c>
      <c r="D585" s="1364">
        <v>1992.30</v>
      </c>
      <c r="E585" s="1364">
        <v>2088</v>
      </c>
      <c r="F585" s="1364">
        <v>2206.3000000000002</v>
      </c>
      <c r="G585" s="1364">
        <v>2350.90</v>
      </c>
      <c r="H585" s="1225">
        <v>610.40</v>
      </c>
      <c r="I585" s="1225">
        <v>611.70000000000005</v>
      </c>
      <c r="J585" s="1225">
        <v>609.20000000000005</v>
      </c>
      <c r="K585" s="1047">
        <f>L585-SUM(H585,I585,J585)</f>
        <v>635.79999999999995</v>
      </c>
      <c r="L585" s="1364">
        <v>2467.10</v>
      </c>
      <c r="M585" s="1225">
        <v>650.40</v>
      </c>
      <c r="N585" s="1225">
        <v>662.40</v>
      </c>
      <c r="O585" s="1225">
        <v>707.50</v>
      </c>
      <c r="P585" s="1047">
        <f>Q585-SUM(M585,N585,O585)</f>
        <v>691.80</v>
      </c>
      <c r="Q585" s="1364">
        <v>2712.10</v>
      </c>
      <c r="R585" s="1225">
        <v>755.80</v>
      </c>
      <c r="S585" s="1225">
        <v>766.80</v>
      </c>
      <c r="T585" s="1225">
        <v>739.60</v>
      </c>
      <c r="U585" s="1047">
        <f>V585-SUM(R585,S585,T585)</f>
        <v>709.80000000000018</v>
      </c>
      <c r="V585" s="1364">
        <v>2972</v>
      </c>
      <c r="W585" s="1225">
        <v>845.60</v>
      </c>
      <c r="X585" s="1225">
        <v>845</v>
      </c>
      <c r="Y585" s="1225">
        <v>877.70</v>
      </c>
      <c r="Z585" s="1047">
        <f>AA585-SUM(W585,X585,Y585)</f>
        <v>912.39999999999964</v>
      </c>
      <c r="AA585" s="1364">
        <v>3480.70</v>
      </c>
      <c r="AB585" s="1225">
        <v>980.20</v>
      </c>
      <c r="AC585" s="1225">
        <v>1046.9000000000001</v>
      </c>
      <c r="AD585" s="1225">
        <v>1095.9000000000001</v>
      </c>
      <c r="AE585" s="1047">
        <f>AF585-SUM(AB585,AC585,AD585)</f>
        <v>1072.8000000000002</v>
      </c>
      <c r="AF585" s="1364">
        <v>4195.80</v>
      </c>
      <c r="AG585" s="1225">
        <v>1171.20</v>
      </c>
      <c r="AH585" s="1225">
        <v>1231.50</v>
      </c>
      <c r="AI585" s="1225">
        <v>1240.30</v>
      </c>
      <c r="AJ585" s="1047">
        <f>AK585-SUM(AG585,AH585,AI585)</f>
        <v>1332.1000000000004</v>
      </c>
      <c r="AK585" s="1364">
        <v>4975.1000000000004</v>
      </c>
      <c r="AL585" s="1225">
        <v>1409.90</v>
      </c>
      <c r="AM585" s="1225">
        <v>1438.90</v>
      </c>
      <c r="AN585" s="1225">
        <v>1330.90</v>
      </c>
      <c r="AO585" s="1047">
        <f t="shared" si="1196"/>
        <v>1390.2999999999993</v>
      </c>
      <c r="AP585" s="1364">
        <v>5570</v>
      </c>
      <c r="AQ585" s="1225">
        <v>1481.10</v>
      </c>
      <c r="AR585" s="1042">
        <f>2921.6-AQ585</f>
        <v>1440.50</v>
      </c>
      <c r="AS585" s="1225">
        <v>1384.40</v>
      </c>
      <c r="AT585" s="1047">
        <f t="shared" si="1197"/>
        <v>1348.6999999999998</v>
      </c>
      <c r="AU585" s="1364">
        <v>5654.70</v>
      </c>
      <c r="AV585" s="1225">
        <v>1506.30</v>
      </c>
      <c r="AW585" s="1042">
        <f>2937.5-AV585</f>
        <v>1431.20</v>
      </c>
      <c r="AX585" s="1225">
        <v>1496.40</v>
      </c>
      <c r="AY585" s="1047">
        <f t="shared" si="1198"/>
        <v>1425.7000000000007</v>
      </c>
      <c r="AZ585" s="1364">
        <v>5859.60</v>
      </c>
      <c r="BA585" s="1225">
        <v>1857.90</v>
      </c>
      <c r="BB585" s="1042">
        <f>3289.6-BA585</f>
        <v>1431.6999999999998</v>
      </c>
      <c r="BC585" s="1225">
        <v>1420.70</v>
      </c>
      <c r="BD585" s="1047">
        <f t="shared" si="1199"/>
        <v>1531.1999999999998</v>
      </c>
      <c r="BE585" s="1364">
        <v>6241.50</v>
      </c>
      <c r="BF585" s="1225">
        <v>1931.40</v>
      </c>
      <c r="BG585" s="1042">
        <f>4111.2-BF585</f>
        <v>2179.7999999999997</v>
      </c>
      <c r="BH585" s="1043">
        <f>6781.1-BG585-BF585</f>
        <v>2669.900000000001</v>
      </c>
      <c r="BI585" s="1044"/>
      <c r="BJ585" s="1350"/>
      <c r="BK585" s="1044"/>
      <c r="BL585" s="1044"/>
      <c r="BM585" s="1044"/>
      <c r="BN585" s="1044"/>
      <c r="BO585" s="1350"/>
      <c r="BP585" s="1351"/>
      <c r="BQ585" s="1351"/>
      <c r="BR585" s="1350"/>
      <c r="BS585" s="648"/>
    </row>
    <row r="586" spans="1:71" s="665" customFormat="1" ht="15" hidden="1" outlineLevel="1">
      <c r="A586" s="371" t="s">
        <v>379</v>
      </c>
      <c r="B586" s="321"/>
      <c r="C586" s="1351"/>
      <c r="D586" s="1351"/>
      <c r="E586" s="1351"/>
      <c r="F586" s="1351"/>
      <c r="G586" s="1351"/>
      <c r="H586" s="1047"/>
      <c r="I586" s="1047"/>
      <c r="J586" s="1047"/>
      <c r="K586" s="1047"/>
      <c r="L586" s="1351"/>
      <c r="M586" s="1047"/>
      <c r="N586" s="1047"/>
      <c r="O586" s="1047"/>
      <c r="P586" s="1047"/>
      <c r="Q586" s="1351"/>
      <c r="R586" s="1047"/>
      <c r="S586" s="1047"/>
      <c r="T586" s="1047"/>
      <c r="U586" s="1047"/>
      <c r="V586" s="1351"/>
      <c r="W586" s="1047"/>
      <c r="X586" s="1047"/>
      <c r="Y586" s="1047"/>
      <c r="Z586" s="1047"/>
      <c r="AA586" s="1351"/>
      <c r="AB586" s="1047"/>
      <c r="AC586" s="1047"/>
      <c r="AD586" s="1047"/>
      <c r="AE586" s="1047"/>
      <c r="AF586" s="1351"/>
      <c r="AG586" s="1047"/>
      <c r="AH586" s="1047"/>
      <c r="AI586" s="1047"/>
      <c r="AJ586" s="1047"/>
      <c r="AK586" s="1351"/>
      <c r="AL586" s="1047"/>
      <c r="AM586" s="1225">
        <v>1033.4000000000001</v>
      </c>
      <c r="AN586" s="1225">
        <v>29</v>
      </c>
      <c r="AO586" s="1047">
        <f t="shared" si="1196"/>
        <v>15</v>
      </c>
      <c r="AP586" s="1364">
        <v>1077.4000000000001</v>
      </c>
      <c r="AQ586" s="1047"/>
      <c r="AR586" s="1047"/>
      <c r="AS586" s="1225">
        <v>0</v>
      </c>
      <c r="AT586" s="1047">
        <f t="shared" si="1197"/>
        <v>0</v>
      </c>
      <c r="AU586" s="1364">
        <v>0</v>
      </c>
      <c r="AV586" s="1047"/>
      <c r="AW586" s="1047"/>
      <c r="AX586" s="1047"/>
      <c r="AY586" s="1047">
        <f t="shared" si="1198"/>
        <v>0</v>
      </c>
      <c r="AZ586" s="1351"/>
      <c r="BA586" s="1047"/>
      <c r="BB586" s="1047"/>
      <c r="BC586" s="1047"/>
      <c r="BD586" s="1047">
        <f t="shared" si="1199"/>
        <v>0</v>
      </c>
      <c r="BE586" s="1351"/>
      <c r="BF586" s="1047"/>
      <c r="BG586" s="1047"/>
      <c r="BH586" s="1048"/>
      <c r="BI586" s="1044"/>
      <c r="BJ586" s="1350"/>
      <c r="BK586" s="1044"/>
      <c r="BL586" s="1044"/>
      <c r="BM586" s="1044"/>
      <c r="BN586" s="1044"/>
      <c r="BO586" s="1350"/>
      <c r="BP586" s="1351"/>
      <c r="BQ586" s="1351"/>
      <c r="BR586" s="1350"/>
      <c r="BS586" s="648"/>
    </row>
    <row r="587" spans="1:71" s="665" customFormat="1" ht="15" hidden="1" outlineLevel="1">
      <c r="A587" s="371" t="s">
        <v>66</v>
      </c>
      <c r="B587" s="321"/>
      <c r="C587" s="1364">
        <v>11.10</v>
      </c>
      <c r="D587" s="1364">
        <v>11.90</v>
      </c>
      <c r="E587" s="1364">
        <v>13.50</v>
      </c>
      <c r="F587" s="1364">
        <v>15.40</v>
      </c>
      <c r="G587" s="1364">
        <v>18.80</v>
      </c>
      <c r="H587" s="1225">
        <v>4.0999999999999996</v>
      </c>
      <c r="I587" s="1225">
        <v>6</v>
      </c>
      <c r="J587" s="1225">
        <v>3.90</v>
      </c>
      <c r="K587" s="1047">
        <f>L587-SUM(H587,I587,J587)</f>
        <v>4.8999999999999986</v>
      </c>
      <c r="L587" s="1364">
        <v>18.90</v>
      </c>
      <c r="M587" s="1225">
        <v>5.30</v>
      </c>
      <c r="N587" s="1225">
        <v>5.70</v>
      </c>
      <c r="O587" s="1225">
        <v>4.9000000000000004</v>
      </c>
      <c r="P587" s="1047">
        <f>Q587-SUM(M587,N587,O587)</f>
        <v>6.90</v>
      </c>
      <c r="Q587" s="1364">
        <v>22.80</v>
      </c>
      <c r="R587" s="1225">
        <v>4.80</v>
      </c>
      <c r="S587" s="1225">
        <v>5.30</v>
      </c>
      <c r="T587" s="1225">
        <v>4.80</v>
      </c>
      <c r="U587" s="1047">
        <f>V587-SUM(R587,S587,T587)</f>
        <v>7.50</v>
      </c>
      <c r="V587" s="1364">
        <v>22.40</v>
      </c>
      <c r="W587" s="1225">
        <v>5.60</v>
      </c>
      <c r="X587" s="1225">
        <v>6.60</v>
      </c>
      <c r="Y587" s="1225">
        <v>5.80</v>
      </c>
      <c r="Z587" s="1047">
        <f>AA587-SUM(W587,X587,Y587)</f>
        <v>5.8999999999999986</v>
      </c>
      <c r="AA587" s="1364">
        <v>23.90</v>
      </c>
      <c r="AB587" s="1225">
        <v>6</v>
      </c>
      <c r="AC587" s="1225">
        <v>6.20</v>
      </c>
      <c r="AD587" s="1225">
        <v>5.80</v>
      </c>
      <c r="AE587" s="1047">
        <f>AF587-SUM(AB587,AC587,AD587)</f>
        <v>6.3000000000000007</v>
      </c>
      <c r="AF587" s="1364">
        <v>24.30</v>
      </c>
      <c r="AG587" s="1225">
        <v>6.20</v>
      </c>
      <c r="AH587" s="1225">
        <v>6.20</v>
      </c>
      <c r="AI587" s="1225">
        <v>5.90</v>
      </c>
      <c r="AJ587" s="1047">
        <f>AK587-SUM(AG587,AH587,AI587)</f>
        <v>6.3000000000000007</v>
      </c>
      <c r="AK587" s="1364">
        <v>24.60</v>
      </c>
      <c r="AL587" s="1225">
        <v>5.30</v>
      </c>
      <c r="AM587" s="1225">
        <v>4.50</v>
      </c>
      <c r="AN587" s="1225">
        <v>4.70</v>
      </c>
      <c r="AO587" s="1047">
        <f t="shared" si="1196"/>
        <v>5.50</v>
      </c>
      <c r="AP587" s="1364">
        <v>20</v>
      </c>
      <c r="AQ587" s="1225">
        <v>5.60</v>
      </c>
      <c r="AR587" s="1042">
        <f>11.9-AQ587</f>
        <v>6.3000000000000007</v>
      </c>
      <c r="AS587" s="1225">
        <v>6.60</v>
      </c>
      <c r="AT587" s="1047">
        <f t="shared" si="1197"/>
        <v>7</v>
      </c>
      <c r="AU587" s="1364">
        <v>25.50</v>
      </c>
      <c r="AV587" s="1225">
        <v>5.70</v>
      </c>
      <c r="AW587" s="1042">
        <f>11.6-AV587</f>
        <v>5.90</v>
      </c>
      <c r="AX587" s="1225">
        <v>5.80</v>
      </c>
      <c r="AY587" s="1047">
        <f t="shared" si="1198"/>
        <v>6.9000000000000021</v>
      </c>
      <c r="AZ587" s="1364">
        <v>24.30</v>
      </c>
      <c r="BA587" s="1225">
        <v>5.50</v>
      </c>
      <c r="BB587" s="1042">
        <f>11.6-BA587</f>
        <v>6.10</v>
      </c>
      <c r="BC587" s="1225">
        <v>7.20</v>
      </c>
      <c r="BD587" s="1047">
        <f t="shared" si="1199"/>
        <v>7.3999999999999986</v>
      </c>
      <c r="BE587" s="1364">
        <v>26.20</v>
      </c>
      <c r="BF587" s="1225">
        <v>5.70</v>
      </c>
      <c r="BG587" s="1042">
        <f>13-BF587</f>
        <v>7.30</v>
      </c>
      <c r="BH587" s="1043">
        <f>20.2-BG587-BF587</f>
        <v>7.1999999999999984</v>
      </c>
      <c r="BI587" s="1044"/>
      <c r="BJ587" s="1350"/>
      <c r="BK587" s="1044"/>
      <c r="BL587" s="1044"/>
      <c r="BM587" s="1044"/>
      <c r="BN587" s="1044"/>
      <c r="BO587" s="1350"/>
      <c r="BP587" s="1351"/>
      <c r="BQ587" s="1351"/>
      <c r="BR587" s="1350"/>
      <c r="BS587" s="648"/>
    </row>
    <row r="588" spans="1:71" s="665" customFormat="1" ht="15" hidden="1" outlineLevel="1">
      <c r="A588" s="371" t="s">
        <v>67</v>
      </c>
      <c r="B588" s="321"/>
      <c r="C588" s="1364">
        <v>19.40</v>
      </c>
      <c r="D588" s="1364">
        <v>21.40</v>
      </c>
      <c r="E588" s="1364">
        <v>19.40</v>
      </c>
      <c r="F588" s="1364">
        <v>36.10</v>
      </c>
      <c r="G588" s="1364">
        <v>38.799999999999997</v>
      </c>
      <c r="H588" s="1225">
        <v>9.6999999999999993</v>
      </c>
      <c r="I588" s="1225">
        <v>12.90</v>
      </c>
      <c r="J588" s="1225">
        <v>13.50</v>
      </c>
      <c r="K588" s="1047">
        <f>L588-SUM(H588,I588,J588)</f>
        <v>14.799999999999997</v>
      </c>
      <c r="L588" s="1364">
        <v>50.90</v>
      </c>
      <c r="M588" s="1225">
        <v>15.90</v>
      </c>
      <c r="N588" s="1225">
        <v>20.50</v>
      </c>
      <c r="O588" s="1225">
        <v>20.40</v>
      </c>
      <c r="P588" s="1047">
        <f>Q588-SUM(M588,N588,O588)</f>
        <v>20.700000000000003</v>
      </c>
      <c r="Q588" s="1364">
        <v>77.50</v>
      </c>
      <c r="R588" s="1225">
        <v>21.60</v>
      </c>
      <c r="S588" s="1225">
        <v>23.70</v>
      </c>
      <c r="T588" s="1225">
        <v>23.20</v>
      </c>
      <c r="U588" s="1047">
        <f>V588-SUM(R588,S588,T588)</f>
        <v>23.50</v>
      </c>
      <c r="V588" s="1364">
        <v>92</v>
      </c>
      <c r="W588" s="1225">
        <v>25.90</v>
      </c>
      <c r="X588" s="1225">
        <v>27</v>
      </c>
      <c r="Y588" s="1225">
        <v>28.90</v>
      </c>
      <c r="Z588" s="1047">
        <f>AA588-SUM(W588,X588,Y588)</f>
        <v>27.700000000000003</v>
      </c>
      <c r="AA588" s="1364">
        <v>109.50</v>
      </c>
      <c r="AB588" s="1225">
        <v>29.30</v>
      </c>
      <c r="AC588" s="1225">
        <v>37</v>
      </c>
      <c r="AD588" s="1225">
        <v>35.799999999999997</v>
      </c>
      <c r="AE588" s="1047">
        <f>AF588-SUM(AB588,AC588,AD588)</f>
        <v>32</v>
      </c>
      <c r="AF588" s="1364">
        <v>134.09999999999999</v>
      </c>
      <c r="AG588" s="1225">
        <v>38.10</v>
      </c>
      <c r="AH588" s="1225">
        <v>45.30</v>
      </c>
      <c r="AI588" s="1225">
        <v>48.70</v>
      </c>
      <c r="AJ588" s="1047">
        <f>AK588-SUM(AG588,AH588,AI588)</f>
        <v>46.799999999999983</v>
      </c>
      <c r="AK588" s="1364">
        <v>178.90</v>
      </c>
      <c r="AL588" s="1225">
        <v>47.50</v>
      </c>
      <c r="AM588" s="1225">
        <v>52.80</v>
      </c>
      <c r="AN588" s="1225">
        <v>54.40</v>
      </c>
      <c r="AO588" s="1047">
        <f t="shared" si="1196"/>
        <v>50.800000000000011</v>
      </c>
      <c r="AP588" s="1364">
        <v>205.50</v>
      </c>
      <c r="AQ588" s="1225">
        <v>49.30</v>
      </c>
      <c r="AR588" s="1042">
        <f>117.2-AQ588</f>
        <v>67.900000000000006</v>
      </c>
      <c r="AS588" s="1225">
        <v>72.80</v>
      </c>
      <c r="AT588" s="1047">
        <f t="shared" si="1197"/>
        <v>62.800000000000011</v>
      </c>
      <c r="AU588" s="1364">
        <v>252.80</v>
      </c>
      <c r="AV588" s="1225">
        <v>63.20</v>
      </c>
      <c r="AW588" s="1042">
        <f>138.7-AV588</f>
        <v>75.499999999999986</v>
      </c>
      <c r="AX588" s="1225">
        <v>82.80</v>
      </c>
      <c r="AY588" s="1047">
        <f t="shared" si="1198"/>
        <v>75.199999999999989</v>
      </c>
      <c r="AZ588" s="1364">
        <v>296.70</v>
      </c>
      <c r="BA588" s="1225">
        <v>82.30</v>
      </c>
      <c r="BB588" s="1042">
        <f>172.9-BA588</f>
        <v>90.60</v>
      </c>
      <c r="BC588" s="1225">
        <v>91.70</v>
      </c>
      <c r="BD588" s="1047">
        <f t="shared" si="1199"/>
        <v>84.399999999999977</v>
      </c>
      <c r="BE588" s="1364">
        <v>349</v>
      </c>
      <c r="BF588" s="1225">
        <v>92.10</v>
      </c>
      <c r="BG588" s="1042">
        <f>206.4-BF588</f>
        <v>114.30000000000001</v>
      </c>
      <c r="BH588" s="1043">
        <f>333.1-BG588-BF588</f>
        <v>126.70000000000002</v>
      </c>
      <c r="BI588" s="1044"/>
      <c r="BJ588" s="1350"/>
      <c r="BK588" s="1044"/>
      <c r="BL588" s="1044"/>
      <c r="BM588" s="1044"/>
      <c r="BN588" s="1044"/>
      <c r="BO588" s="1350"/>
      <c r="BP588" s="1351"/>
      <c r="BQ588" s="1351"/>
      <c r="BR588" s="1350"/>
      <c r="BS588" s="648"/>
    </row>
    <row r="589" spans="1:71" s="665" customFormat="1" ht="15" hidden="1" outlineLevel="1">
      <c r="A589" s="371" t="s">
        <v>705</v>
      </c>
      <c r="B589" s="321"/>
      <c r="C589" s="1351"/>
      <c r="D589" s="1351"/>
      <c r="E589" s="1351"/>
      <c r="F589" s="1351"/>
      <c r="G589" s="1351"/>
      <c r="H589" s="1047"/>
      <c r="I589" s="1047"/>
      <c r="J589" s="1047"/>
      <c r="K589" s="1047"/>
      <c r="L589" s="1351"/>
      <c r="M589" s="1047"/>
      <c r="N589" s="1047"/>
      <c r="O589" s="1047"/>
      <c r="P589" s="1047"/>
      <c r="Q589" s="1351"/>
      <c r="R589" s="1047"/>
      <c r="S589" s="1047"/>
      <c r="T589" s="1047"/>
      <c r="U589" s="1047"/>
      <c r="V589" s="1351"/>
      <c r="W589" s="1047"/>
      <c r="X589" s="1047"/>
      <c r="Y589" s="1047"/>
      <c r="Z589" s="1047"/>
      <c r="AA589" s="1351"/>
      <c r="AB589" s="1047"/>
      <c r="AC589" s="1047"/>
      <c r="AD589" s="1047"/>
      <c r="AE589" s="1047"/>
      <c r="AF589" s="1351"/>
      <c r="AG589" s="1047"/>
      <c r="AH589" s="1047"/>
      <c r="AI589" s="1047"/>
      <c r="AJ589" s="1047"/>
      <c r="AK589" s="1351"/>
      <c r="AL589" s="1047"/>
      <c r="AM589" s="1047"/>
      <c r="AN589" s="1047"/>
      <c r="AO589" s="1047"/>
      <c r="AP589" s="1351"/>
      <c r="AQ589" s="1047"/>
      <c r="AR589" s="1047"/>
      <c r="AS589" s="1047"/>
      <c r="AT589" s="1047"/>
      <c r="AU589" s="1351"/>
      <c r="AV589" s="1047"/>
      <c r="AW589" s="1225">
        <v>224.80</v>
      </c>
      <c r="AX589" s="1225">
        <v>0</v>
      </c>
      <c r="AY589" s="1047">
        <f t="shared" si="1198"/>
        <v>0</v>
      </c>
      <c r="AZ589" s="1364">
        <v>224.80</v>
      </c>
      <c r="BA589" s="1047"/>
      <c r="BB589" s="1047"/>
      <c r="BC589" s="1047"/>
      <c r="BD589" s="1047">
        <f t="shared" si="1199"/>
        <v>0</v>
      </c>
      <c r="BE589" s="1364">
        <v>0</v>
      </c>
      <c r="BF589" s="1047"/>
      <c r="BG589" s="1047"/>
      <c r="BH589" s="1048"/>
      <c r="BI589" s="1044"/>
      <c r="BJ589" s="1350"/>
      <c r="BK589" s="1044"/>
      <c r="BL589" s="1044"/>
      <c r="BM589" s="1044"/>
      <c r="BN589" s="1044"/>
      <c r="BO589" s="1350"/>
      <c r="BP589" s="1351"/>
      <c r="BQ589" s="1351"/>
      <c r="BR589" s="1350"/>
      <c r="BS589" s="648"/>
    </row>
    <row r="590" spans="1:71" s="665" customFormat="1" ht="15" hidden="1" outlineLevel="1">
      <c r="A590" s="371" t="s">
        <v>68</v>
      </c>
      <c r="B590" s="321"/>
      <c r="C590" s="1364">
        <v>139</v>
      </c>
      <c r="D590" s="1364">
        <v>133.50</v>
      </c>
      <c r="E590" s="1364">
        <v>132.69999999999999</v>
      </c>
      <c r="F590" s="1364">
        <v>123.80</v>
      </c>
      <c r="G590" s="1364">
        <v>118.20</v>
      </c>
      <c r="H590" s="1225">
        <v>26.70</v>
      </c>
      <c r="I590" s="1225">
        <v>29.60</v>
      </c>
      <c r="J590" s="1225">
        <v>30.70</v>
      </c>
      <c r="K590" s="1047">
        <f>L590-SUM(H590,I590,J590)</f>
        <v>29.900000000000006</v>
      </c>
      <c r="L590" s="1364">
        <v>116.90000000000001</v>
      </c>
      <c r="M590" s="1225">
        <v>32.50</v>
      </c>
      <c r="N590" s="1225">
        <v>34.90</v>
      </c>
      <c r="O590" s="1225">
        <v>34.50</v>
      </c>
      <c r="P590" s="1047">
        <f>Q590-SUM(M590,N590,O590)</f>
        <v>34.099999999999994</v>
      </c>
      <c r="Q590" s="1364">
        <v>136</v>
      </c>
      <c r="R590" s="1225">
        <v>34.200000000000003</v>
      </c>
      <c r="S590" s="1225">
        <v>34.299999999999997</v>
      </c>
      <c r="T590" s="1225">
        <v>35.299999999999997</v>
      </c>
      <c r="U590" s="1047">
        <f>V590-T590-S590-R590</f>
        <v>37.100000000000009</v>
      </c>
      <c r="V590" s="1364">
        <v>140.90000000000001</v>
      </c>
      <c r="W590" s="1225">
        <v>36.799999999999997</v>
      </c>
      <c r="X590" s="1225">
        <v>43.40</v>
      </c>
      <c r="Y590" s="1225">
        <v>37.40</v>
      </c>
      <c r="Z590" s="1047">
        <f>AA590-Y590-X590-W590</f>
        <v>35.499999999999986</v>
      </c>
      <c r="AA590" s="1364">
        <v>153.09999999999999</v>
      </c>
      <c r="AB590" s="1225">
        <v>36.799999999999997</v>
      </c>
      <c r="AC590" s="1225">
        <v>41.70</v>
      </c>
      <c r="AD590" s="1225">
        <v>42</v>
      </c>
      <c r="AE590" s="1047">
        <f>AF590-AD590-AC590-AB590</f>
        <v>46</v>
      </c>
      <c r="AF590" s="1364">
        <v>166.50</v>
      </c>
      <c r="AG590" s="1225">
        <v>47.40</v>
      </c>
      <c r="AH590" s="1225">
        <v>47.40</v>
      </c>
      <c r="AI590" s="1225">
        <v>47.50</v>
      </c>
      <c r="AJ590" s="1047">
        <f>AK590-AI590-AH590-AG590</f>
        <v>47.399999999999984</v>
      </c>
      <c r="AK590" s="1364">
        <v>189.70</v>
      </c>
      <c r="AL590" s="1225">
        <v>48</v>
      </c>
      <c r="AM590" s="1225">
        <v>56.40</v>
      </c>
      <c r="AN590" s="1225">
        <v>56.40</v>
      </c>
      <c r="AO590" s="1047">
        <f>AP590-AN590-AM590-AL590</f>
        <v>56.199999999999989</v>
      </c>
      <c r="AP590" s="1364">
        <v>217</v>
      </c>
      <c r="AQ590" s="1225">
        <v>56.40</v>
      </c>
      <c r="AR590" s="1042">
        <f>112.8-AQ590</f>
        <v>56.40</v>
      </c>
      <c r="AS590" s="1225">
        <v>54.20</v>
      </c>
      <c r="AT590" s="1047">
        <f>AU590-AS590-AR590-AQ590</f>
        <v>51.599999999999973</v>
      </c>
      <c r="AU590" s="1364">
        <v>218.60</v>
      </c>
      <c r="AV590" s="1225">
        <v>54.30</v>
      </c>
      <c r="AW590" s="1042">
        <f>117.3-AV590</f>
        <v>63</v>
      </c>
      <c r="AX590" s="1225">
        <v>63.10</v>
      </c>
      <c r="AY590" s="1047">
        <f>AZ590-AX590-AW590-AV590</f>
        <v>63.100000000000009</v>
      </c>
      <c r="AZ590" s="1364">
        <v>243.50</v>
      </c>
      <c r="BA590" s="1225">
        <v>63.30</v>
      </c>
      <c r="BB590" s="1042">
        <f>129-BA590</f>
        <v>65.70</v>
      </c>
      <c r="BC590" s="1225">
        <v>69.70</v>
      </c>
      <c r="BD590" s="1047">
        <f>BE590-BC590-BB590-BA590</f>
        <v>69.70</v>
      </c>
      <c r="BE590" s="1364">
        <v>268.39999999999998</v>
      </c>
      <c r="BF590" s="1225">
        <v>69.599999999999994</v>
      </c>
      <c r="BG590" s="1042">
        <f>139.2-BF590</f>
        <v>69.599999999999994</v>
      </c>
      <c r="BH590" s="1043">
        <f>209.1-BG590-BF590</f>
        <v>69.900000000000006</v>
      </c>
      <c r="BI590" s="1044"/>
      <c r="BJ590" s="1350"/>
      <c r="BK590" s="1044"/>
      <c r="BL590" s="1044"/>
      <c r="BM590" s="1044"/>
      <c r="BN590" s="1044"/>
      <c r="BO590" s="1350"/>
      <c r="BP590" s="1351"/>
      <c r="BQ590" s="1351"/>
      <c r="BR590" s="1350"/>
      <c r="BS590" s="648"/>
    </row>
    <row r="591" spans="1:71" s="668" customFormat="1" ht="15" hidden="1" outlineLevel="1">
      <c r="A591" s="42" t="s">
        <v>69</v>
      </c>
      <c r="B591" s="410"/>
      <c r="C591" s="1355">
        <f t="shared" si="1200" ref="C591:AM591">SUM(C583:C590)</f>
        <v>13006.700000000001</v>
      </c>
      <c r="D591" s="1355">
        <f t="shared" si="1200"/>
        <v>13650.299999999997</v>
      </c>
      <c r="E591" s="1355">
        <f t="shared" si="1200"/>
        <v>14287.60</v>
      </c>
      <c r="F591" s="1355">
        <f t="shared" si="1200"/>
        <v>15766.20</v>
      </c>
      <c r="G591" s="1355">
        <f t="shared" si="1200"/>
        <v>16450.899999999998</v>
      </c>
      <c r="H591" s="1052">
        <f t="shared" si="1200"/>
        <v>4225.80</v>
      </c>
      <c r="I591" s="1052">
        <f t="shared" si="1200"/>
        <v>4304.1000000000004</v>
      </c>
      <c r="J591" s="1052">
        <f t="shared" si="1200"/>
        <v>4324.2999999999993</v>
      </c>
      <c r="K591" s="1052">
        <f t="shared" si="1200"/>
        <v>4629.8000000000011</v>
      </c>
      <c r="L591" s="1355">
        <f t="shared" si="1200"/>
        <v>17484.000000000004</v>
      </c>
      <c r="M591" s="1052">
        <f t="shared" si="1200"/>
        <v>4452.0999999999995</v>
      </c>
      <c r="N591" s="1052">
        <f t="shared" si="1200"/>
        <v>4757.9999999999991</v>
      </c>
      <c r="O591" s="1052">
        <f t="shared" si="1200"/>
        <v>4844.7999999999993</v>
      </c>
      <c r="P591" s="1052">
        <f t="shared" si="1200"/>
        <v>4887.3000000000011</v>
      </c>
      <c r="Q591" s="1355">
        <f t="shared" si="1200"/>
        <v>18942.199999999997</v>
      </c>
      <c r="R591" s="1052">
        <f t="shared" si="1200"/>
        <v>5170.1000000000004</v>
      </c>
      <c r="S591" s="1052">
        <f t="shared" si="1200"/>
        <v>5532</v>
      </c>
      <c r="T591" s="1052">
        <f t="shared" si="1200"/>
        <v>5676.50</v>
      </c>
      <c r="U591" s="1052">
        <f t="shared" si="1200"/>
        <v>5592.10</v>
      </c>
      <c r="V591" s="1355">
        <f t="shared" si="1200"/>
        <v>21970.700000000001</v>
      </c>
      <c r="W591" s="1052">
        <f t="shared" si="1200"/>
        <v>5680.20</v>
      </c>
      <c r="X591" s="1052">
        <f t="shared" si="1200"/>
        <v>6051.10</v>
      </c>
      <c r="Y591" s="1052">
        <f t="shared" si="1200"/>
        <v>6540.40</v>
      </c>
      <c r="Z591" s="1052">
        <f t="shared" si="1200"/>
        <v>6428.40</v>
      </c>
      <c r="AA591" s="1355">
        <f t="shared" si="1200"/>
        <v>24700.100000000002</v>
      </c>
      <c r="AB591" s="1052">
        <f t="shared" si="1200"/>
        <v>6519.30</v>
      </c>
      <c r="AC591" s="1052">
        <f t="shared" si="1200"/>
        <v>7137.90</v>
      </c>
      <c r="AD591" s="1052">
        <f t="shared" si="1200"/>
        <v>7365.3000000000011</v>
      </c>
      <c r="AE591" s="1052">
        <f t="shared" si="1200"/>
        <v>7792.90</v>
      </c>
      <c r="AF591" s="1355">
        <f t="shared" si="1200"/>
        <v>28815.399999999998</v>
      </c>
      <c r="AG591" s="1052">
        <f t="shared" si="1200"/>
        <v>7732.50</v>
      </c>
      <c r="AH591" s="1052">
        <f t="shared" si="1200"/>
        <v>8207.10</v>
      </c>
      <c r="AI591" s="1052">
        <f t="shared" si="1200"/>
        <v>8520.2000000000007</v>
      </c>
      <c r="AJ591" s="1052">
        <f t="shared" si="1200"/>
        <v>9402.1999999999971</v>
      </c>
      <c r="AK591" s="1355">
        <f t="shared" si="1200"/>
        <v>33862</v>
      </c>
      <c r="AL591" s="1052">
        <f t="shared" si="1200"/>
        <v>8448.6999999999989</v>
      </c>
      <c r="AM591" s="1052">
        <f t="shared" si="1200"/>
        <v>8702.8999999999978</v>
      </c>
      <c r="AN591" s="1052">
        <f t="shared" si="1201" ref="AN591:AU591">SUM(AN583:AN590)</f>
        <v>9023.7000000000007</v>
      </c>
      <c r="AO591" s="1052">
        <f t="shared" si="1201"/>
        <v>9309.6000000000022</v>
      </c>
      <c r="AP591" s="1355">
        <f t="shared" si="1201"/>
        <v>35484.900000000001</v>
      </c>
      <c r="AQ591" s="1052">
        <f t="shared" si="1201"/>
        <v>9577.2999999999993</v>
      </c>
      <c r="AR591" s="1052">
        <f t="shared" si="1201"/>
        <v>10906.299999999997</v>
      </c>
      <c r="AS591" s="1052">
        <f t="shared" si="1201"/>
        <v>11720.20</v>
      </c>
      <c r="AT591" s="1052">
        <f t="shared" si="1201"/>
        <v>11288.20</v>
      </c>
      <c r="AU591" s="1355">
        <f t="shared" si="1201"/>
        <v>43492</v>
      </c>
      <c r="AV591" s="1052">
        <f t="shared" si="1202" ref="AV591:BJ591">SUM(AV583:AV590)</f>
        <v>11451.299999999999</v>
      </c>
      <c r="AW591" s="1052">
        <f t="shared" si="1202"/>
        <v>12155.10</v>
      </c>
      <c r="AX591" s="1052">
        <f t="shared" si="1202"/>
        <v>12637.699999999999</v>
      </c>
      <c r="AY591" s="1052">
        <f t="shared" si="1202"/>
        <v>12444.499999999998</v>
      </c>
      <c r="AZ591" s="1355">
        <f t="shared" si="1202"/>
        <v>48688.599999999999</v>
      </c>
      <c r="BA591" s="1052">
        <f t="shared" si="1203" ref="BA591:BI591">SUM(BA583:BA590)</f>
        <v>13748.799999999997</v>
      </c>
      <c r="BB591" s="1052">
        <f t="shared" si="1203"/>
        <v>14917.80</v>
      </c>
      <c r="BC591" s="1052">
        <f t="shared" si="1203"/>
        <v>14150.400000000003</v>
      </c>
      <c r="BD591" s="1052">
        <f t="shared" si="1203"/>
        <v>14387.80</v>
      </c>
      <c r="BE591" s="1355">
        <f t="shared" si="1203"/>
        <v>57204.80</v>
      </c>
      <c r="BF591" s="1052">
        <f>SUM(BF583:BF590)</f>
        <v>14302.600000000002</v>
      </c>
      <c r="BG591" s="1052">
        <f>SUM(BG583:BG590)</f>
        <v>16273.90</v>
      </c>
      <c r="BH591" s="1053">
        <f>SUM(BH583:BH590)</f>
        <v>16774.199999999997</v>
      </c>
      <c r="BI591" s="1054">
        <f t="shared" si="1203"/>
        <v>0</v>
      </c>
      <c r="BJ591" s="1356">
        <f t="shared" si="1202"/>
        <v>0</v>
      </c>
      <c r="BK591" s="1054">
        <f t="shared" si="1204" ref="BK591:BR591">SUM(BK583:BK590)</f>
        <v>0</v>
      </c>
      <c r="BL591" s="1054">
        <f t="shared" si="1204"/>
        <v>0</v>
      </c>
      <c r="BM591" s="1054">
        <f t="shared" si="1204"/>
        <v>0</v>
      </c>
      <c r="BN591" s="1054">
        <f t="shared" si="1204"/>
        <v>0</v>
      </c>
      <c r="BO591" s="1356">
        <f t="shared" si="1204"/>
        <v>0</v>
      </c>
      <c r="BP591" s="1356">
        <f t="shared" si="1204"/>
        <v>0</v>
      </c>
      <c r="BQ591" s="1356">
        <f t="shared" si="1204"/>
        <v>0</v>
      </c>
      <c r="BR591" s="1356">
        <f t="shared" si="1204"/>
        <v>0</v>
      </c>
      <c r="BS591" s="648"/>
    </row>
    <row r="592" spans="1:71" s="668" customFormat="1" ht="15" hidden="1" outlineLevel="1">
      <c r="A592" s="25" t="s">
        <v>70</v>
      </c>
      <c r="B592" s="367"/>
      <c r="C592" s="1320">
        <f t="shared" si="1205" ref="C592:AM592">C582-C591</f>
        <v>1556.8999999999996</v>
      </c>
      <c r="D592" s="1320">
        <f t="shared" si="1205"/>
        <v>1565.2000000000025</v>
      </c>
      <c r="E592" s="1320">
        <f t="shared" si="1205"/>
        <v>1486.9999999999982</v>
      </c>
      <c r="F592" s="1320">
        <f t="shared" si="1205"/>
        <v>1317.6999999999971</v>
      </c>
      <c r="G592" s="1320">
        <f t="shared" si="1205"/>
        <v>1720.0000000000036</v>
      </c>
      <c r="H592" s="1021">
        <f t="shared" si="1205"/>
        <v>481.80000000000018</v>
      </c>
      <c r="I592" s="1021">
        <f t="shared" si="1205"/>
        <v>437.39999999999873</v>
      </c>
      <c r="J592" s="1021">
        <f t="shared" si="1205"/>
        <v>441.80000000000018</v>
      </c>
      <c r="K592" s="1021">
        <f t="shared" si="1205"/>
        <v>546.39999999999782</v>
      </c>
      <c r="L592" s="1320">
        <f t="shared" si="1205"/>
        <v>1907.3999999999978</v>
      </c>
      <c r="M592" s="1021">
        <f t="shared" si="1205"/>
        <v>443.20000000000073</v>
      </c>
      <c r="N592" s="1021">
        <f t="shared" si="1205"/>
        <v>525.30000000000109</v>
      </c>
      <c r="O592" s="1021">
        <f t="shared" si="1205"/>
        <v>429.00000000000182</v>
      </c>
      <c r="P592" s="1021">
        <f t="shared" si="1205"/>
        <v>514.09999999999582</v>
      </c>
      <c r="Q592" s="1320">
        <f t="shared" si="1205"/>
        <v>1911.5999999999985</v>
      </c>
      <c r="R592" s="1021">
        <f t="shared" si="1205"/>
        <v>387.39999999999873</v>
      </c>
      <c r="S592" s="1021">
        <f t="shared" si="1205"/>
        <v>287.30000000000109</v>
      </c>
      <c r="T592" s="1021">
        <f t="shared" si="1205"/>
        <v>258.50</v>
      </c>
      <c r="U592" s="1021">
        <f t="shared" si="1205"/>
        <v>537.50</v>
      </c>
      <c r="V592" s="1320">
        <f t="shared" si="1205"/>
        <v>1470.6999999999971</v>
      </c>
      <c r="W592" s="1021">
        <f t="shared" si="1205"/>
        <v>641.49999999999909</v>
      </c>
      <c r="X592" s="1021">
        <f t="shared" si="1205"/>
        <v>554.60000000000127</v>
      </c>
      <c r="Y592" s="1021">
        <f t="shared" si="1205"/>
        <v>251.40000000000055</v>
      </c>
      <c r="Z592" s="1021">
        <f t="shared" si="1205"/>
        <v>691.40000000000327</v>
      </c>
      <c r="AA592" s="1320">
        <f t="shared" si="1205"/>
        <v>2138.8999999999942</v>
      </c>
      <c r="AB592" s="1021">
        <f t="shared" si="1205"/>
        <v>910.80000000000018</v>
      </c>
      <c r="AC592" s="1021">
        <f t="shared" si="1205"/>
        <v>880.10000000000036</v>
      </c>
      <c r="AD592" s="1021">
        <f t="shared" si="1205"/>
        <v>1130.50</v>
      </c>
      <c r="AE592" s="1021">
        <f t="shared" si="1205"/>
        <v>242.19999999999891</v>
      </c>
      <c r="AF592" s="1320">
        <f t="shared" si="1205"/>
        <v>3163.6000000000022</v>
      </c>
      <c r="AG592" s="1021">
        <f t="shared" si="1205"/>
        <v>1567.50</v>
      </c>
      <c r="AH592" s="1021">
        <f t="shared" si="1205"/>
        <v>1243.5999999999985</v>
      </c>
      <c r="AI592" s="1021">
        <f t="shared" si="1205"/>
        <v>1010.2999999999993</v>
      </c>
      <c r="AJ592" s="1021">
        <f t="shared" si="1205"/>
        <v>1338.9000000000015</v>
      </c>
      <c r="AK592" s="1320">
        <f t="shared" si="1205"/>
        <v>5160.2999999999956</v>
      </c>
      <c r="AL592" s="1021">
        <f t="shared" si="1205"/>
        <v>874.70000000000255</v>
      </c>
      <c r="AM592" s="1021">
        <f t="shared" si="1205"/>
        <v>2268.8000000000011</v>
      </c>
      <c r="AN592" s="1021">
        <f t="shared" si="1206" ref="AN592:AU592">AN582-AN591</f>
        <v>1923.4999999999982</v>
      </c>
      <c r="AO592" s="1021">
        <f t="shared" si="1206"/>
        <v>2106.1999999999989</v>
      </c>
      <c r="AP592" s="1320">
        <f t="shared" si="1206"/>
        <v>7173.1999999999971</v>
      </c>
      <c r="AQ592" s="1021">
        <f t="shared" si="1206"/>
        <v>1867.9000000000015</v>
      </c>
      <c r="AR592" s="1021">
        <f t="shared" si="1206"/>
        <v>999.20000000000255</v>
      </c>
      <c r="AS592" s="1021">
        <f t="shared" si="1206"/>
        <v>138.99999999999636</v>
      </c>
      <c r="AT592" s="1021">
        <f t="shared" si="1206"/>
        <v>1203.8999999999942</v>
      </c>
      <c r="AU592" s="1320">
        <f t="shared" si="1206"/>
        <v>4210</v>
      </c>
      <c r="AV592" s="1021">
        <f t="shared" si="1207" ref="AV592:BJ592">AV582-AV591</f>
        <v>390.20000000000255</v>
      </c>
      <c r="AW592" s="1021">
        <f t="shared" si="1207"/>
        <v>-635.90000000000146</v>
      </c>
      <c r="AX592" s="1021">
        <f t="shared" si="1207"/>
        <v>142.50000000000182</v>
      </c>
      <c r="AY592" s="1021">
        <f t="shared" si="1207"/>
        <v>1025.2999999999975</v>
      </c>
      <c r="AZ592" s="1320">
        <f t="shared" si="1207"/>
        <v>922.10000000000582</v>
      </c>
      <c r="BA592" s="1021">
        <f t="shared" si="1208" ref="BA592:BI592">BA582-BA591</f>
        <v>554.40000000000327</v>
      </c>
      <c r="BB592" s="1021">
        <f t="shared" si="1208"/>
        <v>435.70000000000073</v>
      </c>
      <c r="BC592" s="1021">
        <f t="shared" si="1208"/>
        <v>1410.1999999999971</v>
      </c>
      <c r="BD592" s="1021">
        <f t="shared" si="1208"/>
        <v>2503.4000000000051</v>
      </c>
      <c r="BE592" s="1320">
        <f t="shared" si="1208"/>
        <v>4903.7000000000044</v>
      </c>
      <c r="BF592" s="1021">
        <f>BF582-BF591</f>
        <v>2939.8999999999978</v>
      </c>
      <c r="BG592" s="1021">
        <f>BG582-BG591</f>
        <v>1860.3999999999996</v>
      </c>
      <c r="BH592" s="1022">
        <f>BH582-BH591</f>
        <v>2944.8000000000065</v>
      </c>
      <c r="BI592" s="1023">
        <f t="shared" si="1208"/>
        <v>0</v>
      </c>
      <c r="BJ592" s="1321">
        <f t="shared" si="1207"/>
        <v>0</v>
      </c>
      <c r="BK592" s="1023">
        <f t="shared" si="1209" ref="BK592:BR592">BK582-BK591</f>
        <v>0</v>
      </c>
      <c r="BL592" s="1023">
        <f t="shared" si="1209"/>
        <v>0</v>
      </c>
      <c r="BM592" s="1023">
        <f t="shared" si="1209"/>
        <v>0</v>
      </c>
      <c r="BN592" s="1023">
        <f t="shared" si="1209"/>
        <v>0</v>
      </c>
      <c r="BO592" s="1321">
        <f t="shared" si="1209"/>
        <v>0</v>
      </c>
      <c r="BP592" s="1322">
        <f t="shared" si="1209"/>
        <v>0</v>
      </c>
      <c r="BQ592" s="1322">
        <f t="shared" si="1209"/>
        <v>0</v>
      </c>
      <c r="BR592" s="1321">
        <f t="shared" si="1209"/>
        <v>0</v>
      </c>
      <c r="BS592" s="648"/>
    </row>
    <row r="593" spans="1:71" s="665" customFormat="1" ht="15" hidden="1" outlineLevel="1">
      <c r="A593" s="371" t="s">
        <v>71</v>
      </c>
      <c r="B593" s="321"/>
      <c r="C593" s="1364">
        <v>499.40</v>
      </c>
      <c r="D593" s="1364">
        <v>496.90</v>
      </c>
      <c r="E593" s="1364">
        <v>471.50</v>
      </c>
      <c r="F593" s="1364">
        <v>415.40</v>
      </c>
      <c r="G593" s="1364">
        <v>554.60</v>
      </c>
      <c r="H593" s="1225">
        <v>160.50</v>
      </c>
      <c r="I593" s="1225">
        <v>144</v>
      </c>
      <c r="J593" s="1225">
        <v>145.69999999999999</v>
      </c>
      <c r="K593" s="1047">
        <f>L593-J593-I593-H593</f>
        <v>176.20</v>
      </c>
      <c r="L593" s="1364">
        <v>626.40</v>
      </c>
      <c r="M593" s="1225">
        <v>147.59999999999999</v>
      </c>
      <c r="N593" s="1225">
        <v>156.80000000000001</v>
      </c>
      <c r="O593" s="1225">
        <v>142.50</v>
      </c>
      <c r="P593" s="1047">
        <f>Q593-O593-N593-M593</f>
        <v>164.20000000000002</v>
      </c>
      <c r="Q593" s="1364">
        <v>611.10</v>
      </c>
      <c r="R593" s="1225">
        <v>128.69999999999999</v>
      </c>
      <c r="S593" s="1225">
        <v>92.40</v>
      </c>
      <c r="T593" s="1225">
        <v>53</v>
      </c>
      <c r="U593" s="1047">
        <f>V593-T593-S593-R593</f>
        <v>139.40000000000003</v>
      </c>
      <c r="V593" s="1364">
        <v>413.50</v>
      </c>
      <c r="W593" s="1225">
        <v>211.20</v>
      </c>
      <c r="X593" s="1225">
        <v>181.90</v>
      </c>
      <c r="Y593" s="1225">
        <v>36.60</v>
      </c>
      <c r="Z593" s="1047">
        <f>AA593-Y593-X593-W593</f>
        <v>111.09999999999997</v>
      </c>
      <c r="AA593" s="1364">
        <v>540.79999999999995</v>
      </c>
      <c r="AB593" s="1225">
        <v>181</v>
      </c>
      <c r="AC593" s="1225">
        <v>178.90</v>
      </c>
      <c r="AD593" s="1225">
        <v>200.30</v>
      </c>
      <c r="AE593" s="1047">
        <f>AF593-AD593-AC593-AB593</f>
        <v>-17.599999999999994</v>
      </c>
      <c r="AF593" s="1364">
        <v>542.60</v>
      </c>
      <c r="AG593" s="1225">
        <v>484.70</v>
      </c>
      <c r="AH593" s="1225">
        <v>264.60000000000002</v>
      </c>
      <c r="AI593" s="1225">
        <v>166.70</v>
      </c>
      <c r="AJ593" s="1047">
        <f>AK593-AI593-AH593-AG593</f>
        <v>264.2999999999999</v>
      </c>
      <c r="AK593" s="1364">
        <v>1180.30</v>
      </c>
      <c r="AL593" s="1225">
        <v>175.60</v>
      </c>
      <c r="AM593" s="1225">
        <v>478.40</v>
      </c>
      <c r="AN593" s="1225">
        <v>392.70</v>
      </c>
      <c r="AO593" s="1047">
        <f>AP593-AN593-AM593-AL593</f>
        <v>421.89999999999986</v>
      </c>
      <c r="AP593" s="1364">
        <v>1468.60</v>
      </c>
      <c r="AQ593" s="1225">
        <v>387.90</v>
      </c>
      <c r="AR593" s="1042">
        <f>597-AQ593</f>
        <v>209.10000000000002</v>
      </c>
      <c r="AS593" s="1225">
        <v>20.50</v>
      </c>
      <c r="AT593" s="1047">
        <f>AU593-AS593-AR593-AQ593</f>
        <v>241.60000000000002</v>
      </c>
      <c r="AU593" s="1364">
        <v>859.10</v>
      </c>
      <c r="AV593" s="1225">
        <v>76.30</v>
      </c>
      <c r="AW593" s="1042">
        <f>-16.7-AV593</f>
        <v>-93</v>
      </c>
      <c r="AX593" s="1225">
        <v>18.40</v>
      </c>
      <c r="AY593" s="1047">
        <f>AZ593-AX593-AW593-AV593</f>
        <v>198.89999999999998</v>
      </c>
      <c r="AZ593" s="1364">
        <v>200.60</v>
      </c>
      <c r="BA593" s="1225">
        <v>106.50</v>
      </c>
      <c r="BB593" s="1042">
        <f>196.8-BA593</f>
        <v>90.300000000000011</v>
      </c>
      <c r="BC593" s="1225">
        <v>288.89999999999998</v>
      </c>
      <c r="BD593" s="1047">
        <f>BE593-BC593-BB593-BA593</f>
        <v>515.59999999999991</v>
      </c>
      <c r="BE593" s="1365">
        <v>1001.30</v>
      </c>
      <c r="BF593" s="1225">
        <v>608.50</v>
      </c>
      <c r="BG593" s="1042">
        <f>1010.2-BF593</f>
        <v>401.70000000000005</v>
      </c>
      <c r="BH593" s="1043">
        <f>1621.6-BG593-BF593</f>
        <v>611.39999999999986</v>
      </c>
      <c r="BI593" s="1044"/>
      <c r="BJ593" s="1350"/>
      <c r="BK593" s="1044"/>
      <c r="BL593" s="1044"/>
      <c r="BM593" s="1044"/>
      <c r="BN593" s="1044"/>
      <c r="BO593" s="1350"/>
      <c r="BP593" s="1351"/>
      <c r="BQ593" s="1351"/>
      <c r="BR593" s="1350"/>
      <c r="BS593" s="648"/>
    </row>
    <row r="594" spans="1:71" s="668" customFormat="1" ht="15" hidden="1" outlineLevel="1">
      <c r="A594" s="42" t="s">
        <v>72</v>
      </c>
      <c r="B594" s="410"/>
      <c r="C594" s="1355">
        <f t="shared" si="1210" ref="C594:AM594">C592-C593</f>
        <v>1057.4999999999995</v>
      </c>
      <c r="D594" s="1355">
        <f t="shared" si="1210"/>
        <v>1068.3000000000025</v>
      </c>
      <c r="E594" s="1355">
        <f t="shared" si="1210"/>
        <v>1015.4999999999982</v>
      </c>
      <c r="F594" s="1355">
        <f t="shared" si="1210"/>
        <v>902.29999999999711</v>
      </c>
      <c r="G594" s="1355">
        <f t="shared" si="1210"/>
        <v>1165.4000000000037</v>
      </c>
      <c r="H594" s="1052">
        <f t="shared" si="1210"/>
        <v>321.30000000000018</v>
      </c>
      <c r="I594" s="1052">
        <f t="shared" si="1210"/>
        <v>293.39999999999873</v>
      </c>
      <c r="J594" s="1052">
        <f t="shared" si="1210"/>
        <v>296.10000000000019</v>
      </c>
      <c r="K594" s="1052">
        <f t="shared" si="1210"/>
        <v>370.19999999999783</v>
      </c>
      <c r="L594" s="1355">
        <f t="shared" si="1210"/>
        <v>1280.9999999999977</v>
      </c>
      <c r="M594" s="1052">
        <f t="shared" si="1210"/>
        <v>295.6000000000007</v>
      </c>
      <c r="N594" s="1052">
        <f t="shared" si="1210"/>
        <v>368.50000000000108</v>
      </c>
      <c r="O594" s="1052">
        <f t="shared" si="1210"/>
        <v>286.50000000000182</v>
      </c>
      <c r="P594" s="1052">
        <f t="shared" si="1210"/>
        <v>349.89999999999577</v>
      </c>
      <c r="Q594" s="1355">
        <f t="shared" si="1210"/>
        <v>1300.4999999999986</v>
      </c>
      <c r="R594" s="1052">
        <f t="shared" si="1210"/>
        <v>258.69999999999874</v>
      </c>
      <c r="S594" s="1052">
        <f t="shared" si="1210"/>
        <v>194.90000000000109</v>
      </c>
      <c r="T594" s="1052">
        <f t="shared" si="1210"/>
        <v>205.50</v>
      </c>
      <c r="U594" s="1052">
        <f t="shared" si="1210"/>
        <v>398.10</v>
      </c>
      <c r="V594" s="1355">
        <f t="shared" si="1210"/>
        <v>1057.1999999999971</v>
      </c>
      <c r="W594" s="1052">
        <f t="shared" si="1210"/>
        <v>430.2999999999991</v>
      </c>
      <c r="X594" s="1052">
        <f t="shared" si="1210"/>
        <v>372.7000000000013</v>
      </c>
      <c r="Y594" s="1052">
        <f t="shared" si="1210"/>
        <v>214.80000000000055</v>
      </c>
      <c r="Z594" s="1052">
        <f t="shared" si="1210"/>
        <v>580.30000000000337</v>
      </c>
      <c r="AA594" s="1355">
        <f t="shared" si="1210"/>
        <v>1598.0999999999942</v>
      </c>
      <c r="AB594" s="1052">
        <f t="shared" si="1210"/>
        <v>729.80000000000018</v>
      </c>
      <c r="AC594" s="1052">
        <f t="shared" si="1210"/>
        <v>701.20000000000039</v>
      </c>
      <c r="AD594" s="1052">
        <f t="shared" si="1210"/>
        <v>930.20</v>
      </c>
      <c r="AE594" s="1052">
        <f t="shared" si="1210"/>
        <v>259.79999999999893</v>
      </c>
      <c r="AF594" s="1355">
        <f t="shared" si="1210"/>
        <v>2621.0000000000023</v>
      </c>
      <c r="AG594" s="1052">
        <f t="shared" si="1210"/>
        <v>1082.80</v>
      </c>
      <c r="AH594" s="1052">
        <f t="shared" si="1210"/>
        <v>978.99999999999852</v>
      </c>
      <c r="AI594" s="1052">
        <f t="shared" si="1210"/>
        <v>843.59999999999923</v>
      </c>
      <c r="AJ594" s="1052">
        <f t="shared" si="1210"/>
        <v>1074.6000000000015</v>
      </c>
      <c r="AK594" s="1355">
        <f t="shared" si="1210"/>
        <v>3979.9999999999955</v>
      </c>
      <c r="AL594" s="1052">
        <f t="shared" si="1210"/>
        <v>699.10000000000252</v>
      </c>
      <c r="AM594" s="1052">
        <f t="shared" si="1210"/>
        <v>1790.400000000001</v>
      </c>
      <c r="AN594" s="1052">
        <f t="shared" si="1211" ref="AN594:AU594">AN592-AN593</f>
        <v>1530.7999999999981</v>
      </c>
      <c r="AO594" s="1052">
        <f t="shared" si="1211"/>
        <v>1684.299999999999</v>
      </c>
      <c r="AP594" s="1355">
        <f t="shared" si="1211"/>
        <v>5704.5999999999967</v>
      </c>
      <c r="AQ594" s="1052">
        <f t="shared" si="1211"/>
        <v>1480.0000000000014</v>
      </c>
      <c r="AR594" s="1052">
        <f t="shared" si="1211"/>
        <v>790.10000000000252</v>
      </c>
      <c r="AS594" s="1052">
        <f t="shared" si="1211"/>
        <v>118.49999999999636</v>
      </c>
      <c r="AT594" s="1052">
        <f t="shared" si="1211"/>
        <v>962.29999999999416</v>
      </c>
      <c r="AU594" s="1355">
        <f t="shared" si="1211"/>
        <v>3350.90</v>
      </c>
      <c r="AV594" s="1052">
        <f t="shared" si="1212" ref="AV594:BJ594">AV592-AV593</f>
        <v>313.90000000000254</v>
      </c>
      <c r="AW594" s="1052">
        <f t="shared" si="1212"/>
        <v>-542.90000000000146</v>
      </c>
      <c r="AX594" s="1052">
        <f t="shared" si="1212"/>
        <v>124.10000000000181</v>
      </c>
      <c r="AY594" s="1052">
        <f t="shared" si="1212"/>
        <v>826.39999999999748</v>
      </c>
      <c r="AZ594" s="1355">
        <f t="shared" si="1212"/>
        <v>721.5000000000058</v>
      </c>
      <c r="BA594" s="1052">
        <f t="shared" si="1213" ref="BA594:BI594">BA592-BA593</f>
        <v>447.90000000000327</v>
      </c>
      <c r="BB594" s="1052">
        <f t="shared" si="1213"/>
        <v>345.40000000000072</v>
      </c>
      <c r="BC594" s="1052">
        <f t="shared" si="1213"/>
        <v>1121.299999999997</v>
      </c>
      <c r="BD594" s="1052">
        <f t="shared" si="1213"/>
        <v>1987.8000000000052</v>
      </c>
      <c r="BE594" s="1320">
        <f t="shared" si="1213"/>
        <v>3902.4000000000042</v>
      </c>
      <c r="BF594" s="1052">
        <f>BF592-BF593</f>
        <v>2331.3999999999978</v>
      </c>
      <c r="BG594" s="1052">
        <f>BG592-BG593</f>
        <v>1458.6999999999996</v>
      </c>
      <c r="BH594" s="1053">
        <f>BH592-BH593</f>
        <v>2333.4000000000069</v>
      </c>
      <c r="BI594" s="1054">
        <f t="shared" si="1213"/>
        <v>0</v>
      </c>
      <c r="BJ594" s="1356">
        <f t="shared" si="1212"/>
        <v>0</v>
      </c>
      <c r="BK594" s="1054">
        <f t="shared" si="1214" ref="BK594:BR594">BK592-BK593</f>
        <v>0</v>
      </c>
      <c r="BL594" s="1054">
        <f t="shared" si="1214"/>
        <v>0</v>
      </c>
      <c r="BM594" s="1054">
        <f t="shared" si="1214"/>
        <v>0</v>
      </c>
      <c r="BN594" s="1054">
        <f t="shared" si="1214"/>
        <v>0</v>
      </c>
      <c r="BO594" s="1356">
        <f t="shared" si="1214"/>
        <v>0</v>
      </c>
      <c r="BP594" s="1356">
        <f t="shared" si="1214"/>
        <v>0</v>
      </c>
      <c r="BQ594" s="1356">
        <f t="shared" si="1214"/>
        <v>0</v>
      </c>
      <c r="BR594" s="1356">
        <f t="shared" si="1214"/>
        <v>0</v>
      </c>
      <c r="BS594" s="648"/>
    </row>
    <row r="595" spans="1:71" s="665" customFormat="1" ht="15" hidden="1" outlineLevel="1">
      <c r="A595" s="371" t="s">
        <v>73</v>
      </c>
      <c r="B595" s="321"/>
      <c r="C595" s="1351"/>
      <c r="D595" s="1351"/>
      <c r="E595" s="1351"/>
      <c r="F595" s="1351"/>
      <c r="G595" s="1364">
        <v>0</v>
      </c>
      <c r="H595" s="1047"/>
      <c r="I595" s="1225">
        <v>0</v>
      </c>
      <c r="J595" s="1225">
        <v>0</v>
      </c>
      <c r="K595" s="1047">
        <f>L595-J595-I595-H595</f>
        <v>0</v>
      </c>
      <c r="L595" s="1364">
        <v>0</v>
      </c>
      <c r="M595" s="1225">
        <v>0</v>
      </c>
      <c r="N595" s="1225">
        <v>-5.20</v>
      </c>
      <c r="O595" s="1225">
        <v>-8.1999999999999993</v>
      </c>
      <c r="P595" s="1047">
        <f>Q595-O595-N595-M595</f>
        <v>-19.50</v>
      </c>
      <c r="Q595" s="1364">
        <v>-32.90</v>
      </c>
      <c r="R595" s="1225">
        <v>-0.50</v>
      </c>
      <c r="S595" s="1225">
        <v>-4</v>
      </c>
      <c r="T595" s="1225">
        <v>-6.80</v>
      </c>
      <c r="U595" s="1047">
        <f>V595-T595-S595-R595</f>
        <v>-14.90</v>
      </c>
      <c r="V595" s="1364">
        <v>-26.20</v>
      </c>
      <c r="W595" s="1225">
        <v>-6</v>
      </c>
      <c r="X595" s="1225">
        <v>-5.0999999999999996</v>
      </c>
      <c r="Y595" s="1225">
        <v>9.1999999999999993</v>
      </c>
      <c r="Z595" s="1047">
        <f>AA595-Y595-X595-W595</f>
        <v>-4</v>
      </c>
      <c r="AA595" s="1364">
        <v>-5.90</v>
      </c>
      <c r="AB595" s="1225">
        <v>-11.80</v>
      </c>
      <c r="AC595" s="1225">
        <v>3</v>
      </c>
      <c r="AD595" s="1225">
        <v>-1.80</v>
      </c>
      <c r="AE595" s="1047">
        <f>AF595-AD595-AC595-AB595</f>
        <v>4.9000000000000004</v>
      </c>
      <c r="AF595" s="1364">
        <v>-5.70</v>
      </c>
      <c r="AG595" s="1225">
        <v>-4.4000000000000004</v>
      </c>
      <c r="AH595" s="1225">
        <v>0.40</v>
      </c>
      <c r="AI595" s="1225">
        <v>-1.90</v>
      </c>
      <c r="AJ595" s="1047">
        <f>AK595-AI595-AH595-AG595</f>
        <v>-3.7999999999999989</v>
      </c>
      <c r="AK595" s="1364">
        <v>-9.6999999999999993</v>
      </c>
      <c r="AL595" s="1225">
        <v>-6.40</v>
      </c>
      <c r="AM595" s="1225">
        <v>0</v>
      </c>
      <c r="AN595" s="1225">
        <v>0</v>
      </c>
      <c r="AO595" s="1225">
        <v>0</v>
      </c>
      <c r="AP595" s="1364">
        <v>0</v>
      </c>
      <c r="AQ595" s="1225">
        <v>0</v>
      </c>
      <c r="AR595" s="1047"/>
      <c r="AS595" s="1225">
        <v>0</v>
      </c>
      <c r="AT595" s="1047"/>
      <c r="AU595" s="1351"/>
      <c r="AV595" s="1225">
        <v>0</v>
      </c>
      <c r="AW595" s="1047"/>
      <c r="AX595" s="1225">
        <v>0</v>
      </c>
      <c r="AY595" s="1047"/>
      <c r="AZ595" s="1351"/>
      <c r="BA595" s="1047"/>
      <c r="BB595" s="1047"/>
      <c r="BC595" s="1047"/>
      <c r="BD595" s="1047"/>
      <c r="BE595" s="1351"/>
      <c r="BF595" s="1047"/>
      <c r="BG595" s="1047"/>
      <c r="BH595" s="1048"/>
      <c r="BI595" s="1044"/>
      <c r="BJ595" s="1350"/>
      <c r="BK595" s="1044"/>
      <c r="BL595" s="1044"/>
      <c r="BM595" s="1044"/>
      <c r="BN595" s="1044"/>
      <c r="BO595" s="1350"/>
      <c r="BP595" s="1351"/>
      <c r="BQ595" s="1351"/>
      <c r="BR595" s="1350"/>
      <c r="BS595" s="648"/>
    </row>
    <row r="596" spans="1:71" s="668" customFormat="1" ht="15" hidden="1" outlineLevel="1">
      <c r="A596" s="42" t="s">
        <v>74</v>
      </c>
      <c r="B596" s="410"/>
      <c r="C596" s="1355">
        <f t="shared" si="1215" ref="C596:AM596">C594+C595</f>
        <v>1057.4999999999995</v>
      </c>
      <c r="D596" s="1355">
        <f t="shared" si="1215"/>
        <v>1068.3000000000025</v>
      </c>
      <c r="E596" s="1355">
        <f t="shared" si="1215"/>
        <v>1015.4999999999982</v>
      </c>
      <c r="F596" s="1355">
        <f t="shared" si="1215"/>
        <v>902.29999999999711</v>
      </c>
      <c r="G596" s="1355">
        <f t="shared" si="1215"/>
        <v>1165.4000000000037</v>
      </c>
      <c r="H596" s="1052">
        <f t="shared" si="1215"/>
        <v>321.30000000000018</v>
      </c>
      <c r="I596" s="1052">
        <f t="shared" si="1215"/>
        <v>293.39999999999873</v>
      </c>
      <c r="J596" s="1052">
        <f t="shared" si="1215"/>
        <v>296.10000000000019</v>
      </c>
      <c r="K596" s="1052">
        <f t="shared" si="1215"/>
        <v>370.19999999999783</v>
      </c>
      <c r="L596" s="1355">
        <f t="shared" si="1215"/>
        <v>1280.9999999999977</v>
      </c>
      <c r="M596" s="1052">
        <f t="shared" si="1215"/>
        <v>295.6000000000007</v>
      </c>
      <c r="N596" s="1052">
        <f t="shared" si="1215"/>
        <v>363.30000000000109</v>
      </c>
      <c r="O596" s="1052">
        <f t="shared" si="1215"/>
        <v>278.30000000000183</v>
      </c>
      <c r="P596" s="1052">
        <f t="shared" si="1215"/>
        <v>330.39999999999577</v>
      </c>
      <c r="Q596" s="1355">
        <f t="shared" si="1215"/>
        <v>1267.5999999999985</v>
      </c>
      <c r="R596" s="1052">
        <f t="shared" si="1215"/>
        <v>258.19999999999874</v>
      </c>
      <c r="S596" s="1052">
        <f t="shared" si="1215"/>
        <v>190.90000000000109</v>
      </c>
      <c r="T596" s="1052">
        <f t="shared" si="1215"/>
        <v>198.70</v>
      </c>
      <c r="U596" s="1052">
        <f t="shared" si="1215"/>
        <v>383.20</v>
      </c>
      <c r="V596" s="1355">
        <f t="shared" si="1215"/>
        <v>1030.999999999997</v>
      </c>
      <c r="W596" s="1052">
        <f t="shared" si="1215"/>
        <v>424.2999999999991</v>
      </c>
      <c r="X596" s="1052">
        <f t="shared" si="1215"/>
        <v>367.60000000000127</v>
      </c>
      <c r="Y596" s="1052">
        <f t="shared" si="1215"/>
        <v>224.00000000000054</v>
      </c>
      <c r="Z596" s="1052">
        <f t="shared" si="1215"/>
        <v>576.30000000000337</v>
      </c>
      <c r="AA596" s="1355">
        <f t="shared" si="1215"/>
        <v>1592.1999999999941</v>
      </c>
      <c r="AB596" s="1052">
        <f t="shared" si="1215"/>
        <v>718.00000000000023</v>
      </c>
      <c r="AC596" s="1052">
        <f t="shared" si="1215"/>
        <v>704.20000000000039</v>
      </c>
      <c r="AD596" s="1052">
        <f t="shared" si="1215"/>
        <v>928.40000000000009</v>
      </c>
      <c r="AE596" s="1052">
        <f t="shared" si="1215"/>
        <v>264.69999999999891</v>
      </c>
      <c r="AF596" s="1355">
        <f t="shared" si="1215"/>
        <v>2615.3000000000025</v>
      </c>
      <c r="AG596" s="1052">
        <f t="shared" si="1215"/>
        <v>1078.3999999999999</v>
      </c>
      <c r="AH596" s="1052">
        <f t="shared" si="1215"/>
        <v>979.3999999999985</v>
      </c>
      <c r="AI596" s="1052">
        <f t="shared" si="1215"/>
        <v>841.69999999999925</v>
      </c>
      <c r="AJ596" s="1052">
        <f t="shared" si="1215"/>
        <v>1070.8000000000015</v>
      </c>
      <c r="AK596" s="1355">
        <f t="shared" si="1215"/>
        <v>3970.2999999999956</v>
      </c>
      <c r="AL596" s="1052">
        <f t="shared" si="1215"/>
        <v>692.70000000000255</v>
      </c>
      <c r="AM596" s="1052">
        <f t="shared" si="1215"/>
        <v>1790.400000000001</v>
      </c>
      <c r="AN596" s="1052">
        <f t="shared" si="1216" ref="AN596:AU596">AN594+AN595</f>
        <v>1530.7999999999981</v>
      </c>
      <c r="AO596" s="1052">
        <f t="shared" si="1216"/>
        <v>1684.299999999999</v>
      </c>
      <c r="AP596" s="1355">
        <f t="shared" si="1216"/>
        <v>5704.5999999999967</v>
      </c>
      <c r="AQ596" s="1052">
        <f t="shared" si="1216"/>
        <v>1480.0000000000014</v>
      </c>
      <c r="AR596" s="1052">
        <f t="shared" si="1216"/>
        <v>790.10000000000252</v>
      </c>
      <c r="AS596" s="1052">
        <f t="shared" si="1216"/>
        <v>118.49999999999636</v>
      </c>
      <c r="AT596" s="1052">
        <f t="shared" si="1216"/>
        <v>962.29999999999416</v>
      </c>
      <c r="AU596" s="1355">
        <f t="shared" si="1216"/>
        <v>3350.90</v>
      </c>
      <c r="AV596" s="1052">
        <f t="shared" si="1217" ref="AV596:BJ596">AV594+AV595</f>
        <v>313.90000000000254</v>
      </c>
      <c r="AW596" s="1052">
        <f t="shared" si="1217"/>
        <v>-542.90000000000146</v>
      </c>
      <c r="AX596" s="1052">
        <f t="shared" si="1217"/>
        <v>124.10000000000181</v>
      </c>
      <c r="AY596" s="1052">
        <f t="shared" si="1217"/>
        <v>826.39999999999748</v>
      </c>
      <c r="AZ596" s="1355">
        <f t="shared" si="1217"/>
        <v>721.5000000000058</v>
      </c>
      <c r="BA596" s="1052">
        <f t="shared" si="1218" ref="BA596:BI596">BA594+BA595</f>
        <v>447.90000000000327</v>
      </c>
      <c r="BB596" s="1052">
        <f t="shared" si="1218"/>
        <v>345.40000000000072</v>
      </c>
      <c r="BC596" s="1052">
        <f t="shared" si="1218"/>
        <v>1121.299999999997</v>
      </c>
      <c r="BD596" s="1052">
        <f t="shared" si="1218"/>
        <v>1987.8000000000052</v>
      </c>
      <c r="BE596" s="1355">
        <f t="shared" si="1218"/>
        <v>3902.4000000000042</v>
      </c>
      <c r="BF596" s="1052">
        <f>BF594+BF595</f>
        <v>2331.3999999999978</v>
      </c>
      <c r="BG596" s="1052">
        <f>BG594+BG595</f>
        <v>1458.6999999999996</v>
      </c>
      <c r="BH596" s="1053">
        <f>BH594+BH595</f>
        <v>2333.4000000000069</v>
      </c>
      <c r="BI596" s="1054">
        <f t="shared" si="1218"/>
        <v>0</v>
      </c>
      <c r="BJ596" s="1356">
        <f t="shared" si="1217"/>
        <v>0</v>
      </c>
      <c r="BK596" s="1054">
        <f t="shared" si="1219" ref="BK596:BR596">BK594+BK595</f>
        <v>0</v>
      </c>
      <c r="BL596" s="1054">
        <f t="shared" si="1219"/>
        <v>0</v>
      </c>
      <c r="BM596" s="1054">
        <f t="shared" si="1219"/>
        <v>0</v>
      </c>
      <c r="BN596" s="1054">
        <f t="shared" si="1219"/>
        <v>0</v>
      </c>
      <c r="BO596" s="1356">
        <f t="shared" si="1219"/>
        <v>0</v>
      </c>
      <c r="BP596" s="1356">
        <f t="shared" si="1219"/>
        <v>0</v>
      </c>
      <c r="BQ596" s="1356">
        <f t="shared" si="1219"/>
        <v>0</v>
      </c>
      <c r="BR596" s="1356">
        <f t="shared" si="1219"/>
        <v>0</v>
      </c>
      <c r="BS596" s="648"/>
    </row>
    <row r="597" spans="1:71" s="665" customFormat="1" ht="15" hidden="1" outlineLevel="1">
      <c r="A597" s="371" t="s">
        <v>75</v>
      </c>
      <c r="B597" s="321"/>
      <c r="C597" s="1351"/>
      <c r="D597" s="1351"/>
      <c r="E597" s="1351"/>
      <c r="F597" s="1351"/>
      <c r="G597" s="1351"/>
      <c r="H597" s="1047"/>
      <c r="I597" s="1047"/>
      <c r="J597" s="1047"/>
      <c r="K597" s="1047">
        <f>L597-J597-I597-H597</f>
        <v>0</v>
      </c>
      <c r="L597" s="1351"/>
      <c r="M597" s="1047"/>
      <c r="N597" s="1047"/>
      <c r="O597" s="1047"/>
      <c r="P597" s="1047">
        <f>Q597-O597-N597-M597</f>
        <v>0</v>
      </c>
      <c r="Q597" s="1351"/>
      <c r="R597" s="1047"/>
      <c r="S597" s="1047"/>
      <c r="T597" s="1047"/>
      <c r="U597" s="1047">
        <f>V597-T597-S597-R597</f>
        <v>0</v>
      </c>
      <c r="V597" s="1351"/>
      <c r="W597" s="1047"/>
      <c r="X597" s="1047"/>
      <c r="Y597" s="1047"/>
      <c r="Z597" s="1047">
        <f>AA597-Y597-X597-W597</f>
        <v>0</v>
      </c>
      <c r="AA597" s="1351"/>
      <c r="AB597" s="1225">
        <v>1.20</v>
      </c>
      <c r="AC597" s="1225">
        <v>6.70</v>
      </c>
      <c r="AD597" s="1225">
        <v>6.70</v>
      </c>
      <c r="AE597" s="1047">
        <f>AF597-AD597-AC597-AB597</f>
        <v>6.7999999999999989</v>
      </c>
      <c r="AF597" s="1364">
        <v>21.40</v>
      </c>
      <c r="AG597" s="1225">
        <v>6.70</v>
      </c>
      <c r="AH597" s="1225">
        <v>6.70</v>
      </c>
      <c r="AI597" s="1225">
        <v>6.70</v>
      </c>
      <c r="AJ597" s="1047">
        <f>AK597-AI597-AH597-AG597</f>
        <v>6.80</v>
      </c>
      <c r="AK597" s="1364">
        <v>26.90</v>
      </c>
      <c r="AL597" s="1225">
        <v>6.70</v>
      </c>
      <c r="AM597" s="1042">
        <f>13.4-AL597</f>
        <v>6.70</v>
      </c>
      <c r="AN597" s="1225">
        <v>6.70</v>
      </c>
      <c r="AO597" s="1047">
        <f>AP597-AN597-AM597-AL597</f>
        <v>6.80</v>
      </c>
      <c r="AP597" s="1364">
        <v>26.90</v>
      </c>
      <c r="AQ597" s="1225">
        <v>6.70</v>
      </c>
      <c r="AR597" s="1042">
        <f>13.4-AQ597</f>
        <v>6.70</v>
      </c>
      <c r="AS597" s="1225">
        <v>6.70</v>
      </c>
      <c r="AT597" s="1047">
        <f>AU597-AS597-AR597-AQ597</f>
        <v>6.80</v>
      </c>
      <c r="AU597" s="1364">
        <v>26.90</v>
      </c>
      <c r="AV597" s="1225">
        <v>6.70</v>
      </c>
      <c r="AW597" s="1042">
        <f>13.4-AV597</f>
        <v>6.70</v>
      </c>
      <c r="AX597" s="1225">
        <v>6.70</v>
      </c>
      <c r="AY597" s="1047">
        <f>AZ597-AX597-AW597-AV597</f>
        <v>6.80</v>
      </c>
      <c r="AZ597" s="1364">
        <v>26.90</v>
      </c>
      <c r="BA597" s="1225">
        <v>7.30</v>
      </c>
      <c r="BB597" s="1042">
        <f>16.8-BA597</f>
        <v>9.50</v>
      </c>
      <c r="BC597" s="1225">
        <v>10.40</v>
      </c>
      <c r="BD597" s="1029">
        <f>BE597-BC597-BB597-BA597</f>
        <v>10.400000000000002</v>
      </c>
      <c r="BE597" s="1364">
        <v>37.60</v>
      </c>
      <c r="BF597" s="1225">
        <v>17</v>
      </c>
      <c r="BG597" s="1042">
        <f>17-BF597</f>
        <v>0</v>
      </c>
      <c r="BH597" s="1043">
        <f>17-BG597-BF597</f>
        <v>0</v>
      </c>
      <c r="BI597" s="1044"/>
      <c r="BJ597" s="1350"/>
      <c r="BK597" s="1044"/>
      <c r="BL597" s="1044"/>
      <c r="BM597" s="1044"/>
      <c r="BN597" s="1044"/>
      <c r="BO597" s="1350"/>
      <c r="BP597" s="1351"/>
      <c r="BQ597" s="1351"/>
      <c r="BR597" s="1350"/>
      <c r="BS597" s="648"/>
    </row>
    <row r="598" spans="1:71" s="668" customFormat="1" ht="15" hidden="1" outlineLevel="1">
      <c r="A598" s="42" t="s">
        <v>76</v>
      </c>
      <c r="B598" s="410"/>
      <c r="C598" s="1355">
        <f t="shared" si="1220" ref="C598:AM598">C596-C597</f>
        <v>1057.4999999999995</v>
      </c>
      <c r="D598" s="1355">
        <f t="shared" si="1220"/>
        <v>1068.3000000000025</v>
      </c>
      <c r="E598" s="1355">
        <f t="shared" si="1220"/>
        <v>1015.4999999999982</v>
      </c>
      <c r="F598" s="1355">
        <f t="shared" si="1220"/>
        <v>902.29999999999711</v>
      </c>
      <c r="G598" s="1355">
        <f t="shared" si="1220"/>
        <v>1165.4000000000037</v>
      </c>
      <c r="H598" s="1052">
        <f t="shared" si="1220"/>
        <v>321.30000000000018</v>
      </c>
      <c r="I598" s="1052">
        <f t="shared" si="1220"/>
        <v>293.39999999999873</v>
      </c>
      <c r="J598" s="1052">
        <f t="shared" si="1220"/>
        <v>296.10000000000019</v>
      </c>
      <c r="K598" s="1052">
        <f t="shared" si="1220"/>
        <v>370.19999999999783</v>
      </c>
      <c r="L598" s="1355">
        <f t="shared" si="1220"/>
        <v>1280.9999999999977</v>
      </c>
      <c r="M598" s="1052">
        <f t="shared" si="1220"/>
        <v>295.6000000000007</v>
      </c>
      <c r="N598" s="1052">
        <f t="shared" si="1220"/>
        <v>363.30000000000109</v>
      </c>
      <c r="O598" s="1052">
        <f t="shared" si="1220"/>
        <v>278.30000000000183</v>
      </c>
      <c r="P598" s="1052">
        <f t="shared" si="1220"/>
        <v>330.39999999999577</v>
      </c>
      <c r="Q598" s="1355">
        <f t="shared" si="1220"/>
        <v>1267.5999999999985</v>
      </c>
      <c r="R598" s="1052">
        <f t="shared" si="1220"/>
        <v>258.19999999999874</v>
      </c>
      <c r="S598" s="1052">
        <f t="shared" si="1220"/>
        <v>190.90000000000109</v>
      </c>
      <c r="T598" s="1052">
        <f t="shared" si="1220"/>
        <v>198.70</v>
      </c>
      <c r="U598" s="1052">
        <f t="shared" si="1220"/>
        <v>383.20</v>
      </c>
      <c r="V598" s="1355">
        <f t="shared" si="1220"/>
        <v>1030.999999999997</v>
      </c>
      <c r="W598" s="1052">
        <f t="shared" si="1220"/>
        <v>424.2999999999991</v>
      </c>
      <c r="X598" s="1052">
        <f t="shared" si="1220"/>
        <v>367.60000000000127</v>
      </c>
      <c r="Y598" s="1052">
        <f t="shared" si="1220"/>
        <v>224.00000000000054</v>
      </c>
      <c r="Z598" s="1052">
        <f t="shared" si="1220"/>
        <v>576.30000000000337</v>
      </c>
      <c r="AA598" s="1355">
        <f t="shared" si="1220"/>
        <v>1592.1999999999941</v>
      </c>
      <c r="AB598" s="1052">
        <f t="shared" si="1220"/>
        <v>716.80000000000018</v>
      </c>
      <c r="AC598" s="1052">
        <f t="shared" si="1220"/>
        <v>697.50000000000034</v>
      </c>
      <c r="AD598" s="1052">
        <f t="shared" si="1220"/>
        <v>921.70</v>
      </c>
      <c r="AE598" s="1052">
        <f t="shared" si="1220"/>
        <v>257.8999999999989</v>
      </c>
      <c r="AF598" s="1355">
        <f t="shared" si="1220"/>
        <v>2593.9000000000024</v>
      </c>
      <c r="AG598" s="1052">
        <f t="shared" si="1220"/>
        <v>1071.6999999999998</v>
      </c>
      <c r="AH598" s="1052">
        <f t="shared" si="1220"/>
        <v>972.69999999999845</v>
      </c>
      <c r="AI598" s="1052">
        <f t="shared" si="1220"/>
        <v>834.9999999999992</v>
      </c>
      <c r="AJ598" s="1052">
        <f t="shared" si="1220"/>
        <v>1064.0000000000016</v>
      </c>
      <c r="AK598" s="1355">
        <f t="shared" si="1220"/>
        <v>3943.3999999999955</v>
      </c>
      <c r="AL598" s="1052">
        <f t="shared" si="1220"/>
        <v>686.0000000000025</v>
      </c>
      <c r="AM598" s="1052">
        <f t="shared" si="1220"/>
        <v>1783.700000000001</v>
      </c>
      <c r="AN598" s="1052">
        <f t="shared" si="1221" ref="AN598:AU598">AN596-AN597</f>
        <v>1524.0999999999981</v>
      </c>
      <c r="AO598" s="1052">
        <f t="shared" si="1221"/>
        <v>1677.4999999999991</v>
      </c>
      <c r="AP598" s="1355">
        <f t="shared" si="1221"/>
        <v>5677.6999999999971</v>
      </c>
      <c r="AQ598" s="1052">
        <f t="shared" si="1221"/>
        <v>1473.3000000000013</v>
      </c>
      <c r="AR598" s="1052">
        <f t="shared" si="1221"/>
        <v>783.40000000000248</v>
      </c>
      <c r="AS598" s="1052">
        <f t="shared" si="1221"/>
        <v>111.79999999999636</v>
      </c>
      <c r="AT598" s="1052">
        <f t="shared" si="1221"/>
        <v>955.4999999999942</v>
      </c>
      <c r="AU598" s="1355">
        <f t="shared" si="1221"/>
        <v>3324</v>
      </c>
      <c r="AV598" s="1052">
        <f t="shared" si="1222" ref="AV598:BJ598">AV596-AV597</f>
        <v>307.20000000000255</v>
      </c>
      <c r="AW598" s="1052">
        <f t="shared" si="1222"/>
        <v>-549.6000000000015</v>
      </c>
      <c r="AX598" s="1052">
        <f t="shared" si="1222"/>
        <v>117.40000000000181</v>
      </c>
      <c r="AY598" s="1052">
        <f t="shared" si="1222"/>
        <v>819.59999999999752</v>
      </c>
      <c r="AZ598" s="1355">
        <f t="shared" si="1222"/>
        <v>694.60000000000582</v>
      </c>
      <c r="BA598" s="1052">
        <f t="shared" si="1223" ref="BA598:BI598">BA596-BA597</f>
        <v>440.60000000000326</v>
      </c>
      <c r="BB598" s="1052">
        <f t="shared" si="1223"/>
        <v>335.90000000000072</v>
      </c>
      <c r="BC598" s="1052">
        <f t="shared" si="1223"/>
        <v>1110.8999999999969</v>
      </c>
      <c r="BD598" s="1021">
        <f t="shared" si="1223"/>
        <v>1977.4000000000051</v>
      </c>
      <c r="BE598" s="1355">
        <f t="shared" si="1223"/>
        <v>3864.8000000000043</v>
      </c>
      <c r="BF598" s="1052">
        <f>BF596-BF597</f>
        <v>2314.3999999999978</v>
      </c>
      <c r="BG598" s="1052">
        <f>BG596-BG597</f>
        <v>1458.6999999999996</v>
      </c>
      <c r="BH598" s="1053">
        <f>BH596-BH597</f>
        <v>2333.4000000000069</v>
      </c>
      <c r="BI598" s="1054">
        <f t="shared" si="1223"/>
        <v>0</v>
      </c>
      <c r="BJ598" s="1356">
        <f t="shared" si="1222"/>
        <v>0</v>
      </c>
      <c r="BK598" s="1054">
        <f t="shared" si="1224" ref="BK598:BR598">BK596-BK597</f>
        <v>0</v>
      </c>
      <c r="BL598" s="1054">
        <f t="shared" si="1224"/>
        <v>0</v>
      </c>
      <c r="BM598" s="1054">
        <f t="shared" si="1224"/>
        <v>0</v>
      </c>
      <c r="BN598" s="1054">
        <f t="shared" si="1224"/>
        <v>0</v>
      </c>
      <c r="BO598" s="1356">
        <f t="shared" si="1224"/>
        <v>0</v>
      </c>
      <c r="BP598" s="1356">
        <f t="shared" si="1224"/>
        <v>0</v>
      </c>
      <c r="BQ598" s="1356">
        <f t="shared" si="1224"/>
        <v>0</v>
      </c>
      <c r="BR598" s="1356">
        <f t="shared" si="1224"/>
        <v>0</v>
      </c>
      <c r="BS598" s="648"/>
    </row>
    <row r="599" spans="1:71" s="665" customFormat="1" ht="15" hidden="1" outlineLevel="1">
      <c r="A599" s="999"/>
      <c r="B599" s="321"/>
      <c r="C599" s="1351"/>
      <c r="D599" s="1351"/>
      <c r="E599" s="1351"/>
      <c r="F599" s="1351"/>
      <c r="G599" s="1351"/>
      <c r="H599" s="1047"/>
      <c r="I599" s="1047"/>
      <c r="J599" s="1047"/>
      <c r="K599" s="1047"/>
      <c r="L599" s="1351"/>
      <c r="M599" s="1047"/>
      <c r="N599" s="1047"/>
      <c r="O599" s="1047"/>
      <c r="P599" s="1047"/>
      <c r="Q599" s="1351"/>
      <c r="R599" s="1047"/>
      <c r="S599" s="1047"/>
      <c r="T599" s="1047"/>
      <c r="U599" s="1047"/>
      <c r="V599" s="1351"/>
      <c r="W599" s="1047"/>
      <c r="X599" s="1047"/>
      <c r="Y599" s="1047"/>
      <c r="Z599" s="1047"/>
      <c r="AA599" s="1351"/>
      <c r="AB599" s="1047"/>
      <c r="AC599" s="1047"/>
      <c r="AD599" s="1047"/>
      <c r="AE599" s="1047"/>
      <c r="AF599" s="1351"/>
      <c r="AG599" s="1047"/>
      <c r="AH599" s="1047"/>
      <c r="AI599" s="1047"/>
      <c r="AJ599" s="1047"/>
      <c r="AK599" s="1351"/>
      <c r="AL599" s="1047"/>
      <c r="AM599" s="1047"/>
      <c r="AN599" s="1047"/>
      <c r="AO599" s="1047"/>
      <c r="AP599" s="1351"/>
      <c r="AQ599" s="1047"/>
      <c r="AR599" s="1047"/>
      <c r="AS599" s="1047"/>
      <c r="AT599" s="1047"/>
      <c r="AU599" s="1351"/>
      <c r="AV599" s="1047"/>
      <c r="AW599" s="1047"/>
      <c r="AX599" s="1047"/>
      <c r="AY599" s="1047"/>
      <c r="AZ599" s="1351"/>
      <c r="BA599" s="1047"/>
      <c r="BB599" s="1047"/>
      <c r="BC599" s="1047"/>
      <c r="BD599" s="1047"/>
      <c r="BE599" s="1351"/>
      <c r="BF599" s="1047"/>
      <c r="BG599" s="1047"/>
      <c r="BH599" s="1048"/>
      <c r="BI599" s="1044"/>
      <c r="BJ599" s="1350"/>
      <c r="BK599" s="1044"/>
      <c r="BL599" s="1044"/>
      <c r="BM599" s="1044"/>
      <c r="BN599" s="1044"/>
      <c r="BO599" s="1350"/>
      <c r="BP599" s="1351"/>
      <c r="BQ599" s="1351"/>
      <c r="BR599" s="1350"/>
      <c r="BS599" s="648"/>
    </row>
    <row r="600" spans="1:71" s="665" customFormat="1" ht="15" hidden="1" outlineLevel="1">
      <c r="A600" s="17" t="s">
        <v>77</v>
      </c>
      <c r="B600" s="17"/>
      <c r="C600" s="1166">
        <f t="shared" si="1225" ref="C600:AH600">IF(ISBLANK(INDEX(MO_IS_FirstRow,0,COLUMN())),0,ROUND(C594-C802,6))</f>
        <v>0</v>
      </c>
      <c r="D600" s="1166">
        <f t="shared" si="1225"/>
        <v>0</v>
      </c>
      <c r="E600" s="1166">
        <f t="shared" si="1225"/>
        <v>0</v>
      </c>
      <c r="F600" s="1166">
        <f t="shared" si="1225"/>
        <v>0</v>
      </c>
      <c r="G600" s="1166">
        <f t="shared" si="1225"/>
        <v>0</v>
      </c>
      <c r="H600" s="1166">
        <f t="shared" si="1225"/>
        <v>0</v>
      </c>
      <c r="I600" s="1166">
        <f t="shared" si="1225"/>
        <v>0</v>
      </c>
      <c r="J600" s="1166">
        <f t="shared" si="1225"/>
        <v>0</v>
      </c>
      <c r="K600" s="1166">
        <f t="shared" si="1225"/>
        <v>0</v>
      </c>
      <c r="L600" s="1166">
        <f t="shared" si="1225"/>
        <v>0</v>
      </c>
      <c r="M600" s="1166">
        <f t="shared" si="1225"/>
        <v>0</v>
      </c>
      <c r="N600" s="1166">
        <f t="shared" si="1225"/>
        <v>0</v>
      </c>
      <c r="O600" s="1166">
        <f t="shared" si="1225"/>
        <v>0</v>
      </c>
      <c r="P600" s="1166">
        <f t="shared" si="1225"/>
        <v>0</v>
      </c>
      <c r="Q600" s="1166">
        <f t="shared" si="1225"/>
        <v>0</v>
      </c>
      <c r="R600" s="1166">
        <f t="shared" si="1225"/>
        <v>0</v>
      </c>
      <c r="S600" s="1166">
        <f t="shared" si="1225"/>
        <v>0</v>
      </c>
      <c r="T600" s="1166">
        <f t="shared" si="1225"/>
        <v>0</v>
      </c>
      <c r="U600" s="1166">
        <f t="shared" si="1225"/>
        <v>0</v>
      </c>
      <c r="V600" s="1166">
        <f t="shared" si="1225"/>
        <v>0</v>
      </c>
      <c r="W600" s="1166">
        <f t="shared" si="1225"/>
        <v>0</v>
      </c>
      <c r="X600" s="1166">
        <f t="shared" si="1225"/>
        <v>0</v>
      </c>
      <c r="Y600" s="1166">
        <f t="shared" si="1225"/>
        <v>0</v>
      </c>
      <c r="Z600" s="1166">
        <f t="shared" si="1225"/>
        <v>0</v>
      </c>
      <c r="AA600" s="1166">
        <f t="shared" si="1225"/>
        <v>0</v>
      </c>
      <c r="AB600" s="1166">
        <f t="shared" si="1225"/>
        <v>0</v>
      </c>
      <c r="AC600" s="1166">
        <f t="shared" si="1225"/>
        <v>0</v>
      </c>
      <c r="AD600" s="1166">
        <f t="shared" si="1225"/>
        <v>0</v>
      </c>
      <c r="AE600" s="1166">
        <f t="shared" si="1225"/>
        <v>0</v>
      </c>
      <c r="AF600" s="1166">
        <f t="shared" si="1225"/>
        <v>0</v>
      </c>
      <c r="AG600" s="1166">
        <f t="shared" si="1225"/>
        <v>0</v>
      </c>
      <c r="AH600" s="1166">
        <f t="shared" si="1225"/>
        <v>0</v>
      </c>
      <c r="AI600" s="1166">
        <f t="shared" si="1226" ref="AI600:BA600">IF(ISBLANK(INDEX(MO_IS_FirstRow,0,COLUMN())),0,ROUND(AI594-AI802,6))</f>
        <v>0</v>
      </c>
      <c r="AJ600" s="1166">
        <f t="shared" si="1226"/>
        <v>0</v>
      </c>
      <c r="AK600" s="1166">
        <f t="shared" si="1226"/>
        <v>0</v>
      </c>
      <c r="AL600" s="1166">
        <f t="shared" si="1226"/>
        <v>0</v>
      </c>
      <c r="AM600" s="1166">
        <f t="shared" si="1226"/>
        <v>0</v>
      </c>
      <c r="AN600" s="1166">
        <f t="shared" si="1226"/>
        <v>0</v>
      </c>
      <c r="AO600" s="1166">
        <f t="shared" si="1226"/>
        <v>0</v>
      </c>
      <c r="AP600" s="1166">
        <f t="shared" si="1226"/>
        <v>0</v>
      </c>
      <c r="AQ600" s="1166">
        <f t="shared" si="1226"/>
        <v>0</v>
      </c>
      <c r="AR600" s="1166">
        <f t="shared" si="1226"/>
        <v>0</v>
      </c>
      <c r="AS600" s="1166">
        <f t="shared" si="1226"/>
        <v>0</v>
      </c>
      <c r="AT600" s="1166">
        <f t="shared" si="1226"/>
        <v>0</v>
      </c>
      <c r="AU600" s="1166">
        <f t="shared" si="1226"/>
        <v>0</v>
      </c>
      <c r="AV600" s="1166">
        <f t="shared" si="1226"/>
        <v>0</v>
      </c>
      <c r="AW600" s="1166">
        <f t="shared" si="1226"/>
        <v>0</v>
      </c>
      <c r="AX600" s="1166">
        <f t="shared" si="1227" ref="AX600">IF(ISBLANK(INDEX(MO_IS_FirstRow,0,COLUMN())),0,ROUND(AX594-AX802,6))</f>
        <v>0</v>
      </c>
      <c r="AY600" s="1166">
        <f>IF(ISBLANK(INDEX(MO_IS_FirstRow,0,COLUMN())),0,ROUND(AY594-AY802,6))</f>
        <v>0</v>
      </c>
      <c r="AZ600" s="1166">
        <f>IF(ISBLANK(INDEX(MO_IS_FirstRow,0,COLUMN())),0,ROUND(AZ594-AZ802,6))</f>
        <v>0</v>
      </c>
      <c r="BA600" s="1166">
        <f t="shared" si="1226"/>
        <v>0</v>
      </c>
      <c r="BB600" s="1166">
        <f t="shared" si="1228" ref="BB600:BR600">IF(ISBLANK(INDEX(MO_IS_FirstRow,0,COLUMN())),0,ROUND(BB594-BB802,6))</f>
        <v>0</v>
      </c>
      <c r="BC600" s="1166">
        <f t="shared" si="1228"/>
        <v>0</v>
      </c>
      <c r="BD600" s="1166">
        <f t="shared" si="1228"/>
        <v>0</v>
      </c>
      <c r="BE600" s="1166">
        <f t="shared" si="1228"/>
        <v>0</v>
      </c>
      <c r="BF600" s="1166">
        <f>IF(ISBLANK(INDEX(MO_IS_FirstRow,0,COLUMN())),0,ROUND(BF594-BF802,6))</f>
        <v>0</v>
      </c>
      <c r="BG600" s="1166">
        <f>IF(ISBLANK(INDEX(MO_IS_FirstRow,0,COLUMN())),0,ROUND(BG594-BG802,6))</f>
        <v>0</v>
      </c>
      <c r="BH600" s="1167">
        <f>IF(ISBLANK(INDEX(MO_IS_FirstRow,0,COLUMN())),0,ROUND(BH594-BH802,6))</f>
        <v>0</v>
      </c>
      <c r="BI600" s="1168">
        <f t="shared" si="1228"/>
        <v>0</v>
      </c>
      <c r="BJ600" s="1168">
        <f t="shared" si="1228"/>
        <v>0</v>
      </c>
      <c r="BK600" s="1168">
        <f t="shared" si="1228"/>
        <v>0</v>
      </c>
      <c r="BL600" s="1168">
        <f t="shared" si="1228"/>
        <v>0</v>
      </c>
      <c r="BM600" s="1168">
        <f t="shared" si="1228"/>
        <v>0</v>
      </c>
      <c r="BN600" s="1168">
        <f t="shared" si="1228"/>
        <v>0</v>
      </c>
      <c r="BO600" s="1168">
        <f t="shared" si="1228"/>
        <v>0</v>
      </c>
      <c r="BP600" s="1166">
        <f t="shared" si="1228"/>
        <v>0</v>
      </c>
      <c r="BQ600" s="1166">
        <f t="shared" si="1228"/>
        <v>0</v>
      </c>
      <c r="BR600" s="1168">
        <f t="shared" si="1228"/>
        <v>0</v>
      </c>
      <c r="BS600" s="648"/>
    </row>
    <row r="601" spans="1:71" s="665" customFormat="1" ht="15" collapsed="1">
      <c r="A601" s="999"/>
      <c r="B601" s="321"/>
      <c r="C601" s="1351"/>
      <c r="D601" s="1351"/>
      <c r="E601" s="1351"/>
      <c r="F601" s="1351"/>
      <c r="G601" s="1351"/>
      <c r="H601" s="1047"/>
      <c r="I601" s="1047"/>
      <c r="J601" s="1047"/>
      <c r="K601" s="1047"/>
      <c r="L601" s="1351"/>
      <c r="M601" s="1047"/>
      <c r="N601" s="1047"/>
      <c r="O601" s="1047"/>
      <c r="P601" s="1047"/>
      <c r="Q601" s="1351"/>
      <c r="R601" s="1047"/>
      <c r="S601" s="1047"/>
      <c r="T601" s="1047"/>
      <c r="U601" s="1047"/>
      <c r="V601" s="1351"/>
      <c r="W601" s="1047"/>
      <c r="X601" s="1047"/>
      <c r="Y601" s="1047"/>
      <c r="Z601" s="1047"/>
      <c r="AA601" s="1351"/>
      <c r="AB601" s="1047"/>
      <c r="AC601" s="1047"/>
      <c r="AD601" s="1047"/>
      <c r="AE601" s="1047"/>
      <c r="AF601" s="1351"/>
      <c r="AG601" s="1047"/>
      <c r="AH601" s="1047"/>
      <c r="AI601" s="1047"/>
      <c r="AJ601" s="1047"/>
      <c r="AK601" s="1351"/>
      <c r="AL601" s="1047"/>
      <c r="AM601" s="1047"/>
      <c r="AN601" s="1047"/>
      <c r="AO601" s="1047"/>
      <c r="AP601" s="1351"/>
      <c r="AQ601" s="1047"/>
      <c r="AR601" s="1047"/>
      <c r="AS601" s="1047"/>
      <c r="AT601" s="1047"/>
      <c r="AU601" s="1351"/>
      <c r="AV601" s="1047"/>
      <c r="AW601" s="1047"/>
      <c r="AX601" s="1047"/>
      <c r="AY601" s="1047"/>
      <c r="AZ601" s="1351"/>
      <c r="BA601" s="1047"/>
      <c r="BB601" s="1047"/>
      <c r="BC601" s="1047"/>
      <c r="BD601" s="1047"/>
      <c r="BE601" s="1351"/>
      <c r="BF601" s="1047"/>
      <c r="BG601" s="1047"/>
      <c r="BH601" s="1048"/>
      <c r="BI601" s="1044"/>
      <c r="BJ601" s="1350"/>
      <c r="BK601" s="1044"/>
      <c r="BL601" s="1044"/>
      <c r="BM601" s="1044"/>
      <c r="BN601" s="1044"/>
      <c r="BO601" s="1350"/>
      <c r="BP601" s="1351"/>
      <c r="BQ601" s="1351"/>
      <c r="BR601" s="1350"/>
      <c r="BS601" s="648"/>
    </row>
    <row r="602" spans="1:71" s="668" customFormat="1" ht="15">
      <c r="A602" s="991" t="s">
        <v>78</v>
      </c>
      <c r="B602" s="991"/>
      <c r="C602" s="1035"/>
      <c r="D602" s="1035"/>
      <c r="E602" s="1035"/>
      <c r="F602" s="1035"/>
      <c r="G602" s="1035"/>
      <c r="H602" s="1035"/>
      <c r="I602" s="1035"/>
      <c r="J602" s="1035"/>
      <c r="K602" s="1035"/>
      <c r="L602" s="1035"/>
      <c r="M602" s="1035"/>
      <c r="N602" s="1035"/>
      <c r="O602" s="1035"/>
      <c r="P602" s="1035"/>
      <c r="Q602" s="1035"/>
      <c r="R602" s="1035"/>
      <c r="S602" s="1035"/>
      <c r="T602" s="1035"/>
      <c r="U602" s="1035"/>
      <c r="V602" s="1035"/>
      <c r="W602" s="1035"/>
      <c r="X602" s="1035"/>
      <c r="Y602" s="1035"/>
      <c r="Z602" s="1035"/>
      <c r="AA602" s="1035"/>
      <c r="AB602" s="1035"/>
      <c r="AC602" s="1035"/>
      <c r="AD602" s="1035"/>
      <c r="AE602" s="1035"/>
      <c r="AF602" s="1035"/>
      <c r="AG602" s="1035"/>
      <c r="AH602" s="1035"/>
      <c r="AI602" s="1035"/>
      <c r="AJ602" s="1035"/>
      <c r="AK602" s="1035"/>
      <c r="AL602" s="1035"/>
      <c r="AM602" s="1035"/>
      <c r="AN602" s="1035"/>
      <c r="AO602" s="1035"/>
      <c r="AP602" s="1035"/>
      <c r="AQ602" s="1035"/>
      <c r="AR602" s="1035"/>
      <c r="AS602" s="1035"/>
      <c r="AT602" s="1035"/>
      <c r="AU602" s="1035"/>
      <c r="AV602" s="1035"/>
      <c r="AW602" s="1035"/>
      <c r="AX602" s="1035"/>
      <c r="AY602" s="1035"/>
      <c r="AZ602" s="1035"/>
      <c r="BA602" s="1035"/>
      <c r="BB602" s="1035"/>
      <c r="BC602" s="1035"/>
      <c r="BD602" s="1035"/>
      <c r="BE602" s="1035"/>
      <c r="BF602" s="1035"/>
      <c r="BG602" s="1035"/>
      <c r="BH602" s="1036"/>
      <c r="BI602" s="1037"/>
      <c r="BJ602" s="1037"/>
      <c r="BK602" s="1037"/>
      <c r="BL602" s="1037"/>
      <c r="BM602" s="1037"/>
      <c r="BN602" s="1037"/>
      <c r="BO602" s="1037"/>
      <c r="BP602" s="1035"/>
      <c r="BQ602" s="1035"/>
      <c r="BR602" s="1037"/>
      <c r="BS602" s="648"/>
    </row>
    <row r="603" spans="1:71" s="665" customFormat="1" ht="15" hidden="1" outlineLevel="1">
      <c r="A603" s="26" t="s">
        <v>79</v>
      </c>
      <c r="B603" s="321"/>
      <c r="C603" s="1364">
        <v>8.40</v>
      </c>
      <c r="D603" s="1364">
        <v>63</v>
      </c>
      <c r="E603" s="1364">
        <v>31.30</v>
      </c>
      <c r="F603" s="1364">
        <v>-9.40</v>
      </c>
      <c r="G603" s="1364">
        <v>94.40</v>
      </c>
      <c r="H603" s="1047"/>
      <c r="I603" s="1047"/>
      <c r="J603" s="1047"/>
      <c r="K603" s="1047"/>
      <c r="L603" s="1364">
        <v>32</v>
      </c>
      <c r="M603" s="1047"/>
      <c r="N603" s="1047"/>
      <c r="O603" s="1047"/>
      <c r="P603" s="1047"/>
      <c r="Q603" s="1364">
        <f>-47.7-11.1</f>
        <v>-58.80</v>
      </c>
      <c r="R603" s="1047"/>
      <c r="S603" s="1047"/>
      <c r="T603" s="1047"/>
      <c r="U603" s="1047"/>
      <c r="V603" s="1364">
        <f>-66.3-2.5</f>
        <v>-68.80</v>
      </c>
      <c r="W603" s="1047"/>
      <c r="X603" s="1047"/>
      <c r="Y603" s="1047"/>
      <c r="Z603" s="1047"/>
      <c r="AA603" s="1364">
        <f>-149.4-3.5</f>
        <v>-152.90000000000001</v>
      </c>
      <c r="AB603" s="1047"/>
      <c r="AC603" s="1047"/>
      <c r="AD603" s="1047"/>
      <c r="AE603" s="1047"/>
      <c r="AF603" s="1364">
        <f>-145.9-6.1</f>
        <v>-152</v>
      </c>
      <c r="AG603" s="1047"/>
      <c r="AH603" s="1047"/>
      <c r="AI603" s="1047"/>
      <c r="AJ603" s="1047"/>
      <c r="AK603" s="1364">
        <f>45.3+3</f>
        <v>48.30</v>
      </c>
      <c r="AL603" s="1047"/>
      <c r="AM603" s="1047"/>
      <c r="AN603" s="1047"/>
      <c r="AO603" s="1047"/>
      <c r="AP603" s="1364">
        <f>45.3+3</f>
        <v>48.30</v>
      </c>
      <c r="AQ603" s="1047"/>
      <c r="AR603" s="1047"/>
      <c r="AS603" s="1047"/>
      <c r="AT603" s="1047"/>
      <c r="AU603" s="1364">
        <f>98.6+0.3</f>
        <v>98.90</v>
      </c>
      <c r="AV603" s="1047"/>
      <c r="AW603" s="1047"/>
      <c r="AX603" s="1047"/>
      <c r="AY603" s="1047"/>
      <c r="AZ603" s="1364">
        <f>-528.7-16.6</f>
        <v>-545.30000000000007</v>
      </c>
      <c r="BA603" s="1047"/>
      <c r="BB603" s="1047"/>
      <c r="BC603" s="1047"/>
      <c r="BD603" s="1047"/>
      <c r="BE603" s="1364">
        <v>-119.90000000000001</v>
      </c>
      <c r="BF603" s="1047"/>
      <c r="BG603" s="1047"/>
      <c r="BH603" s="1048"/>
      <c r="BI603" s="1044"/>
      <c r="BJ603" s="1350"/>
      <c r="BK603" s="1044"/>
      <c r="BL603" s="1044"/>
      <c r="BM603" s="1044"/>
      <c r="BN603" s="1044"/>
      <c r="BO603" s="1350"/>
      <c r="BP603" s="1351"/>
      <c r="BQ603" s="1351"/>
      <c r="BR603" s="1350"/>
      <c r="BS603" s="648"/>
    </row>
    <row r="604" spans="1:71" s="668" customFormat="1" ht="15" collapsed="1">
      <c r="A604" s="904"/>
      <c r="B604" s="367"/>
      <c r="C604" s="1322"/>
      <c r="D604" s="1322"/>
      <c r="E604" s="1322"/>
      <c r="F604" s="1322"/>
      <c r="G604" s="1322"/>
      <c r="H604" s="1031"/>
      <c r="I604" s="1031"/>
      <c r="J604" s="1031"/>
      <c r="K604" s="1031"/>
      <c r="L604" s="1322"/>
      <c r="M604" s="1031"/>
      <c r="N604" s="1031"/>
      <c r="O604" s="1031"/>
      <c r="P604" s="1031"/>
      <c r="Q604" s="1322"/>
      <c r="R604" s="1031"/>
      <c r="S604" s="1031"/>
      <c r="T604" s="1031"/>
      <c r="U604" s="1031"/>
      <c r="V604" s="1322"/>
      <c r="W604" s="1031"/>
      <c r="X604" s="1031"/>
      <c r="Y604" s="1031"/>
      <c r="Z604" s="1031"/>
      <c r="AA604" s="1322"/>
      <c r="AB604" s="1031"/>
      <c r="AC604" s="1031"/>
      <c r="AD604" s="1031"/>
      <c r="AE604" s="1031"/>
      <c r="AF604" s="1322"/>
      <c r="AG604" s="1031"/>
      <c r="AH604" s="1031"/>
      <c r="AI604" s="1031"/>
      <c r="AJ604" s="1031"/>
      <c r="AK604" s="1322"/>
      <c r="AL604" s="1031"/>
      <c r="AM604" s="1031"/>
      <c r="AN604" s="1031"/>
      <c r="AO604" s="1031"/>
      <c r="AP604" s="1322"/>
      <c r="AQ604" s="1031"/>
      <c r="AR604" s="1031"/>
      <c r="AS604" s="1031"/>
      <c r="AT604" s="1031"/>
      <c r="AU604" s="1322"/>
      <c r="AV604" s="1031"/>
      <c r="AW604" s="1031"/>
      <c r="AX604" s="1031"/>
      <c r="AY604" s="1031"/>
      <c r="AZ604" s="1322"/>
      <c r="BA604" s="1031"/>
      <c r="BB604" s="1031"/>
      <c r="BC604" s="1031"/>
      <c r="BD604" s="1031"/>
      <c r="BE604" s="1322"/>
      <c r="BF604" s="1031"/>
      <c r="BG604" s="1031"/>
      <c r="BH604" s="1049"/>
      <c r="BI604" s="1023"/>
      <c r="BJ604" s="1321"/>
      <c r="BK604" s="1023"/>
      <c r="BL604" s="1023"/>
      <c r="BM604" s="1023"/>
      <c r="BN604" s="1023"/>
      <c r="BO604" s="1321"/>
      <c r="BP604" s="1322"/>
      <c r="BQ604" s="1322"/>
      <c r="BR604" s="1321"/>
      <c r="BS604" s="648"/>
    </row>
    <row r="605" spans="1:71" s="668" customFormat="1" ht="15">
      <c r="A605" s="989" t="s">
        <v>80</v>
      </c>
      <c r="B605" s="989"/>
      <c r="C605" s="1035"/>
      <c r="D605" s="1035"/>
      <c r="E605" s="1035"/>
      <c r="F605" s="1035"/>
      <c r="G605" s="1035"/>
      <c r="H605" s="1035"/>
      <c r="I605" s="1035"/>
      <c r="J605" s="1035"/>
      <c r="K605" s="1035"/>
      <c r="L605" s="1035"/>
      <c r="M605" s="1035"/>
      <c r="N605" s="1035"/>
      <c r="O605" s="1035"/>
      <c r="P605" s="1035"/>
      <c r="Q605" s="1035"/>
      <c r="R605" s="1035"/>
      <c r="S605" s="1035"/>
      <c r="T605" s="1035"/>
      <c r="U605" s="1035"/>
      <c r="V605" s="1035"/>
      <c r="W605" s="1035"/>
      <c r="X605" s="1035"/>
      <c r="Y605" s="1035"/>
      <c r="Z605" s="1035"/>
      <c r="AA605" s="1035"/>
      <c r="AB605" s="1035"/>
      <c r="AC605" s="1035"/>
      <c r="AD605" s="1035"/>
      <c r="AE605" s="1035"/>
      <c r="AF605" s="1035"/>
      <c r="AG605" s="1035"/>
      <c r="AH605" s="1035"/>
      <c r="AI605" s="1035"/>
      <c r="AJ605" s="1035"/>
      <c r="AK605" s="1035"/>
      <c r="AL605" s="1035"/>
      <c r="AM605" s="1035"/>
      <c r="AN605" s="1035"/>
      <c r="AO605" s="1035"/>
      <c r="AP605" s="1035"/>
      <c r="AQ605" s="1035"/>
      <c r="AR605" s="1035"/>
      <c r="AS605" s="1035"/>
      <c r="AT605" s="1035"/>
      <c r="AU605" s="1035"/>
      <c r="AV605" s="1035"/>
      <c r="AW605" s="1035"/>
      <c r="AX605" s="1035"/>
      <c r="AY605" s="1035"/>
      <c r="AZ605" s="1035"/>
      <c r="BA605" s="1035"/>
      <c r="BB605" s="1035"/>
      <c r="BC605" s="1035"/>
      <c r="BD605" s="1035"/>
      <c r="BE605" s="1035"/>
      <c r="BF605" s="1035"/>
      <c r="BG605" s="1035"/>
      <c r="BH605" s="1036"/>
      <c r="BI605" s="1035"/>
      <c r="BJ605" s="1035"/>
      <c r="BK605" s="1035"/>
      <c r="BL605" s="1035"/>
      <c r="BM605" s="1035"/>
      <c r="BN605" s="1035"/>
      <c r="BO605" s="1035"/>
      <c r="BP605" s="1035"/>
      <c r="BQ605" s="1035"/>
      <c r="BR605" s="1035"/>
      <c r="BS605" s="648"/>
    </row>
    <row r="606" spans="1:71" s="665" customFormat="1" ht="15">
      <c r="A606" s="371" t="s">
        <v>81</v>
      </c>
      <c r="B606" s="545"/>
      <c r="C606" s="1349">
        <f t="shared" si="1229" ref="C606:AP606">C571</f>
        <v>14012.80</v>
      </c>
      <c r="D606" s="1349">
        <f t="shared" si="1229"/>
        <v>14314.80</v>
      </c>
      <c r="E606" s="1349">
        <f t="shared" si="1229"/>
        <v>14902.80</v>
      </c>
      <c r="F606" s="1349">
        <f t="shared" si="1229"/>
        <v>16018</v>
      </c>
      <c r="G606" s="1349">
        <f t="shared" si="1229"/>
        <v>17103.40</v>
      </c>
      <c r="H606" s="1042">
        <f t="shared" si="1229"/>
        <v>4402.30</v>
      </c>
      <c r="I606" s="1042">
        <f t="shared" si="1229"/>
        <v>4513.50</v>
      </c>
      <c r="J606" s="1042">
        <f t="shared" si="1229"/>
        <v>4540.1000000000004</v>
      </c>
      <c r="K606" s="1042">
        <f t="shared" si="1229"/>
        <v>4942.5999999999995</v>
      </c>
      <c r="L606" s="1349">
        <f t="shared" si="1229"/>
        <v>18398.50</v>
      </c>
      <c r="M606" s="1042">
        <f t="shared" si="1229"/>
        <v>4666.30</v>
      </c>
      <c r="N606" s="1042">
        <f t="shared" si="1229"/>
        <v>4995.80</v>
      </c>
      <c r="O606" s="1042">
        <f t="shared" si="1229"/>
        <v>5070.6000000000004</v>
      </c>
      <c r="P606" s="1042">
        <f t="shared" si="1229"/>
        <v>5166.3999999999969</v>
      </c>
      <c r="Q606" s="1349">
        <f t="shared" si="1229"/>
        <v>19899.099999999999</v>
      </c>
      <c r="R606" s="1042">
        <f t="shared" si="1229"/>
        <v>5317.40</v>
      </c>
      <c r="S606" s="1042">
        <f t="shared" si="1229"/>
        <v>5561.80</v>
      </c>
      <c r="T606" s="1042">
        <f t="shared" si="1229"/>
        <v>5723.40</v>
      </c>
      <c r="U606" s="1042">
        <f t="shared" si="1229"/>
        <v>5871.40</v>
      </c>
      <c r="V606" s="1349">
        <f t="shared" si="1229"/>
        <v>22474</v>
      </c>
      <c r="W606" s="1042">
        <f t="shared" si="1229"/>
        <v>6026.70</v>
      </c>
      <c r="X606" s="1042">
        <f t="shared" si="1229"/>
        <v>6313.30</v>
      </c>
      <c r="Y606" s="1042">
        <f t="shared" si="1229"/>
        <v>6544</v>
      </c>
      <c r="Z606" s="1042">
        <f t="shared" si="1229"/>
        <v>6845.9000000000024</v>
      </c>
      <c r="AA606" s="1349">
        <f t="shared" si="1229"/>
        <v>25729.900000000001</v>
      </c>
      <c r="AB606" s="1042">
        <f t="shared" si="1229"/>
        <v>7174</v>
      </c>
      <c r="AC606" s="1042">
        <f t="shared" si="1229"/>
        <v>7634.20</v>
      </c>
      <c r="AD606" s="1042">
        <f t="shared" si="1229"/>
        <v>7930.50</v>
      </c>
      <c r="AE606" s="1042">
        <f t="shared" si="1229"/>
        <v>8194.5999999999985</v>
      </c>
      <c r="AF606" s="1349">
        <f t="shared" si="1229"/>
        <v>30933.299999999999</v>
      </c>
      <c r="AG606" s="1042">
        <f t="shared" si="1229"/>
        <v>8459.7999999999993</v>
      </c>
      <c r="AH606" s="1042">
        <f t="shared" si="1229"/>
        <v>8824.7000000000007</v>
      </c>
      <c r="AI606" s="1042">
        <f t="shared" si="1229"/>
        <v>9012.2000000000007</v>
      </c>
      <c r="AJ606" s="1042">
        <f t="shared" si="1229"/>
        <v>9895.7000000000007</v>
      </c>
      <c r="AK606" s="1349">
        <f t="shared" si="1229"/>
        <v>36192.40</v>
      </c>
      <c r="AL606" s="1042">
        <f t="shared" si="1229"/>
        <v>9430.7000000000007</v>
      </c>
      <c r="AM606" s="1042">
        <f t="shared" si="1229"/>
        <v>9648.60</v>
      </c>
      <c r="AN606" s="1042">
        <f t="shared" si="1229"/>
        <v>9973.50</v>
      </c>
      <c r="AO606" s="1042">
        <f t="shared" si="1229"/>
        <v>10208.799999999999</v>
      </c>
      <c r="AP606" s="1349">
        <f t="shared" si="1229"/>
        <v>39261.60</v>
      </c>
      <c r="AQ606" s="1042">
        <f t="shared" si="1230" ref="AQ606:AV606">AQ571</f>
        <v>10420.200000000001</v>
      </c>
      <c r="AR606" s="1042">
        <f t="shared" si="1230"/>
        <v>10982.299999999999</v>
      </c>
      <c r="AS606" s="1042">
        <f t="shared" si="1230"/>
        <v>11364.80</v>
      </c>
      <c r="AT606" s="1042">
        <f t="shared" si="1230"/>
        <v>11601.399999999994</v>
      </c>
      <c r="AU606" s="1349">
        <f t="shared" si="1230"/>
        <v>44368.699999999997</v>
      </c>
      <c r="AV606" s="1042">
        <f t="shared" si="1230"/>
        <v>11802.90</v>
      </c>
      <c r="AW606" s="1042">
        <f t="shared" si="1231" ref="AW606:AZ607">AW571</f>
        <v>12147.90</v>
      </c>
      <c r="AX606" s="1042">
        <f t="shared" si="1231"/>
        <v>12398.90</v>
      </c>
      <c r="AY606" s="1042">
        <f t="shared" si="1231"/>
        <v>12891.499999999995</v>
      </c>
      <c r="AZ606" s="1349">
        <f t="shared" si="1231"/>
        <v>49241.199999999997</v>
      </c>
      <c r="BA606" s="1042">
        <f t="shared" si="1232" ref="BA606:BE607">BA571</f>
        <v>13533.10</v>
      </c>
      <c r="BB606" s="1042">
        <f t="shared" si="1232"/>
        <v>14464.40</v>
      </c>
      <c r="BC606" s="1042">
        <f t="shared" si="1232"/>
        <v>14894.299999999999</v>
      </c>
      <c r="BD606" s="1042">
        <f t="shared" si="1232"/>
        <v>15772.600000000004</v>
      </c>
      <c r="BE606" s="1349">
        <f t="shared" si="1232"/>
        <v>58664.400000000001</v>
      </c>
      <c r="BF606" s="1042">
        <f t="shared" si="1233" ref="BF606:BH607">BF571</f>
        <v>16148.60</v>
      </c>
      <c r="BG606" s="1042">
        <f t="shared" si="1233"/>
        <v>17209.50</v>
      </c>
      <c r="BH606" s="1043">
        <f t="shared" si="1233"/>
        <v>18296.700000000004</v>
      </c>
      <c r="BI606" s="1047">
        <f>BI236</f>
        <v>17559.301553150228</v>
      </c>
      <c r="BJ606" s="1351">
        <f>SUM(BF606,BG606,BH606,BI606)</f>
        <v>69214.101553150234</v>
      </c>
      <c r="BK606" s="1047">
        <f>BK236</f>
        <v>21442.044134334246</v>
      </c>
      <c r="BL606" s="1047">
        <f>BL236</f>
        <v>19683.62081517437</v>
      </c>
      <c r="BM606" s="1047">
        <f>BM236</f>
        <v>21013.268236616033</v>
      </c>
      <c r="BN606" s="1047">
        <f>BN236</f>
        <v>19779.357817031436</v>
      </c>
      <c r="BO606" s="1351">
        <f>SUM(BK606,BL606,BM606,BN606)</f>
        <v>81918.291003156075</v>
      </c>
      <c r="BP606" s="1351">
        <f>BP236</f>
        <v>87742.953041527231</v>
      </c>
      <c r="BQ606" s="1351">
        <f>BQ236</f>
        <v>91287.768344404933</v>
      </c>
      <c r="BR606" s="1351">
        <f>BR236</f>
        <v>94975.794185518884</v>
      </c>
      <c r="BS606" s="648"/>
    </row>
    <row r="607" spans="1:71" s="665" customFormat="1" ht="15">
      <c r="A607" s="371" t="s">
        <v>82</v>
      </c>
      <c r="B607" s="321"/>
      <c r="C607" s="1349">
        <f t="shared" si="1234" ref="C607:AT607">C572</f>
        <v>507</v>
      </c>
      <c r="D607" s="1349">
        <f t="shared" si="1234"/>
        <v>520.10</v>
      </c>
      <c r="E607" s="1349">
        <f t="shared" si="1234"/>
        <v>480</v>
      </c>
      <c r="F607" s="1349">
        <f t="shared" si="1234"/>
        <v>443</v>
      </c>
      <c r="G607" s="1349">
        <f t="shared" si="1234"/>
        <v>422</v>
      </c>
      <c r="H607" s="1042">
        <f t="shared" si="1234"/>
        <v>103.30</v>
      </c>
      <c r="I607" s="1042">
        <f t="shared" si="1234"/>
        <v>99.20</v>
      </c>
      <c r="J607" s="1042">
        <f t="shared" si="1234"/>
        <v>101.70</v>
      </c>
      <c r="K607" s="1042">
        <f t="shared" si="1234"/>
        <v>104.20</v>
      </c>
      <c r="L607" s="1349">
        <f t="shared" si="1234"/>
        <v>408.40</v>
      </c>
      <c r="M607" s="1042">
        <f t="shared" si="1234"/>
        <v>105.09999999999999</v>
      </c>
      <c r="N607" s="1042">
        <f t="shared" si="1234"/>
        <v>113.30</v>
      </c>
      <c r="O607" s="1042">
        <f t="shared" si="1234"/>
        <v>117.50</v>
      </c>
      <c r="P607" s="1042">
        <f t="shared" si="1234"/>
        <v>118.70000000000002</v>
      </c>
      <c r="Q607" s="1349">
        <f t="shared" si="1234"/>
        <v>454.60</v>
      </c>
      <c r="R607" s="1042">
        <f t="shared" si="1234"/>
        <v>118.80</v>
      </c>
      <c r="S607" s="1125">
        <f t="shared" si="1234"/>
        <v>114.59999999999999</v>
      </c>
      <c r="T607" s="1042">
        <f t="shared" si="1234"/>
        <v>119.30</v>
      </c>
      <c r="U607" s="1042">
        <f t="shared" si="1234"/>
        <v>126.19999999999997</v>
      </c>
      <c r="V607" s="1349">
        <f t="shared" si="1234"/>
        <v>478.90</v>
      </c>
      <c r="W607" s="1042">
        <f t="shared" si="1234"/>
        <v>129.19999999999999</v>
      </c>
      <c r="X607" s="1125">
        <f t="shared" si="1234"/>
        <v>138.80000000000001</v>
      </c>
      <c r="Y607" s="1042">
        <f t="shared" si="1234"/>
        <v>142.90000000000001</v>
      </c>
      <c r="Z607" s="1042">
        <f t="shared" si="1234"/>
        <v>152.20000000000005</v>
      </c>
      <c r="AA607" s="1349">
        <f t="shared" si="1234"/>
        <v>563.10</v>
      </c>
      <c r="AB607" s="1042">
        <f t="shared" si="1234"/>
        <v>166.30</v>
      </c>
      <c r="AC607" s="1125">
        <f t="shared" si="1234"/>
        <v>192.10</v>
      </c>
      <c r="AD607" s="1042">
        <f t="shared" si="1234"/>
        <v>218.10</v>
      </c>
      <c r="AE607" s="1042">
        <f t="shared" si="1234"/>
        <v>243.99999999999994</v>
      </c>
      <c r="AF607" s="1349">
        <f t="shared" si="1234"/>
        <v>820.50</v>
      </c>
      <c r="AG607" s="1042">
        <f t="shared" si="1234"/>
        <v>252.90</v>
      </c>
      <c r="AH607" s="1125">
        <f t="shared" si="1234"/>
        <v>261.30</v>
      </c>
      <c r="AI607" s="1042">
        <f t="shared" si="1234"/>
        <v>263</v>
      </c>
      <c r="AJ607" s="1042">
        <f t="shared" si="1234"/>
        <v>264.80000000000007</v>
      </c>
      <c r="AK607" s="1349">
        <f t="shared" si="1234"/>
        <v>1042</v>
      </c>
      <c r="AL607" s="1042">
        <f t="shared" si="1234"/>
        <v>241.20</v>
      </c>
      <c r="AM607" s="1125">
        <f t="shared" si="1234"/>
        <v>243.80</v>
      </c>
      <c r="AN607" s="1042">
        <f t="shared" si="1234"/>
        <v>230.50</v>
      </c>
      <c r="AO607" s="1042">
        <f t="shared" si="1234"/>
        <v>221.10000000000002</v>
      </c>
      <c r="AP607" s="1349">
        <f t="shared" si="1234"/>
        <v>936.60</v>
      </c>
      <c r="AQ607" s="1042">
        <f t="shared" si="1234"/>
        <v>220.20</v>
      </c>
      <c r="AR607" s="1125">
        <f t="shared" si="1234"/>
        <v>210.70</v>
      </c>
      <c r="AS607" s="1042">
        <f t="shared" si="1234"/>
        <v>208.90</v>
      </c>
      <c r="AT607" s="1042">
        <f t="shared" si="1234"/>
        <v>221.10000000000002</v>
      </c>
      <c r="AU607" s="1349">
        <f>AU572</f>
        <v>860.90</v>
      </c>
      <c r="AV607" s="1042">
        <f>AV572</f>
        <v>242.20</v>
      </c>
      <c r="AW607" s="1125">
        <f t="shared" si="1231"/>
        <v>292.40000000000003</v>
      </c>
      <c r="AX607" s="1042">
        <f t="shared" si="1231"/>
        <v>333.60</v>
      </c>
      <c r="AY607" s="1042">
        <f t="shared" si="1231"/>
        <v>392.10</v>
      </c>
      <c r="AZ607" s="1349">
        <f t="shared" si="1231"/>
        <v>1260.30</v>
      </c>
      <c r="BA607" s="1042">
        <f t="shared" si="1232"/>
        <v>419.60</v>
      </c>
      <c r="BB607" s="1125">
        <f t="shared" si="1232"/>
        <v>454.50</v>
      </c>
      <c r="BC607" s="1042">
        <f t="shared" si="1232"/>
        <v>510.20</v>
      </c>
      <c r="BD607" s="1042">
        <f t="shared" si="1232"/>
        <v>507.49999999999989</v>
      </c>
      <c r="BE607" s="1349">
        <f t="shared" si="1232"/>
        <v>1891.80</v>
      </c>
      <c r="BF607" s="1042">
        <f t="shared" si="1233"/>
        <v>617.60</v>
      </c>
      <c r="BG607" s="1125">
        <f t="shared" si="1233"/>
        <v>684.99999999999989</v>
      </c>
      <c r="BH607" s="1043">
        <f t="shared" si="1233"/>
        <v>739.49999999999989</v>
      </c>
      <c r="BI607" s="1044">
        <f>BI457</f>
        <v>524.44453736338801</v>
      </c>
      <c r="BJ607" s="1434">
        <f>SUM(BF607,BG607,BH607,BI607)</f>
        <v>2566.5445373633879</v>
      </c>
      <c r="BK607" s="1044">
        <f>BK457</f>
        <v>490.63633982876723</v>
      </c>
      <c r="BL607" s="1044">
        <f>BL457</f>
        <v>508.67104675684942</v>
      </c>
      <c r="BM607" s="1044">
        <f>BM457</f>
        <v>552.36466216438362</v>
      </c>
      <c r="BN607" s="1044">
        <f>BN457</f>
        <v>552.17544029794522</v>
      </c>
      <c r="BO607" s="1434">
        <f>SUM(BK607,BL607,BM607,BN607)</f>
        <v>2103.8474890479456</v>
      </c>
      <c r="BP607" s="1435">
        <f>BP457</f>
        <v>2140.4601123281254</v>
      </c>
      <c r="BQ607" s="1435">
        <f>BQ457</f>
        <v>2247.4831179445314</v>
      </c>
      <c r="BR607" s="1434">
        <f>BR457</f>
        <v>2359.8572738417583</v>
      </c>
      <c r="BS607" s="648"/>
    </row>
    <row r="608" spans="1:71" s="665" customFormat="1" ht="15">
      <c r="A608" s="371" t="s">
        <v>83</v>
      </c>
      <c r="B608" s="321"/>
      <c r="C608" s="1349">
        <f t="shared" si="1235" ref="C608:AP608">C578</f>
        <v>27.100000000000009</v>
      </c>
      <c r="D608" s="1349">
        <f t="shared" si="1235"/>
        <v>96.10</v>
      </c>
      <c r="E608" s="1349">
        <f t="shared" si="1235"/>
        <v>102.59999999999999</v>
      </c>
      <c r="F608" s="1349">
        <f t="shared" si="1235"/>
        <v>306.80</v>
      </c>
      <c r="G608" s="1349">
        <f t="shared" si="1235"/>
        <v>318.39999999999998</v>
      </c>
      <c r="H608" s="1042">
        <f t="shared" si="1235"/>
        <v>119.40000000000001</v>
      </c>
      <c r="I608" s="1042">
        <f t="shared" si="1235"/>
        <v>40.40</v>
      </c>
      <c r="J608" s="1042">
        <f t="shared" si="1235"/>
        <v>38.199999999999996</v>
      </c>
      <c r="K608" s="1042">
        <f t="shared" si="1235"/>
        <v>26.20</v>
      </c>
      <c r="L608" s="1349">
        <f t="shared" si="1235"/>
        <v>224.20</v>
      </c>
      <c r="M608" s="1042">
        <f t="shared" si="1235"/>
        <v>33</v>
      </c>
      <c r="N608" s="1042">
        <f t="shared" si="1235"/>
        <v>76</v>
      </c>
      <c r="O608" s="1042">
        <f t="shared" si="1235"/>
        <v>-15.80</v>
      </c>
      <c r="P608" s="1042">
        <f t="shared" si="1235"/>
        <v>19.499999999999986</v>
      </c>
      <c r="Q608" s="1349">
        <f t="shared" si="1235"/>
        <v>112.70</v>
      </c>
      <c r="R608" s="1042">
        <f t="shared" si="1235"/>
        <v>17.40</v>
      </c>
      <c r="S608" s="1125">
        <f t="shared" si="1235"/>
        <v>32.299999999999997</v>
      </c>
      <c r="T608" s="1042">
        <f t="shared" si="1235"/>
        <v>-20.700000000000003</v>
      </c>
      <c r="U608" s="1042">
        <f t="shared" si="1235"/>
        <v>22.100000000000005</v>
      </c>
      <c r="V608" s="1349">
        <f t="shared" si="1235"/>
        <v>51.100000000000009</v>
      </c>
      <c r="W608" s="1042">
        <f t="shared" si="1235"/>
        <v>51.90</v>
      </c>
      <c r="X608" s="1125">
        <f t="shared" si="1235"/>
        <v>32.099999999999994</v>
      </c>
      <c r="Y608" s="1042">
        <f t="shared" si="1235"/>
        <v>-24.70</v>
      </c>
      <c r="Z608" s="1042">
        <f t="shared" si="1235"/>
        <v>-9.6999999999999993</v>
      </c>
      <c r="AA608" s="1349">
        <f t="shared" si="1235"/>
        <v>49.599999999999994</v>
      </c>
      <c r="AB608" s="1042">
        <f t="shared" si="1235"/>
        <v>-48.199999999999989</v>
      </c>
      <c r="AC608" s="1125">
        <f t="shared" si="1235"/>
        <v>32.799999999999997</v>
      </c>
      <c r="AD608" s="1042">
        <f t="shared" si="1235"/>
        <v>182.10</v>
      </c>
      <c r="AE608" s="1042">
        <f t="shared" si="1235"/>
        <v>-572.20000000000005</v>
      </c>
      <c r="AF608" s="1349">
        <f t="shared" si="1235"/>
        <v>-405.50</v>
      </c>
      <c r="AG608" s="1042">
        <f t="shared" si="1235"/>
        <v>414.50</v>
      </c>
      <c r="AH608" s="1125">
        <f t="shared" si="1235"/>
        <v>179.90</v>
      </c>
      <c r="AI608" s="1042">
        <f t="shared" si="1235"/>
        <v>65.400000000000006</v>
      </c>
      <c r="AJ608" s="1042">
        <f t="shared" si="1235"/>
        <v>369.40</v>
      </c>
      <c r="AK608" s="1349">
        <f t="shared" si="1235"/>
        <v>1029.20</v>
      </c>
      <c r="AL608" s="1042">
        <f t="shared" si="1235"/>
        <v>-553.59999999999991</v>
      </c>
      <c r="AM608" s="1125">
        <f t="shared" si="1235"/>
        <v>890.80</v>
      </c>
      <c r="AN608" s="1042">
        <f t="shared" si="1235"/>
        <v>532.60</v>
      </c>
      <c r="AO608" s="1042">
        <f t="shared" si="1235"/>
        <v>760.20</v>
      </c>
      <c r="AP608" s="1349">
        <f t="shared" si="1235"/>
        <v>1630</v>
      </c>
      <c r="AQ608" s="1042">
        <f t="shared" si="1236" ref="AQ608:AV608">AQ578</f>
        <v>585.29999999999995</v>
      </c>
      <c r="AR608" s="1125">
        <f t="shared" si="1236"/>
        <v>461.79999999999995</v>
      </c>
      <c r="AS608" s="1042">
        <f t="shared" si="1236"/>
        <v>36.799999999999997</v>
      </c>
      <c r="AT608" s="1042">
        <f t="shared" si="1236"/>
        <v>425.29999999999995</v>
      </c>
      <c r="AU608" s="1349">
        <f t="shared" si="1236"/>
        <v>1509.1999999999998</v>
      </c>
      <c r="AV608" s="1042">
        <f t="shared" si="1236"/>
        <v>-445.30</v>
      </c>
      <c r="AW608" s="1125">
        <f t="shared" si="1237" ref="AW608:BB608">AW578</f>
        <v>-1177.7000000000003</v>
      </c>
      <c r="AX608" s="1042">
        <f t="shared" si="1237"/>
        <v>-216.39999999999998</v>
      </c>
      <c r="AY608" s="1042">
        <f t="shared" si="1237"/>
        <v>-72.799999999999727</v>
      </c>
      <c r="AZ608" s="1349">
        <f t="shared" si="1237"/>
        <v>-1912.1999999999998</v>
      </c>
      <c r="BA608" s="1042">
        <f t="shared" si="1237"/>
        <v>71.800000000000011</v>
      </c>
      <c r="BB608" s="1125">
        <f t="shared" si="1237"/>
        <v>126.90000000000001</v>
      </c>
      <c r="BC608" s="1042">
        <f>BC578</f>
        <v>-149</v>
      </c>
      <c r="BD608" s="1042">
        <f t="shared" si="1238" ref="BD608:BE608">BD578</f>
        <v>303.40000000000003</v>
      </c>
      <c r="BE608" s="1349">
        <f t="shared" si="1238"/>
        <v>353.10</v>
      </c>
      <c r="BF608" s="1042">
        <f>BF578</f>
        <v>155.60000000000002</v>
      </c>
      <c r="BG608" s="1125">
        <f>BG578</f>
        <v>-126.30000000000001</v>
      </c>
      <c r="BH608" s="1043">
        <f>BH578</f>
        <v>287.39999999999998</v>
      </c>
      <c r="BI608" s="1044">
        <f>BI462</f>
        <v>381.84691748633884</v>
      </c>
      <c r="BJ608" s="1434">
        <f>SUM(BF608,BG608,BH608,BI608)</f>
        <v>698.54691748633877</v>
      </c>
      <c r="BK608" s="1044">
        <f>BK462</f>
        <v>554.17374431506846</v>
      </c>
      <c r="BL608" s="1044">
        <f>BL462</f>
        <v>370.14106643835623</v>
      </c>
      <c r="BM608" s="1044">
        <f>BM462</f>
        <v>401.63157041095894</v>
      </c>
      <c r="BN608" s="1044">
        <f>BN462</f>
        <v>402.03772709589038</v>
      </c>
      <c r="BO608" s="1434">
        <f>SUM(BK608,BL608,BM608,BN608)</f>
        <v>1727.9841082602741</v>
      </c>
      <c r="BP608" s="1435">
        <f>BP462</f>
        <v>1560.7554716250004</v>
      </c>
      <c r="BQ608" s="1435">
        <f>BQ462</f>
        <v>1638.7932452062503</v>
      </c>
      <c r="BR608" s="1434">
        <f>BR462</f>
        <v>1720.7329074665629</v>
      </c>
      <c r="BS608" s="648"/>
    </row>
    <row r="609" spans="1:71" s="665" customFormat="1" ht="15">
      <c r="A609" s="1000" t="s">
        <v>84</v>
      </c>
      <c r="B609" s="261"/>
      <c r="C609" s="1323">
        <f t="shared" si="1239" ref="C609:AP609">C579++C580+C581</f>
        <v>16.70</v>
      </c>
      <c r="D609" s="1323">
        <f t="shared" si="1239"/>
        <v>284.49999999999994</v>
      </c>
      <c r="E609" s="1323">
        <f t="shared" si="1239"/>
        <v>289.20</v>
      </c>
      <c r="F609" s="1323">
        <f t="shared" si="1239"/>
        <v>316.10000000000002</v>
      </c>
      <c r="G609" s="1323">
        <f t="shared" si="1239"/>
        <v>327.10000000000002</v>
      </c>
      <c r="H609" s="1027">
        <f t="shared" si="1239"/>
        <v>82.60</v>
      </c>
      <c r="I609" s="1027">
        <f t="shared" si="1239"/>
        <v>88.40</v>
      </c>
      <c r="J609" s="1027">
        <f t="shared" si="1239"/>
        <v>86.10</v>
      </c>
      <c r="K609" s="1027">
        <f t="shared" si="1239"/>
        <v>103.20000000000003</v>
      </c>
      <c r="L609" s="1323">
        <f t="shared" si="1239"/>
        <v>360.30</v>
      </c>
      <c r="M609" s="1027">
        <f t="shared" si="1239"/>
        <v>90.90</v>
      </c>
      <c r="N609" s="1027">
        <f t="shared" si="1239"/>
        <v>98.20</v>
      </c>
      <c r="O609" s="1027">
        <f t="shared" si="1239"/>
        <v>101.50</v>
      </c>
      <c r="P609" s="1027">
        <f t="shared" si="1239"/>
        <v>96.799999999999955</v>
      </c>
      <c r="Q609" s="1323">
        <f t="shared" si="1239"/>
        <v>387.40</v>
      </c>
      <c r="R609" s="1027">
        <f t="shared" si="1239"/>
        <v>103.90000000000001</v>
      </c>
      <c r="S609" s="1027">
        <f t="shared" si="1239"/>
        <v>110.59999999999999</v>
      </c>
      <c r="T609" s="1027">
        <f t="shared" si="1239"/>
        <v>113</v>
      </c>
      <c r="U609" s="1027">
        <f t="shared" si="1239"/>
        <v>109.90000000000001</v>
      </c>
      <c r="V609" s="1323">
        <f t="shared" si="1239"/>
        <v>437.40</v>
      </c>
      <c r="W609" s="1027">
        <f t="shared" si="1239"/>
        <v>113.90000000000001</v>
      </c>
      <c r="X609" s="1027">
        <f t="shared" si="1239"/>
        <v>121.50</v>
      </c>
      <c r="Y609" s="1027">
        <f t="shared" si="1239"/>
        <v>129.59999999999999</v>
      </c>
      <c r="Z609" s="1027">
        <f t="shared" si="1239"/>
        <v>131.40000000000003</v>
      </c>
      <c r="AA609" s="1323">
        <f t="shared" si="1239"/>
        <v>496.40</v>
      </c>
      <c r="AB609" s="1027">
        <f t="shared" si="1239"/>
        <v>138</v>
      </c>
      <c r="AC609" s="1027">
        <f t="shared" si="1239"/>
        <v>158.90000000000001</v>
      </c>
      <c r="AD609" s="1027">
        <f t="shared" si="1239"/>
        <v>165.10</v>
      </c>
      <c r="AE609" s="1027">
        <f t="shared" si="1239"/>
        <v>168.70000000000002</v>
      </c>
      <c r="AF609" s="1323">
        <f t="shared" si="1239"/>
        <v>630.70000000000005</v>
      </c>
      <c r="AG609" s="1027">
        <f t="shared" si="1239"/>
        <v>172.79999999999998</v>
      </c>
      <c r="AH609" s="1027">
        <f t="shared" si="1239"/>
        <v>184.80</v>
      </c>
      <c r="AI609" s="1027">
        <f t="shared" si="1239"/>
        <v>189.90</v>
      </c>
      <c r="AJ609" s="1027">
        <f t="shared" si="1239"/>
        <v>211.20000000000007</v>
      </c>
      <c r="AK609" s="1323">
        <f t="shared" si="1239"/>
        <v>758.70</v>
      </c>
      <c r="AL609" s="1027">
        <f t="shared" si="1239"/>
        <v>205.10</v>
      </c>
      <c r="AM609" s="1027">
        <f t="shared" si="1239"/>
        <v>188.50</v>
      </c>
      <c r="AN609" s="1027">
        <f t="shared" si="1239"/>
        <v>210.60000000000002</v>
      </c>
      <c r="AO609" s="1027">
        <f t="shared" si="1239"/>
        <v>225.70000000000002</v>
      </c>
      <c r="AP609" s="1323">
        <f t="shared" si="1239"/>
        <v>829.90</v>
      </c>
      <c r="AQ609" s="1027">
        <f t="shared" si="1240" ref="AQ609:AV609">AQ579++AQ580+AQ581</f>
        <v>219.50</v>
      </c>
      <c r="AR609" s="1027">
        <f t="shared" si="1240"/>
        <v>250.70</v>
      </c>
      <c r="AS609" s="1027">
        <f t="shared" si="1240"/>
        <v>248.70</v>
      </c>
      <c r="AT609" s="1027">
        <f t="shared" si="1240"/>
        <v>244.29999999999995</v>
      </c>
      <c r="AU609" s="1323">
        <f t="shared" si="1240"/>
        <v>963.20</v>
      </c>
      <c r="AV609" s="1027">
        <f t="shared" si="1240"/>
        <v>241.70</v>
      </c>
      <c r="AW609" s="1027">
        <f t="shared" si="1241" ref="AW609:BB609">AW579++AW580+AW581</f>
        <v>256.60000000000002</v>
      </c>
      <c r="AX609" s="1027">
        <f t="shared" si="1241"/>
        <v>264.10000000000002</v>
      </c>
      <c r="AY609" s="1027">
        <f t="shared" si="1241"/>
        <v>259.00000000000006</v>
      </c>
      <c r="AZ609" s="1323">
        <f t="shared" si="1241"/>
        <v>1021.4000000000001</v>
      </c>
      <c r="BA609" s="1027">
        <f t="shared" si="1241"/>
        <v>278.70</v>
      </c>
      <c r="BB609" s="1027">
        <f t="shared" si="1241"/>
        <v>307.70</v>
      </c>
      <c r="BC609" s="1027">
        <f>BC579++BC580+BC581</f>
        <v>305.10000000000002</v>
      </c>
      <c r="BD609" s="1027">
        <f t="shared" si="1242" ref="BD609:BE609">BD579++BD580+BD581</f>
        <v>307.70000000000016</v>
      </c>
      <c r="BE609" s="1323">
        <f t="shared" si="1242"/>
        <v>1199.20</v>
      </c>
      <c r="BF609" s="1027">
        <f>BF579++BF580+BF581</f>
        <v>320.70</v>
      </c>
      <c r="BG609" s="1027">
        <f>BG579++BG580+BG581</f>
        <v>366.10</v>
      </c>
      <c r="BH609" s="1028">
        <f>BH579++BH580+BH581</f>
        <v>395.39999999999992</v>
      </c>
      <c r="BI609" s="1029">
        <f>BI470</f>
        <v>323.08500000000015</v>
      </c>
      <c r="BJ609" s="1324">
        <f>SUM(BF609,BG609,BH609,BI609)</f>
        <v>1405.285</v>
      </c>
      <c r="BK609" s="1029">
        <f>BK470</f>
        <v>336.735</v>
      </c>
      <c r="BL609" s="1029">
        <f>BL470</f>
        <v>384.405</v>
      </c>
      <c r="BM609" s="1029">
        <f>BM470</f>
        <v>415.16999999999996</v>
      </c>
      <c r="BN609" s="1029">
        <f>BN470</f>
        <v>339.2392500000002</v>
      </c>
      <c r="BO609" s="1324">
        <f>SUM(BK609,BL609,BM609,BN609)</f>
        <v>1475.54925</v>
      </c>
      <c r="BP609" s="1324">
        <f>BP470</f>
        <v>1549.3267125000002</v>
      </c>
      <c r="BQ609" s="1324">
        <f>BQ470</f>
        <v>1626.7930481250005</v>
      </c>
      <c r="BR609" s="1324">
        <f>BR470</f>
        <v>1708.1327005312505</v>
      </c>
      <c r="BS609" s="648"/>
    </row>
    <row r="610" spans="1:71" s="668" customFormat="1" ht="15">
      <c r="A610" s="42" t="s">
        <v>85</v>
      </c>
      <c r="B610" s="410"/>
      <c r="C610" s="1355">
        <f t="shared" si="1243" ref="C610:AM610">C606+C607+C608+C609</f>
        <v>14563.60</v>
      </c>
      <c r="D610" s="1355">
        <f t="shared" si="1243"/>
        <v>15215.50</v>
      </c>
      <c r="E610" s="1355">
        <f t="shared" si="1243"/>
        <v>15774.60</v>
      </c>
      <c r="F610" s="1355">
        <f t="shared" si="1243"/>
        <v>17083.899999999998</v>
      </c>
      <c r="G610" s="1355">
        <f t="shared" si="1243"/>
        <v>18170.900000000001</v>
      </c>
      <c r="H610" s="1052">
        <f t="shared" si="1243"/>
        <v>4707.6000000000004</v>
      </c>
      <c r="I610" s="1052">
        <f t="shared" si="1243"/>
        <v>4741.4999999999991</v>
      </c>
      <c r="J610" s="1052">
        <f t="shared" si="1243"/>
        <v>4766.1000000000004</v>
      </c>
      <c r="K610" s="1052">
        <f t="shared" si="1243"/>
        <v>5176.1999999999989</v>
      </c>
      <c r="L610" s="1355">
        <f t="shared" si="1243"/>
        <v>19391.40</v>
      </c>
      <c r="M610" s="1052">
        <f t="shared" si="1243"/>
        <v>4895.30</v>
      </c>
      <c r="N610" s="1052">
        <f t="shared" si="1243"/>
        <v>5283.30</v>
      </c>
      <c r="O610" s="1052">
        <f t="shared" si="1243"/>
        <v>5273.80</v>
      </c>
      <c r="P610" s="1052">
        <f t="shared" si="1243"/>
        <v>5401.3999999999969</v>
      </c>
      <c r="Q610" s="1355">
        <f t="shared" si="1243"/>
        <v>20853.80</v>
      </c>
      <c r="R610" s="1052">
        <f t="shared" si="1243"/>
        <v>5557.4999999999991</v>
      </c>
      <c r="S610" s="1052">
        <f t="shared" si="1243"/>
        <v>5819.3000000000011</v>
      </c>
      <c r="T610" s="1052">
        <f t="shared" si="1243"/>
        <v>5935</v>
      </c>
      <c r="U610" s="1052">
        <f t="shared" si="1243"/>
        <v>6129.60</v>
      </c>
      <c r="V610" s="1355">
        <f t="shared" si="1243"/>
        <v>23441.400000000001</v>
      </c>
      <c r="W610" s="1052">
        <f t="shared" si="1243"/>
        <v>6321.6999999999989</v>
      </c>
      <c r="X610" s="1052">
        <f t="shared" si="1243"/>
        <v>6605.7000000000007</v>
      </c>
      <c r="Y610" s="1052">
        <f t="shared" si="1243"/>
        <v>6791.80</v>
      </c>
      <c r="Z610" s="1052">
        <f t="shared" si="1243"/>
        <v>7119.800000000002</v>
      </c>
      <c r="AA610" s="1355">
        <f t="shared" si="1243"/>
        <v>26839</v>
      </c>
      <c r="AB610" s="1052">
        <f t="shared" si="1243"/>
        <v>7430.10</v>
      </c>
      <c r="AC610" s="1052">
        <f t="shared" si="1243"/>
        <v>8018</v>
      </c>
      <c r="AD610" s="1052">
        <f t="shared" si="1243"/>
        <v>8495.8000000000011</v>
      </c>
      <c r="AE610" s="1052">
        <f t="shared" si="1243"/>
        <v>8035.0999999999985</v>
      </c>
      <c r="AF610" s="1355">
        <f t="shared" si="1243"/>
        <v>31979</v>
      </c>
      <c r="AG610" s="1052">
        <f t="shared" si="1243"/>
        <v>9299.9999999999982</v>
      </c>
      <c r="AH610" s="1052">
        <f t="shared" si="1243"/>
        <v>9450.6999999999989</v>
      </c>
      <c r="AI610" s="1052">
        <f t="shared" si="1243"/>
        <v>9530.50</v>
      </c>
      <c r="AJ610" s="1052">
        <f t="shared" si="1243"/>
        <v>10741.10</v>
      </c>
      <c r="AK610" s="1355">
        <f t="shared" si="1243"/>
        <v>39022.299999999996</v>
      </c>
      <c r="AL610" s="1052">
        <f t="shared" si="1243"/>
        <v>9323.4000000000015</v>
      </c>
      <c r="AM610" s="1052">
        <f t="shared" si="1243"/>
        <v>10971.699999999999</v>
      </c>
      <c r="AN610" s="1052">
        <f t="shared" si="1244" ref="AN610:AU610">AN606+AN607+AN608+AN609</f>
        <v>10947.20</v>
      </c>
      <c r="AO610" s="1052">
        <f t="shared" si="1244"/>
        <v>11415.80</v>
      </c>
      <c r="AP610" s="1355">
        <f t="shared" si="1244"/>
        <v>42658.099999999999</v>
      </c>
      <c r="AQ610" s="1052">
        <f t="shared" si="1244"/>
        <v>11445.20</v>
      </c>
      <c r="AR610" s="1052">
        <f t="shared" si="1244"/>
        <v>11905.50</v>
      </c>
      <c r="AS610" s="1052">
        <f t="shared" si="1244"/>
        <v>11859.20</v>
      </c>
      <c r="AT610" s="1052">
        <f t="shared" si="1244"/>
        <v>12492.099999999993</v>
      </c>
      <c r="AU610" s="1355">
        <f t="shared" si="1244"/>
        <v>47701.999999999993</v>
      </c>
      <c r="AV610" s="1052">
        <f t="shared" si="1245" ref="AV610:BJ610">AV606+AV607+AV608+AV609</f>
        <v>11841.500000000002</v>
      </c>
      <c r="AW610" s="1052">
        <f t="shared" si="1245"/>
        <v>11519.20</v>
      </c>
      <c r="AX610" s="1052">
        <f t="shared" si="1245"/>
        <v>12780.20</v>
      </c>
      <c r="AY610" s="1052">
        <f t="shared" si="1245"/>
        <v>13469.799999999996</v>
      </c>
      <c r="AZ610" s="1355">
        <f t="shared" si="1245"/>
        <v>49610.700000000004</v>
      </c>
      <c r="BA610" s="1052">
        <f t="shared" si="1246" ref="BA610:BI610">BA606+BA607+BA608+BA609</f>
        <v>14303.20</v>
      </c>
      <c r="BB610" s="1052">
        <f t="shared" si="1246"/>
        <v>15353.50</v>
      </c>
      <c r="BC610" s="1052">
        <f t="shared" si="1246"/>
        <v>15560.60</v>
      </c>
      <c r="BD610" s="1052">
        <f t="shared" si="1246"/>
        <v>16891.200000000004</v>
      </c>
      <c r="BE610" s="1355">
        <f t="shared" si="1246"/>
        <v>62108.50</v>
      </c>
      <c r="BF610" s="1052">
        <f>BF606+BF607+BF608+BF609</f>
        <v>17242.50</v>
      </c>
      <c r="BG610" s="1052">
        <f>BG606+BG607+BG608+BG609</f>
        <v>18134.299999999999</v>
      </c>
      <c r="BH610" s="1053">
        <f>BH606+BH607+BH608+BH609</f>
        <v>19719.000000000007</v>
      </c>
      <c r="BI610" s="1054">
        <f t="shared" si="1246"/>
        <v>18788.678007999955</v>
      </c>
      <c r="BJ610" s="1356">
        <f t="shared" si="1245"/>
        <v>73884.478007999962</v>
      </c>
      <c r="BK610" s="1054">
        <f t="shared" si="1247" ref="BK610:BR610">BK606+BK607+BK608+BK609</f>
        <v>22823.589218478082</v>
      </c>
      <c r="BL610" s="1054">
        <f t="shared" si="1247"/>
        <v>20946.837928369572</v>
      </c>
      <c r="BM610" s="1054">
        <f t="shared" si="1247"/>
        <v>22382.434469191372</v>
      </c>
      <c r="BN610" s="1054">
        <f t="shared" si="1247"/>
        <v>21072.810234425269</v>
      </c>
      <c r="BO610" s="1356">
        <f t="shared" si="1247"/>
        <v>87225.671850464292</v>
      </c>
      <c r="BP610" s="1356">
        <f t="shared" si="1247"/>
        <v>92993.495337980363</v>
      </c>
      <c r="BQ610" s="1356">
        <f t="shared" si="1247"/>
        <v>96800.837755680725</v>
      </c>
      <c r="BR610" s="1356">
        <f t="shared" si="1247"/>
        <v>100764.51706735845</v>
      </c>
      <c r="BS610" s="648"/>
    </row>
    <row r="611" spans="1:71" s="677" customFormat="1" ht="15">
      <c r="A611" s="1175" t="str">
        <f>CONCATENATE("Consensus Estimates - ",IFERROR(LEFT(A610,FIND("(",A610)-1),A610))</f>
        <v>Consensus Estimates - Net Revenue</v>
      </c>
      <c r="B611" s="1176"/>
      <c r="C611" s="1378"/>
      <c r="D611" s="1378"/>
      <c r="E611" s="1378"/>
      <c r="F611" s="1378"/>
      <c r="G611" s="1378"/>
      <c r="H611" s="1081"/>
      <c r="I611" s="1081"/>
      <c r="J611" s="1081"/>
      <c r="K611" s="1081"/>
      <c r="L611" s="1378"/>
      <c r="M611" s="1081"/>
      <c r="N611" s="1081"/>
      <c r="O611" s="1081"/>
      <c r="P611" s="1081"/>
      <c r="Q611" s="1378"/>
      <c r="R611" s="1081"/>
      <c r="S611" s="1082"/>
      <c r="T611" s="1081"/>
      <c r="U611" s="1081"/>
      <c r="V611" s="1378"/>
      <c r="W611" s="1081"/>
      <c r="X611" s="1082"/>
      <c r="Y611" s="1081"/>
      <c r="Z611" s="1081"/>
      <c r="AA611" s="1378"/>
      <c r="AB611" s="1081"/>
      <c r="AC611" s="1082"/>
      <c r="AD611" s="1081"/>
      <c r="AE611" s="1081"/>
      <c r="AF611" s="1378"/>
      <c r="AG611" s="1081"/>
      <c r="AH611" s="1082"/>
      <c r="AI611" s="1081"/>
      <c r="AJ611" s="1081"/>
      <c r="AK611" s="1378"/>
      <c r="AL611" s="1081"/>
      <c r="AM611" s="1082"/>
      <c r="AN611" s="1081"/>
      <c r="AO611" s="1081"/>
      <c r="AP611" s="1378"/>
      <c r="AQ611" s="1081"/>
      <c r="AR611" s="1082"/>
      <c r="AS611" s="1081"/>
      <c r="AT611" s="1081"/>
      <c r="AU611" s="1378"/>
      <c r="AV611" s="1081"/>
      <c r="AW611" s="1082"/>
      <c r="AX611" s="1081"/>
      <c r="AY611" s="1081"/>
      <c r="AZ611" s="1378"/>
      <c r="BA611" s="1081"/>
      <c r="BB611" s="1082"/>
      <c r="BC611" s="1081"/>
      <c r="BD611" s="1081"/>
      <c r="BE611" s="1378"/>
      <c r="BF611" s="1081"/>
      <c r="BG611" s="1082"/>
      <c r="BH611" s="1083"/>
      <c r="BI611" s="1084" t="str">
        <f ca="1" t="shared" si="1248" ref="BI611:BO611">IFERROR(VLOOKUP($A611,tb_ConsensusEstimate,MATCH(BI$5,OFFSET(tb_ConsensusEstimate,0,0,1,COLUMNS(tb_ConsensusEstimate)),0),FALSE),"-")</f>
        <v>N/A</v>
      </c>
      <c r="BJ611" s="1379" t="str">
        <f t="shared" ca="1" si="1248"/>
        <v>N/A</v>
      </c>
      <c r="BK611" s="1084" t="str">
        <f t="shared" ca="1" si="1248"/>
        <v>N/A</v>
      </c>
      <c r="BL611" s="1084" t="str">
        <f t="shared" ca="1" si="1248"/>
        <v>N/A</v>
      </c>
      <c r="BM611" s="1084" t="str">
        <f t="shared" ca="1" si="1248"/>
        <v>N/A</v>
      </c>
      <c r="BN611" s="1084" t="str">
        <f t="shared" ca="1" si="1248"/>
        <v>N/A</v>
      </c>
      <c r="BO611" s="1379" t="str">
        <f t="shared" ca="1" si="1248"/>
        <v>N/A</v>
      </c>
      <c r="BP611" s="1328" t="str">
        <f ca="1">IFERROR(VLOOKUP($A611,tb_ConsensusEstimate,MATCH(BP5,OFFSET(tb_ConsensusEstimate,0,0,1,COLUMNS(tb_ConsensusEstimate)),0),FALSE),"-")</f>
        <v>N/A</v>
      </c>
      <c r="BQ611" s="1328" t="str">
        <f ca="1">IFERROR(VLOOKUP($A611,tb_ConsensusEstimate,MATCH(BQ5,OFFSET(tb_ConsensusEstimate,0,0,1,COLUMNS(tb_ConsensusEstimate)),0),FALSE),"-")</f>
        <v>N/A</v>
      </c>
      <c r="BR611" s="1379" t="str">
        <f ca="1">IFERROR(VLOOKUP($A611,tb_ConsensusEstimate,MATCH(BR5,OFFSET(tb_ConsensusEstimate,0,0,1,COLUMNS(tb_ConsensusEstimate)),0),FALSE),"-")</f>
        <v>N/A</v>
      </c>
      <c r="BS611" s="648"/>
    </row>
    <row r="612" spans="1:71" s="668" customFormat="1" ht="15">
      <c r="A612" s="904"/>
      <c r="B612" s="367"/>
      <c r="C612" s="1322"/>
      <c r="D612" s="1322"/>
      <c r="E612" s="1322"/>
      <c r="F612" s="1322"/>
      <c r="G612" s="1322"/>
      <c r="H612" s="1031"/>
      <c r="I612" s="1031"/>
      <c r="J612" s="1031"/>
      <c r="K612" s="1031"/>
      <c r="L612" s="1322"/>
      <c r="M612" s="1031"/>
      <c r="N612" s="1031"/>
      <c r="O612" s="1031"/>
      <c r="P612" s="1031"/>
      <c r="Q612" s="1322"/>
      <c r="R612" s="1031"/>
      <c r="S612" s="1031"/>
      <c r="T612" s="1031"/>
      <c r="U612" s="1031"/>
      <c r="V612" s="1322"/>
      <c r="W612" s="1031"/>
      <c r="X612" s="1031"/>
      <c r="Y612" s="1031"/>
      <c r="Z612" s="1031"/>
      <c r="AA612" s="1322"/>
      <c r="AB612" s="1031"/>
      <c r="AC612" s="1031"/>
      <c r="AD612" s="1031"/>
      <c r="AE612" s="1031"/>
      <c r="AF612" s="1322"/>
      <c r="AG612" s="1031"/>
      <c r="AH612" s="1031"/>
      <c r="AI612" s="1031"/>
      <c r="AJ612" s="1031"/>
      <c r="AK612" s="1322"/>
      <c r="AL612" s="1031"/>
      <c r="AM612" s="1031"/>
      <c r="AN612" s="1031"/>
      <c r="AO612" s="1031"/>
      <c r="AP612" s="1322"/>
      <c r="AQ612" s="1031"/>
      <c r="AR612" s="1031"/>
      <c r="AS612" s="1031"/>
      <c r="AT612" s="1031"/>
      <c r="AU612" s="1322"/>
      <c r="AV612" s="1031"/>
      <c r="AW612" s="1031"/>
      <c r="AX612" s="1031"/>
      <c r="AY612" s="1031"/>
      <c r="AZ612" s="1322"/>
      <c r="BA612" s="1031"/>
      <c r="BB612" s="1031"/>
      <c r="BC612" s="1031"/>
      <c r="BD612" s="1031"/>
      <c r="BE612" s="1322"/>
      <c r="BF612" s="1031"/>
      <c r="BG612" s="1031"/>
      <c r="BH612" s="1049"/>
      <c r="BI612" s="1023"/>
      <c r="BJ612" s="1321"/>
      <c r="BK612" s="1023"/>
      <c r="BL612" s="1023"/>
      <c r="BM612" s="1023"/>
      <c r="BN612" s="1023"/>
      <c r="BO612" s="1321"/>
      <c r="BP612" s="1322"/>
      <c r="BQ612" s="1322"/>
      <c r="BR612" s="1321"/>
      <c r="BS612" s="648"/>
    </row>
    <row r="613" spans="1:71" s="665" customFormat="1" ht="15">
      <c r="A613" s="371" t="s">
        <v>86</v>
      </c>
      <c r="B613" s="321"/>
      <c r="C613" s="1349">
        <f t="shared" si="1249" ref="C613:AP613">C583</f>
        <v>9904.90</v>
      </c>
      <c r="D613" s="1349">
        <f t="shared" si="1249"/>
        <v>10131.299999999999</v>
      </c>
      <c r="E613" s="1349">
        <f t="shared" si="1249"/>
        <v>10634.80</v>
      </c>
      <c r="F613" s="1349">
        <f t="shared" si="1249"/>
        <v>11948</v>
      </c>
      <c r="G613" s="1349">
        <f t="shared" si="1249"/>
        <v>12472.40</v>
      </c>
      <c r="H613" s="1042">
        <f t="shared" si="1249"/>
        <v>3205.90</v>
      </c>
      <c r="I613" s="1042">
        <f t="shared" si="1249"/>
        <v>3269.10</v>
      </c>
      <c r="J613" s="1042">
        <f t="shared" si="1249"/>
        <v>3291.80</v>
      </c>
      <c r="K613" s="1042">
        <f t="shared" si="1249"/>
        <v>3539.4000000000015</v>
      </c>
      <c r="L613" s="1349">
        <f t="shared" si="1249"/>
        <v>13306.20</v>
      </c>
      <c r="M613" s="1042">
        <f t="shared" si="1249"/>
        <v>3368.60</v>
      </c>
      <c r="N613" s="1042">
        <f t="shared" si="1249"/>
        <v>3617.20</v>
      </c>
      <c r="O613" s="1042">
        <f t="shared" si="1249"/>
        <v>3654.30</v>
      </c>
      <c r="P613" s="1042">
        <f t="shared" si="1249"/>
        <v>3701.9000000000015</v>
      </c>
      <c r="Q613" s="1349">
        <f t="shared" si="1249"/>
        <v>14342</v>
      </c>
      <c r="R613" s="1042">
        <f t="shared" si="1249"/>
        <v>3913.40</v>
      </c>
      <c r="S613" s="1042">
        <f t="shared" si="1249"/>
        <v>4243</v>
      </c>
      <c r="T613" s="1042">
        <f t="shared" si="1249"/>
        <v>4398.20</v>
      </c>
      <c r="U613" s="1042">
        <f t="shared" si="1249"/>
        <v>4325</v>
      </c>
      <c r="V613" s="1349">
        <f t="shared" si="1249"/>
        <v>16879.60</v>
      </c>
      <c r="W613" s="1042">
        <f t="shared" si="1249"/>
        <v>4263.3999999999996</v>
      </c>
      <c r="X613" s="1042">
        <f t="shared" si="1249"/>
        <v>4614.8999999999996</v>
      </c>
      <c r="Y613" s="1042">
        <f t="shared" si="1249"/>
        <v>5050.50</v>
      </c>
      <c r="Z613" s="1042">
        <f t="shared" si="1249"/>
        <v>4879.2000000000007</v>
      </c>
      <c r="AA613" s="1349">
        <f t="shared" si="1249"/>
        <v>18808</v>
      </c>
      <c r="AB613" s="1042">
        <f t="shared" si="1249"/>
        <v>4870.80</v>
      </c>
      <c r="AC613" s="1042">
        <f t="shared" si="1249"/>
        <v>5375.30</v>
      </c>
      <c r="AD613" s="1042">
        <f t="shared" si="1249"/>
        <v>5523.10</v>
      </c>
      <c r="AE613" s="1042">
        <f t="shared" si="1249"/>
        <v>5951.7999999999993</v>
      </c>
      <c r="AF613" s="1349">
        <f t="shared" si="1249"/>
        <v>21721</v>
      </c>
      <c r="AG613" s="1042">
        <f t="shared" si="1249"/>
        <v>5759</v>
      </c>
      <c r="AH613" s="1042">
        <f t="shared" si="1249"/>
        <v>6138.10</v>
      </c>
      <c r="AI613" s="1042">
        <f t="shared" si="1249"/>
        <v>6426.30</v>
      </c>
      <c r="AJ613" s="1042">
        <f t="shared" si="1249"/>
        <v>7147.0999999999985</v>
      </c>
      <c r="AK613" s="1349">
        <f t="shared" si="1249"/>
        <v>25470.50</v>
      </c>
      <c r="AL613" s="1042">
        <f t="shared" si="1249"/>
        <v>6155.20</v>
      </c>
      <c r="AM613" s="1042">
        <f t="shared" si="1249"/>
        <v>5321.40</v>
      </c>
      <c r="AN613" s="1042">
        <f t="shared" si="1249"/>
        <v>6713.10</v>
      </c>
      <c r="AO613" s="1042">
        <f t="shared" si="1249"/>
        <v>6932.1000000000022</v>
      </c>
      <c r="AP613" s="1349">
        <f t="shared" si="1249"/>
        <v>25121.799999999999</v>
      </c>
      <c r="AQ613" s="1042">
        <f t="shared" si="1250" ref="AQ613:AW617">AQ583</f>
        <v>7110.50</v>
      </c>
      <c r="AR613" s="1042">
        <f t="shared" si="1250"/>
        <v>8406.40</v>
      </c>
      <c r="AS613" s="1042">
        <f t="shared" si="1250"/>
        <v>9250.7000000000007</v>
      </c>
      <c r="AT613" s="1042">
        <f t="shared" si="1250"/>
        <v>8860</v>
      </c>
      <c r="AU613" s="1349">
        <f t="shared" si="1250"/>
        <v>33627.60</v>
      </c>
      <c r="AV613" s="1042">
        <f t="shared" si="1250"/>
        <v>8858.40</v>
      </c>
      <c r="AW613" s="1042">
        <f t="shared" si="1250"/>
        <v>9421.10</v>
      </c>
      <c r="AX613" s="1042">
        <f t="shared" si="1251" ref="AX613:AZ617">AX583</f>
        <v>10018.700000000001</v>
      </c>
      <c r="AY613" s="1042">
        <f t="shared" si="1251"/>
        <v>9824.4999999999964</v>
      </c>
      <c r="AZ613" s="1349">
        <f t="shared" si="1251"/>
        <v>38122.699999999997</v>
      </c>
      <c r="BA613" s="1042">
        <f t="shared" si="1252" ref="BA613:BB617">BA583</f>
        <v>10624</v>
      </c>
      <c r="BB613" s="1042">
        <f t="shared" si="1252"/>
        <v>12170.099999999999</v>
      </c>
      <c r="BC613" s="1042">
        <f t="shared" si="1253" ref="BC613:BE617">BC583</f>
        <v>11387.90</v>
      </c>
      <c r="BD613" s="1042">
        <f t="shared" si="1253"/>
        <v>11472.60</v>
      </c>
      <c r="BE613" s="1349">
        <f t="shared" si="1253"/>
        <v>45654.599999999999</v>
      </c>
      <c r="BF613" s="1042">
        <f t="shared" si="1254" ref="BF613:BG617">BF583</f>
        <v>10971.60</v>
      </c>
      <c r="BG613" s="1042">
        <f t="shared" si="1254"/>
        <v>12595.300000000001</v>
      </c>
      <c r="BH613" s="1043">
        <f>BH583</f>
        <v>12510.299999999994</v>
      </c>
      <c r="BI613" s="1044">
        <f>BI508</f>
        <v>13563.335002433738</v>
      </c>
      <c r="BJ613" s="1350">
        <f t="shared" si="1255" ref="BJ613:BJ620">SUM(BF613,BG613,BH613,BI613)</f>
        <v>49640.535002433739</v>
      </c>
      <c r="BK613" s="1044">
        <f>BK508</f>
        <v>16086.160765705765</v>
      </c>
      <c r="BL613" s="1044">
        <f>BL508</f>
        <v>15012.267778075118</v>
      </c>
      <c r="BM613" s="1044">
        <f>BM508</f>
        <v>15535.283064004127</v>
      </c>
      <c r="BN613" s="1044">
        <f>BN508</f>
        <v>14864.533824892049</v>
      </c>
      <c r="BO613" s="1350">
        <f t="shared" si="1256" ref="BO613:BO620">SUM(BK613,BL613,BM613,BN613)</f>
        <v>61498.245432677053</v>
      </c>
      <c r="BP613" s="1351">
        <f>BP508</f>
        <v>65925.906555438996</v>
      </c>
      <c r="BQ613" s="1351">
        <f>BQ508</f>
        <v>68589.313180278725</v>
      </c>
      <c r="BR613" s="1350">
        <f>BR508</f>
        <v>71360.321432761993</v>
      </c>
      <c r="BS613" s="648"/>
    </row>
    <row r="614" spans="1:71" s="665" customFormat="1" ht="15">
      <c r="A614" s="371" t="s">
        <v>87</v>
      </c>
      <c r="B614" s="321"/>
      <c r="C614" s="1349">
        <f t="shared" si="1257" ref="C614:AP614">C584</f>
        <v>1364.60</v>
      </c>
      <c r="D614" s="1349">
        <f t="shared" si="1257"/>
        <v>1359.90</v>
      </c>
      <c r="E614" s="1349">
        <f t="shared" si="1257"/>
        <v>1399.20</v>
      </c>
      <c r="F614" s="1349">
        <f t="shared" si="1257"/>
        <v>1436.60</v>
      </c>
      <c r="G614" s="1349">
        <f t="shared" si="1257"/>
        <v>1451.80</v>
      </c>
      <c r="H614" s="1042">
        <f t="shared" si="1257"/>
        <v>369</v>
      </c>
      <c r="I614" s="1042">
        <f t="shared" si="1257"/>
        <v>374.80</v>
      </c>
      <c r="J614" s="1042">
        <f t="shared" si="1257"/>
        <v>375.20</v>
      </c>
      <c r="K614" s="1042">
        <f t="shared" si="1257"/>
        <v>405</v>
      </c>
      <c r="L614" s="1349">
        <f t="shared" si="1257"/>
        <v>1524</v>
      </c>
      <c r="M614" s="1042">
        <f t="shared" si="1257"/>
        <v>379.40</v>
      </c>
      <c r="N614" s="1042">
        <f t="shared" si="1257"/>
        <v>417.30</v>
      </c>
      <c r="O614" s="1042">
        <f t="shared" si="1257"/>
        <v>423.20</v>
      </c>
      <c r="P614" s="1042">
        <f t="shared" si="1257"/>
        <v>431.89999999999986</v>
      </c>
      <c r="Q614" s="1349">
        <f t="shared" si="1257"/>
        <v>1651.80</v>
      </c>
      <c r="R614" s="1042">
        <f t="shared" si="1257"/>
        <v>440.30</v>
      </c>
      <c r="S614" s="1042">
        <f t="shared" si="1257"/>
        <v>458.90</v>
      </c>
      <c r="T614" s="1042">
        <f t="shared" si="1257"/>
        <v>475.40</v>
      </c>
      <c r="U614" s="1042">
        <f t="shared" si="1257"/>
        <v>489.20000000000005</v>
      </c>
      <c r="V614" s="1349">
        <f t="shared" si="1257"/>
        <v>1863.80</v>
      </c>
      <c r="W614" s="1042">
        <f t="shared" si="1257"/>
        <v>502.90</v>
      </c>
      <c r="X614" s="1042">
        <f t="shared" si="1257"/>
        <v>514.20000000000005</v>
      </c>
      <c r="Y614" s="1042">
        <f t="shared" si="1257"/>
        <v>540.10</v>
      </c>
      <c r="Z614" s="1042">
        <f t="shared" si="1257"/>
        <v>567.70000000000005</v>
      </c>
      <c r="AA614" s="1349">
        <f t="shared" si="1257"/>
        <v>2124.90</v>
      </c>
      <c r="AB614" s="1042">
        <f t="shared" si="1257"/>
        <v>596.20000000000005</v>
      </c>
      <c r="AC614" s="1042">
        <f t="shared" si="1257"/>
        <v>630.79999999999995</v>
      </c>
      <c r="AD614" s="1042">
        <f t="shared" si="1257"/>
        <v>662.70</v>
      </c>
      <c r="AE614" s="1042">
        <f t="shared" si="1257"/>
        <v>683.99999999999977</v>
      </c>
      <c r="AF614" s="1349">
        <f t="shared" si="1257"/>
        <v>2573.6999999999998</v>
      </c>
      <c r="AG614" s="1042">
        <f t="shared" si="1257"/>
        <v>710.60</v>
      </c>
      <c r="AH614" s="1042">
        <f t="shared" si="1257"/>
        <v>738.60</v>
      </c>
      <c r="AI614" s="1042">
        <f t="shared" si="1257"/>
        <v>751.50</v>
      </c>
      <c r="AJ614" s="1042">
        <f t="shared" si="1257"/>
        <v>822.50</v>
      </c>
      <c r="AK614" s="1349">
        <f t="shared" si="1257"/>
        <v>3023.20</v>
      </c>
      <c r="AL614" s="1042">
        <f t="shared" si="1257"/>
        <v>782.80</v>
      </c>
      <c r="AM614" s="1042">
        <f t="shared" si="1257"/>
        <v>795.50</v>
      </c>
      <c r="AN614" s="1042">
        <f t="shared" si="1257"/>
        <v>835.20</v>
      </c>
      <c r="AO614" s="1042">
        <f t="shared" si="1257"/>
        <v>859.69999999999982</v>
      </c>
      <c r="AP614" s="1349">
        <f t="shared" si="1257"/>
        <v>3273.20</v>
      </c>
      <c r="AQ614" s="1042">
        <f t="shared" si="1250"/>
        <v>874.40</v>
      </c>
      <c r="AR614" s="1042">
        <f t="shared" si="1250"/>
        <v>928.80</v>
      </c>
      <c r="AS614" s="1042">
        <f t="shared" si="1250"/>
        <v>951.50</v>
      </c>
      <c r="AT614" s="1042">
        <f t="shared" si="1250"/>
        <v>958.10000000000036</v>
      </c>
      <c r="AU614" s="1349">
        <f t="shared" si="1250"/>
        <v>3712.80</v>
      </c>
      <c r="AV614" s="1042">
        <f t="shared" si="1250"/>
        <v>963.40</v>
      </c>
      <c r="AW614" s="1042">
        <f t="shared" si="1250"/>
        <v>933.60</v>
      </c>
      <c r="AX614" s="1042">
        <f t="shared" si="1251"/>
        <v>970.90</v>
      </c>
      <c r="AY614" s="1042">
        <f t="shared" si="1251"/>
        <v>1049.0999999999999</v>
      </c>
      <c r="AZ614" s="1349">
        <f t="shared" si="1251"/>
        <v>3917</v>
      </c>
      <c r="BA614" s="1042">
        <f t="shared" si="1252"/>
        <v>1115.80</v>
      </c>
      <c r="BB614" s="1042">
        <f t="shared" si="1252"/>
        <v>1153.6000000000001</v>
      </c>
      <c r="BC614" s="1042">
        <f t="shared" si="1253"/>
        <v>1173.20</v>
      </c>
      <c r="BD614" s="1042">
        <f t="shared" si="1253"/>
        <v>1222.50</v>
      </c>
      <c r="BE614" s="1349">
        <f t="shared" si="1253"/>
        <v>4665.1000000000004</v>
      </c>
      <c r="BF614" s="1042">
        <f t="shared" si="1254"/>
        <v>1232.20</v>
      </c>
      <c r="BG614" s="1042">
        <f t="shared" si="1254"/>
        <v>1307.6000000000001</v>
      </c>
      <c r="BH614" s="1043">
        <f>BH584</f>
        <v>1390.1999999999996</v>
      </c>
      <c r="BI614" s="1044">
        <f>BI511</f>
        <v>1343.4270432284175</v>
      </c>
      <c r="BJ614" s="1350">
        <f t="shared" si="1255"/>
        <v>5273.4270432284175</v>
      </c>
      <c r="BK614" s="1044">
        <f>BK511</f>
        <v>1593.2296473575718</v>
      </c>
      <c r="BL614" s="1044">
        <f>BL511</f>
        <v>1475.8975723425897</v>
      </c>
      <c r="BM614" s="1044">
        <f>BM511</f>
        <v>1575.5958656497069</v>
      </c>
      <c r="BN614" s="1044">
        <f>BN511</f>
        <v>1493.4997500484094</v>
      </c>
      <c r="BO614" s="1350">
        <f t="shared" si="1256"/>
        <v>6138.2228353982782</v>
      </c>
      <c r="BP614" s="1351">
        <f>BP511</f>
        <v>6486.9242613131491</v>
      </c>
      <c r="BQ614" s="1351">
        <f>BQ511</f>
        <v>6657.7082331257961</v>
      </c>
      <c r="BR614" s="1350">
        <f>BR511</f>
        <v>6831.7038515585582</v>
      </c>
      <c r="BS614" s="648"/>
    </row>
    <row r="615" spans="1:71" s="665" customFormat="1" ht="15">
      <c r="A615" s="371" t="s">
        <v>88</v>
      </c>
      <c r="B615" s="321"/>
      <c r="C615" s="1349">
        <f t="shared" si="1258" ref="C615:AP615">C585</f>
        <v>1567.70</v>
      </c>
      <c r="D615" s="1349">
        <f t="shared" si="1258"/>
        <v>1992.30</v>
      </c>
      <c r="E615" s="1349">
        <f t="shared" si="1258"/>
        <v>2088</v>
      </c>
      <c r="F615" s="1349">
        <f t="shared" si="1258"/>
        <v>2206.3000000000002</v>
      </c>
      <c r="G615" s="1349">
        <f t="shared" si="1258"/>
        <v>2350.90</v>
      </c>
      <c r="H615" s="1042">
        <f t="shared" si="1258"/>
        <v>610.40</v>
      </c>
      <c r="I615" s="1042">
        <f t="shared" si="1258"/>
        <v>611.70000000000005</v>
      </c>
      <c r="J615" s="1042">
        <f t="shared" si="1258"/>
        <v>609.20000000000005</v>
      </c>
      <c r="K615" s="1042">
        <f t="shared" si="1258"/>
        <v>635.79999999999995</v>
      </c>
      <c r="L615" s="1349">
        <f t="shared" si="1258"/>
        <v>2467.10</v>
      </c>
      <c r="M615" s="1042">
        <f t="shared" si="1258"/>
        <v>650.40</v>
      </c>
      <c r="N615" s="1042">
        <f t="shared" si="1258"/>
        <v>662.40</v>
      </c>
      <c r="O615" s="1042">
        <f t="shared" si="1258"/>
        <v>707.50</v>
      </c>
      <c r="P615" s="1042">
        <f t="shared" si="1258"/>
        <v>691.80</v>
      </c>
      <c r="Q615" s="1349">
        <f t="shared" si="1258"/>
        <v>2712.10</v>
      </c>
      <c r="R615" s="1042">
        <f t="shared" si="1258"/>
        <v>755.80</v>
      </c>
      <c r="S615" s="1042">
        <f t="shared" si="1258"/>
        <v>766.80</v>
      </c>
      <c r="T615" s="1042">
        <f t="shared" si="1258"/>
        <v>739.60</v>
      </c>
      <c r="U615" s="1042">
        <f t="shared" si="1258"/>
        <v>709.80000000000018</v>
      </c>
      <c r="V615" s="1349">
        <f t="shared" si="1258"/>
        <v>2972</v>
      </c>
      <c r="W615" s="1042">
        <f t="shared" si="1258"/>
        <v>845.60</v>
      </c>
      <c r="X615" s="1042">
        <f t="shared" si="1258"/>
        <v>845</v>
      </c>
      <c r="Y615" s="1042">
        <f t="shared" si="1258"/>
        <v>877.70</v>
      </c>
      <c r="Z615" s="1042">
        <f t="shared" si="1258"/>
        <v>912.39999999999964</v>
      </c>
      <c r="AA615" s="1349">
        <f t="shared" si="1258"/>
        <v>3480.70</v>
      </c>
      <c r="AB615" s="1042">
        <f t="shared" si="1258"/>
        <v>980.20</v>
      </c>
      <c r="AC615" s="1042">
        <f t="shared" si="1258"/>
        <v>1046.9000000000001</v>
      </c>
      <c r="AD615" s="1042">
        <f t="shared" si="1258"/>
        <v>1095.9000000000001</v>
      </c>
      <c r="AE615" s="1042">
        <f t="shared" si="1258"/>
        <v>1072.8000000000002</v>
      </c>
      <c r="AF615" s="1349">
        <f t="shared" si="1258"/>
        <v>4195.80</v>
      </c>
      <c r="AG615" s="1042">
        <f t="shared" si="1258"/>
        <v>1171.20</v>
      </c>
      <c r="AH615" s="1042">
        <f t="shared" si="1258"/>
        <v>1231.50</v>
      </c>
      <c r="AI615" s="1042">
        <f t="shared" si="1258"/>
        <v>1240.30</v>
      </c>
      <c r="AJ615" s="1042">
        <f t="shared" si="1258"/>
        <v>1332.1000000000004</v>
      </c>
      <c r="AK615" s="1349">
        <f t="shared" si="1258"/>
        <v>4975.1000000000004</v>
      </c>
      <c r="AL615" s="1042">
        <f t="shared" si="1258"/>
        <v>1409.90</v>
      </c>
      <c r="AM615" s="1042">
        <f t="shared" si="1258"/>
        <v>1438.90</v>
      </c>
      <c r="AN615" s="1042">
        <f t="shared" si="1258"/>
        <v>1330.90</v>
      </c>
      <c r="AO615" s="1042">
        <f t="shared" si="1258"/>
        <v>1390.2999999999993</v>
      </c>
      <c r="AP615" s="1349">
        <f t="shared" si="1258"/>
        <v>5570</v>
      </c>
      <c r="AQ615" s="1042">
        <f t="shared" si="1250"/>
        <v>1481.10</v>
      </c>
      <c r="AR615" s="1042">
        <f t="shared" si="1250"/>
        <v>1440.50</v>
      </c>
      <c r="AS615" s="1042">
        <f t="shared" si="1250"/>
        <v>1384.40</v>
      </c>
      <c r="AT615" s="1042">
        <f t="shared" si="1250"/>
        <v>1348.6999999999998</v>
      </c>
      <c r="AU615" s="1349">
        <f t="shared" si="1250"/>
        <v>5654.70</v>
      </c>
      <c r="AV615" s="1042">
        <f t="shared" si="1250"/>
        <v>1506.30</v>
      </c>
      <c r="AW615" s="1042">
        <f t="shared" si="1250"/>
        <v>1431.20</v>
      </c>
      <c r="AX615" s="1042">
        <f t="shared" si="1251"/>
        <v>1496.40</v>
      </c>
      <c r="AY615" s="1042">
        <f t="shared" si="1251"/>
        <v>1425.7000000000007</v>
      </c>
      <c r="AZ615" s="1349">
        <f t="shared" si="1251"/>
        <v>5859.60</v>
      </c>
      <c r="BA615" s="1042">
        <f t="shared" si="1252"/>
        <v>1857.90</v>
      </c>
      <c r="BB615" s="1042">
        <f t="shared" si="1252"/>
        <v>1431.6999999999998</v>
      </c>
      <c r="BC615" s="1042">
        <f t="shared" si="1253"/>
        <v>1420.70</v>
      </c>
      <c r="BD615" s="1042">
        <f t="shared" si="1253"/>
        <v>1531.1999999999998</v>
      </c>
      <c r="BE615" s="1349">
        <f t="shared" si="1253"/>
        <v>6241.50</v>
      </c>
      <c r="BF615" s="1042">
        <f t="shared" si="1254"/>
        <v>1931.40</v>
      </c>
      <c r="BG615" s="1042">
        <f t="shared" si="1254"/>
        <v>2179.7999999999997</v>
      </c>
      <c r="BH615" s="1043">
        <f>BH585</f>
        <v>2669.900000000001</v>
      </c>
      <c r="BI615" s="1044">
        <f>BI516</f>
        <v>1634.4197885672231</v>
      </c>
      <c r="BJ615" s="1350">
        <f t="shared" si="1255"/>
        <v>8415.5197885672242</v>
      </c>
      <c r="BK615" s="1044">
        <f>BK516</f>
        <v>2457.3011418829733</v>
      </c>
      <c r="BL615" s="1044">
        <f>BL516</f>
        <v>2453.8192216820826</v>
      </c>
      <c r="BM615" s="1044">
        <f>BM516</f>
        <v>3045.2848593868689</v>
      </c>
      <c r="BN615" s="1044">
        <f>BN516</f>
        <v>1761.9451943411602</v>
      </c>
      <c r="BO615" s="1350">
        <f t="shared" si="1256"/>
        <v>9718.3504172930861</v>
      </c>
      <c r="BP615" s="1351">
        <f>BP516</f>
        <v>10409.385234081583</v>
      </c>
      <c r="BQ615" s="1351">
        <f>BQ516</f>
        <v>10829.92439753848</v>
      </c>
      <c r="BR615" s="1350">
        <f>BR516</f>
        <v>11267.453343199033</v>
      </c>
      <c r="BS615" s="648"/>
    </row>
    <row r="616" spans="1:71" s="665" customFormat="1" ht="15">
      <c r="A616" s="999" t="s">
        <v>687</v>
      </c>
      <c r="B616" s="321"/>
      <c r="C616" s="1351">
        <f t="shared" si="1259" ref="C616:AP616">C586</f>
        <v>0</v>
      </c>
      <c r="D616" s="1351">
        <f t="shared" si="1259"/>
        <v>0</v>
      </c>
      <c r="E616" s="1351">
        <f t="shared" si="1259"/>
        <v>0</v>
      </c>
      <c r="F616" s="1351">
        <f t="shared" si="1259"/>
        <v>0</v>
      </c>
      <c r="G616" s="1351">
        <f t="shared" si="1259"/>
        <v>0</v>
      </c>
      <c r="H616" s="1047">
        <f t="shared" si="1259"/>
        <v>0</v>
      </c>
      <c r="I616" s="1047">
        <f t="shared" si="1259"/>
        <v>0</v>
      </c>
      <c r="J616" s="1047">
        <f t="shared" si="1259"/>
        <v>0</v>
      </c>
      <c r="K616" s="1047">
        <f t="shared" si="1259"/>
        <v>0</v>
      </c>
      <c r="L616" s="1351">
        <f t="shared" si="1259"/>
        <v>0</v>
      </c>
      <c r="M616" s="1047">
        <f t="shared" si="1259"/>
        <v>0</v>
      </c>
      <c r="N616" s="1047">
        <f t="shared" si="1259"/>
        <v>0</v>
      </c>
      <c r="O616" s="1047">
        <f t="shared" si="1259"/>
        <v>0</v>
      </c>
      <c r="P616" s="1047">
        <f t="shared" si="1259"/>
        <v>0</v>
      </c>
      <c r="Q616" s="1351">
        <f t="shared" si="1259"/>
        <v>0</v>
      </c>
      <c r="R616" s="1047">
        <f t="shared" si="1259"/>
        <v>0</v>
      </c>
      <c r="S616" s="1047">
        <f t="shared" si="1259"/>
        <v>0</v>
      </c>
      <c r="T616" s="1047">
        <f t="shared" si="1259"/>
        <v>0</v>
      </c>
      <c r="U616" s="1047">
        <f t="shared" si="1259"/>
        <v>0</v>
      </c>
      <c r="V616" s="1351">
        <f t="shared" si="1259"/>
        <v>0</v>
      </c>
      <c r="W616" s="1047">
        <f t="shared" si="1259"/>
        <v>0</v>
      </c>
      <c r="X616" s="1047">
        <f t="shared" si="1259"/>
        <v>0</v>
      </c>
      <c r="Y616" s="1047">
        <f t="shared" si="1259"/>
        <v>0</v>
      </c>
      <c r="Z616" s="1047">
        <f t="shared" si="1259"/>
        <v>0</v>
      </c>
      <c r="AA616" s="1351">
        <f t="shared" si="1259"/>
        <v>0</v>
      </c>
      <c r="AB616" s="1047">
        <f t="shared" si="1259"/>
        <v>0</v>
      </c>
      <c r="AC616" s="1047">
        <f t="shared" si="1259"/>
        <v>0</v>
      </c>
      <c r="AD616" s="1047">
        <f t="shared" si="1259"/>
        <v>0</v>
      </c>
      <c r="AE616" s="1047">
        <f t="shared" si="1259"/>
        <v>0</v>
      </c>
      <c r="AF616" s="1351">
        <f t="shared" si="1259"/>
        <v>0</v>
      </c>
      <c r="AG616" s="1047">
        <f t="shared" si="1259"/>
        <v>0</v>
      </c>
      <c r="AH616" s="1047">
        <f t="shared" si="1259"/>
        <v>0</v>
      </c>
      <c r="AI616" s="1047">
        <f t="shared" si="1259"/>
        <v>0</v>
      </c>
      <c r="AJ616" s="1047">
        <f t="shared" si="1259"/>
        <v>0</v>
      </c>
      <c r="AK616" s="1351">
        <f t="shared" si="1259"/>
        <v>0</v>
      </c>
      <c r="AL616" s="1047">
        <f t="shared" si="1259"/>
        <v>0</v>
      </c>
      <c r="AM616" s="1047">
        <f t="shared" si="1259"/>
        <v>1033.4000000000001</v>
      </c>
      <c r="AN616" s="1047">
        <f t="shared" si="1259"/>
        <v>29</v>
      </c>
      <c r="AO616" s="1047">
        <f t="shared" si="1259"/>
        <v>15</v>
      </c>
      <c r="AP616" s="1351">
        <f t="shared" si="1259"/>
        <v>1077.4000000000001</v>
      </c>
      <c r="AQ616" s="1047">
        <f t="shared" si="1250"/>
        <v>0</v>
      </c>
      <c r="AR616" s="1047">
        <f t="shared" si="1250"/>
        <v>0</v>
      </c>
      <c r="AS616" s="1047">
        <f t="shared" si="1250"/>
        <v>0</v>
      </c>
      <c r="AT616" s="1047">
        <f t="shared" si="1250"/>
        <v>0</v>
      </c>
      <c r="AU616" s="1351">
        <f t="shared" si="1250"/>
        <v>0</v>
      </c>
      <c r="AV616" s="1047">
        <f t="shared" si="1250"/>
        <v>0</v>
      </c>
      <c r="AW616" s="1047">
        <f t="shared" si="1250"/>
        <v>0</v>
      </c>
      <c r="AX616" s="1047">
        <f t="shared" si="1251"/>
        <v>0</v>
      </c>
      <c r="AY616" s="1047">
        <f t="shared" si="1251"/>
        <v>0</v>
      </c>
      <c r="AZ616" s="1351">
        <f t="shared" si="1251"/>
        <v>0</v>
      </c>
      <c r="BA616" s="1047">
        <f t="shared" si="1252"/>
        <v>0</v>
      </c>
      <c r="BB616" s="1047">
        <f t="shared" si="1252"/>
        <v>0</v>
      </c>
      <c r="BC616" s="1047">
        <f t="shared" si="1253"/>
        <v>0</v>
      </c>
      <c r="BD616" s="1047">
        <f t="shared" si="1253"/>
        <v>0</v>
      </c>
      <c r="BE616" s="1351">
        <f t="shared" si="1253"/>
        <v>0</v>
      </c>
      <c r="BF616" s="1047">
        <f t="shared" si="1254"/>
        <v>0</v>
      </c>
      <c r="BG616" s="1047">
        <f t="shared" si="1254"/>
        <v>0</v>
      </c>
      <c r="BH616" s="1048">
        <f>BH586</f>
        <v>0</v>
      </c>
      <c r="BI616" s="1044">
        <f>BI521</f>
        <v>0</v>
      </c>
      <c r="BJ616" s="1350">
        <f t="shared" si="1255"/>
        <v>0</v>
      </c>
      <c r="BK616" s="1044">
        <f>BK521</f>
        <v>0</v>
      </c>
      <c r="BL616" s="1044">
        <f>BL521</f>
        <v>0</v>
      </c>
      <c r="BM616" s="1044">
        <f>BM521</f>
        <v>0</v>
      </c>
      <c r="BN616" s="1044">
        <f>BN521</f>
        <v>0</v>
      </c>
      <c r="BO616" s="1350">
        <f t="shared" si="1256"/>
        <v>0</v>
      </c>
      <c r="BP616" s="1351">
        <f>BP521</f>
        <v>0</v>
      </c>
      <c r="BQ616" s="1351">
        <f>BQ521</f>
        <v>0</v>
      </c>
      <c r="BR616" s="1350">
        <f>BR521</f>
        <v>0</v>
      </c>
      <c r="BS616" s="648"/>
    </row>
    <row r="617" spans="1:71" s="665" customFormat="1" ht="15">
      <c r="A617" s="999" t="s">
        <v>686</v>
      </c>
      <c r="B617" s="321"/>
      <c r="C617" s="1351">
        <f t="shared" si="1260" ref="C617:AP617">C587</f>
        <v>11.10</v>
      </c>
      <c r="D617" s="1351">
        <f t="shared" si="1260"/>
        <v>11.90</v>
      </c>
      <c r="E617" s="1351">
        <f t="shared" si="1260"/>
        <v>13.50</v>
      </c>
      <c r="F617" s="1351">
        <f t="shared" si="1260"/>
        <v>15.40</v>
      </c>
      <c r="G617" s="1351">
        <f t="shared" si="1260"/>
        <v>18.80</v>
      </c>
      <c r="H617" s="1047">
        <f t="shared" si="1260"/>
        <v>4.0999999999999996</v>
      </c>
      <c r="I617" s="1047">
        <f t="shared" si="1260"/>
        <v>6</v>
      </c>
      <c r="J617" s="1047">
        <f t="shared" si="1260"/>
        <v>3.90</v>
      </c>
      <c r="K617" s="1047">
        <f t="shared" si="1260"/>
        <v>4.8999999999999986</v>
      </c>
      <c r="L617" s="1351">
        <f t="shared" si="1260"/>
        <v>18.90</v>
      </c>
      <c r="M617" s="1047">
        <f t="shared" si="1260"/>
        <v>5.30</v>
      </c>
      <c r="N617" s="1047">
        <f t="shared" si="1260"/>
        <v>5.70</v>
      </c>
      <c r="O617" s="1047">
        <f t="shared" si="1260"/>
        <v>4.9000000000000004</v>
      </c>
      <c r="P617" s="1047">
        <f t="shared" si="1260"/>
        <v>6.90</v>
      </c>
      <c r="Q617" s="1351">
        <f t="shared" si="1260"/>
        <v>22.80</v>
      </c>
      <c r="R617" s="1047">
        <f t="shared" si="1260"/>
        <v>4.80</v>
      </c>
      <c r="S617" s="1047">
        <f t="shared" si="1260"/>
        <v>5.30</v>
      </c>
      <c r="T617" s="1047">
        <f t="shared" si="1260"/>
        <v>4.80</v>
      </c>
      <c r="U617" s="1047">
        <f t="shared" si="1260"/>
        <v>7.50</v>
      </c>
      <c r="V617" s="1351">
        <f t="shared" si="1260"/>
        <v>22.40</v>
      </c>
      <c r="W617" s="1047">
        <f t="shared" si="1260"/>
        <v>5.60</v>
      </c>
      <c r="X617" s="1047">
        <f t="shared" si="1260"/>
        <v>6.60</v>
      </c>
      <c r="Y617" s="1047">
        <f t="shared" si="1260"/>
        <v>5.80</v>
      </c>
      <c r="Z617" s="1047">
        <f t="shared" si="1260"/>
        <v>5.8999999999999986</v>
      </c>
      <c r="AA617" s="1351">
        <f t="shared" si="1260"/>
        <v>23.90</v>
      </c>
      <c r="AB617" s="1047">
        <f t="shared" si="1260"/>
        <v>6</v>
      </c>
      <c r="AC617" s="1047">
        <f t="shared" si="1260"/>
        <v>6.20</v>
      </c>
      <c r="AD617" s="1047">
        <f t="shared" si="1260"/>
        <v>5.80</v>
      </c>
      <c r="AE617" s="1047">
        <f t="shared" si="1260"/>
        <v>6.3000000000000007</v>
      </c>
      <c r="AF617" s="1351">
        <f t="shared" si="1260"/>
        <v>24.30</v>
      </c>
      <c r="AG617" s="1047">
        <f t="shared" si="1260"/>
        <v>6.20</v>
      </c>
      <c r="AH617" s="1047">
        <f t="shared" si="1260"/>
        <v>6.20</v>
      </c>
      <c r="AI617" s="1047">
        <f t="shared" si="1260"/>
        <v>5.90</v>
      </c>
      <c r="AJ617" s="1047">
        <f t="shared" si="1260"/>
        <v>6.3000000000000007</v>
      </c>
      <c r="AK617" s="1351">
        <f t="shared" si="1260"/>
        <v>24.60</v>
      </c>
      <c r="AL617" s="1047">
        <f t="shared" si="1260"/>
        <v>5.30</v>
      </c>
      <c r="AM617" s="1047">
        <f t="shared" si="1260"/>
        <v>4.50</v>
      </c>
      <c r="AN617" s="1047">
        <f t="shared" si="1260"/>
        <v>4.70</v>
      </c>
      <c r="AO617" s="1047">
        <f t="shared" si="1260"/>
        <v>5.50</v>
      </c>
      <c r="AP617" s="1351">
        <f t="shared" si="1260"/>
        <v>20</v>
      </c>
      <c r="AQ617" s="1047">
        <f t="shared" si="1250"/>
        <v>5.60</v>
      </c>
      <c r="AR617" s="1047">
        <f t="shared" si="1250"/>
        <v>6.3000000000000007</v>
      </c>
      <c r="AS617" s="1047">
        <f t="shared" si="1250"/>
        <v>6.60</v>
      </c>
      <c r="AT617" s="1047">
        <f t="shared" si="1250"/>
        <v>7</v>
      </c>
      <c r="AU617" s="1351">
        <f t="shared" si="1250"/>
        <v>25.50</v>
      </c>
      <c r="AV617" s="1047">
        <f t="shared" si="1250"/>
        <v>5.70</v>
      </c>
      <c r="AW617" s="1047">
        <f t="shared" si="1250"/>
        <v>5.90</v>
      </c>
      <c r="AX617" s="1047">
        <f t="shared" si="1251"/>
        <v>5.80</v>
      </c>
      <c r="AY617" s="1047">
        <f t="shared" si="1251"/>
        <v>6.9000000000000021</v>
      </c>
      <c r="AZ617" s="1351">
        <f t="shared" si="1251"/>
        <v>24.30</v>
      </c>
      <c r="BA617" s="1047">
        <f t="shared" si="1252"/>
        <v>5.50</v>
      </c>
      <c r="BB617" s="1047">
        <f t="shared" si="1252"/>
        <v>6.10</v>
      </c>
      <c r="BC617" s="1047">
        <f t="shared" si="1253"/>
        <v>7.20</v>
      </c>
      <c r="BD617" s="1047">
        <f t="shared" si="1253"/>
        <v>7.3999999999999986</v>
      </c>
      <c r="BE617" s="1351">
        <f t="shared" si="1253"/>
        <v>26.20</v>
      </c>
      <c r="BF617" s="1047">
        <f t="shared" si="1254"/>
        <v>5.70</v>
      </c>
      <c r="BG617" s="1047">
        <f t="shared" si="1254"/>
        <v>7.30</v>
      </c>
      <c r="BH617" s="1048">
        <f>BH587</f>
        <v>7.1999999999999984</v>
      </c>
      <c r="BI617" s="1044">
        <f>-BI458</f>
        <v>9.5461729371584703</v>
      </c>
      <c r="BJ617" s="1350">
        <f t="shared" si="1255"/>
        <v>29.74617293715847</v>
      </c>
      <c r="BK617" s="1044">
        <f>-BK458</f>
        <v>8.9382861986301378</v>
      </c>
      <c r="BL617" s="1044">
        <f>-BL458</f>
        <v>9.2535266609589044</v>
      </c>
      <c r="BM617" s="1044">
        <f>-BM458</f>
        <v>10.040789260273975</v>
      </c>
      <c r="BN617" s="1044">
        <f>-BN458</f>
        <v>10.05094317739726</v>
      </c>
      <c r="BO617" s="1350">
        <f t="shared" si="1256"/>
        <v>38.283545297260275</v>
      </c>
      <c r="BP617" s="1351">
        <f>-BP458</f>
        <v>39.018886790625018</v>
      </c>
      <c r="BQ617" s="1351">
        <f>-BQ458</f>
        <v>40.969831130156265</v>
      </c>
      <c r="BR617" s="1350">
        <f>-BR458</f>
        <v>43.018322686664078</v>
      </c>
      <c r="BS617" s="648"/>
    </row>
    <row r="618" spans="1:71" s="665" customFormat="1" ht="15">
      <c r="A618" s="999" t="s">
        <v>89</v>
      </c>
      <c r="B618" s="321"/>
      <c r="C618" s="1351">
        <f t="shared" si="1261" ref="C618:AU618">C590</f>
        <v>139</v>
      </c>
      <c r="D618" s="1351">
        <f t="shared" si="1261"/>
        <v>133.50</v>
      </c>
      <c r="E618" s="1351">
        <f t="shared" si="1261"/>
        <v>132.69999999999999</v>
      </c>
      <c r="F618" s="1351">
        <f t="shared" si="1261"/>
        <v>123.80</v>
      </c>
      <c r="G618" s="1351">
        <f t="shared" si="1261"/>
        <v>118.20</v>
      </c>
      <c r="H618" s="1047">
        <f t="shared" si="1261"/>
        <v>26.70</v>
      </c>
      <c r="I618" s="1047">
        <f t="shared" si="1261"/>
        <v>29.60</v>
      </c>
      <c r="J618" s="1047">
        <f t="shared" si="1261"/>
        <v>30.70</v>
      </c>
      <c r="K618" s="1047">
        <f t="shared" si="1261"/>
        <v>29.900000000000006</v>
      </c>
      <c r="L618" s="1351">
        <f t="shared" si="1261"/>
        <v>116.90000000000001</v>
      </c>
      <c r="M618" s="1047">
        <f t="shared" si="1261"/>
        <v>32.50</v>
      </c>
      <c r="N618" s="1047">
        <f t="shared" si="1261"/>
        <v>34.90</v>
      </c>
      <c r="O618" s="1047">
        <f t="shared" si="1261"/>
        <v>34.50</v>
      </c>
      <c r="P618" s="1047">
        <f t="shared" si="1261"/>
        <v>34.099999999999994</v>
      </c>
      <c r="Q618" s="1351">
        <f t="shared" si="1261"/>
        <v>136</v>
      </c>
      <c r="R618" s="1047">
        <f t="shared" si="1261"/>
        <v>34.200000000000003</v>
      </c>
      <c r="S618" s="1047">
        <f t="shared" si="1261"/>
        <v>34.299999999999997</v>
      </c>
      <c r="T618" s="1047">
        <f t="shared" si="1261"/>
        <v>35.299999999999997</v>
      </c>
      <c r="U618" s="1047">
        <f t="shared" si="1261"/>
        <v>37.100000000000009</v>
      </c>
      <c r="V618" s="1351">
        <f t="shared" si="1261"/>
        <v>140.90000000000001</v>
      </c>
      <c r="W618" s="1047">
        <f t="shared" si="1261"/>
        <v>36.799999999999997</v>
      </c>
      <c r="X618" s="1047">
        <f t="shared" si="1261"/>
        <v>43.40</v>
      </c>
      <c r="Y618" s="1047">
        <f t="shared" si="1261"/>
        <v>37.40</v>
      </c>
      <c r="Z618" s="1047">
        <f t="shared" si="1261"/>
        <v>35.499999999999986</v>
      </c>
      <c r="AA618" s="1351">
        <f t="shared" si="1261"/>
        <v>153.09999999999999</v>
      </c>
      <c r="AB618" s="1047">
        <f t="shared" si="1261"/>
        <v>36.799999999999997</v>
      </c>
      <c r="AC618" s="1047">
        <f t="shared" si="1261"/>
        <v>41.70</v>
      </c>
      <c r="AD618" s="1047">
        <f t="shared" si="1261"/>
        <v>42</v>
      </c>
      <c r="AE618" s="1047">
        <f t="shared" si="1261"/>
        <v>46</v>
      </c>
      <c r="AF618" s="1351">
        <f t="shared" si="1261"/>
        <v>166.50</v>
      </c>
      <c r="AG618" s="1047">
        <f t="shared" si="1261"/>
        <v>47.40</v>
      </c>
      <c r="AH618" s="1047">
        <f t="shared" si="1261"/>
        <v>47.40</v>
      </c>
      <c r="AI618" s="1047">
        <f t="shared" si="1261"/>
        <v>47.50</v>
      </c>
      <c r="AJ618" s="1047">
        <f t="shared" si="1261"/>
        <v>47.399999999999984</v>
      </c>
      <c r="AK618" s="1351">
        <f t="shared" si="1261"/>
        <v>189.70</v>
      </c>
      <c r="AL618" s="1047">
        <f t="shared" si="1261"/>
        <v>48</v>
      </c>
      <c r="AM618" s="1047">
        <f t="shared" si="1261"/>
        <v>56.40</v>
      </c>
      <c r="AN618" s="1047">
        <f t="shared" si="1261"/>
        <v>56.40</v>
      </c>
      <c r="AO618" s="1047">
        <f t="shared" si="1261"/>
        <v>56.199999999999989</v>
      </c>
      <c r="AP618" s="1351">
        <f t="shared" si="1261"/>
        <v>217</v>
      </c>
      <c r="AQ618" s="1047">
        <f t="shared" si="1261"/>
        <v>56.40</v>
      </c>
      <c r="AR618" s="1047">
        <f t="shared" si="1261"/>
        <v>56.40</v>
      </c>
      <c r="AS618" s="1047">
        <f t="shared" si="1261"/>
        <v>54.20</v>
      </c>
      <c r="AT618" s="1047">
        <f t="shared" si="1261"/>
        <v>51.599999999999973</v>
      </c>
      <c r="AU618" s="1351">
        <f t="shared" si="1261"/>
        <v>218.60</v>
      </c>
      <c r="AV618" s="1047">
        <f t="shared" si="1262" ref="AV618:BA618">AV590</f>
        <v>54.30</v>
      </c>
      <c r="AW618" s="1047">
        <f t="shared" si="1262"/>
        <v>63</v>
      </c>
      <c r="AX618" s="1047">
        <f t="shared" si="1262"/>
        <v>63.10</v>
      </c>
      <c r="AY618" s="1047">
        <f t="shared" si="1262"/>
        <v>63.100000000000009</v>
      </c>
      <c r="AZ618" s="1351">
        <f t="shared" si="1262"/>
        <v>243.50</v>
      </c>
      <c r="BA618" s="1047">
        <f t="shared" si="1262"/>
        <v>63.30</v>
      </c>
      <c r="BB618" s="1047">
        <f>BB590</f>
        <v>65.70</v>
      </c>
      <c r="BC618" s="1047">
        <f>BC590</f>
        <v>69.70</v>
      </c>
      <c r="BD618" s="1047">
        <f t="shared" si="1263" ref="BD618:BE618">BD590</f>
        <v>69.70</v>
      </c>
      <c r="BE618" s="1351">
        <f t="shared" si="1263"/>
        <v>268.39999999999998</v>
      </c>
      <c r="BF618" s="1047">
        <f>BF590</f>
        <v>69.599999999999994</v>
      </c>
      <c r="BG618" s="1047">
        <f>BG590</f>
        <v>69.599999999999994</v>
      </c>
      <c r="BH618" s="1048">
        <f>BH590</f>
        <v>69.900000000000006</v>
      </c>
      <c r="BI618" s="1044">
        <f>BI710</f>
        <v>72.759331147540976</v>
      </c>
      <c r="BJ618" s="1350">
        <f t="shared" si="1255"/>
        <v>281.85933114754096</v>
      </c>
      <c r="BK618" s="1044">
        <f>BK710</f>
        <v>71.372613698630133</v>
      </c>
      <c r="BL618" s="1044">
        <f>BL710</f>
        <v>72.165642739726039</v>
      </c>
      <c r="BM618" s="1044">
        <f>BM710</f>
        <v>72.958671780821916</v>
      </c>
      <c r="BN618" s="1044">
        <f>BN710</f>
        <v>72.958671780821916</v>
      </c>
      <c r="BO618" s="1350">
        <f t="shared" si="1256"/>
        <v>289.4556</v>
      </c>
      <c r="BP618" s="1351">
        <f>BP710</f>
        <v>289.45560000000006</v>
      </c>
      <c r="BQ618" s="1351">
        <f>BQ710</f>
        <v>289.45560000000006</v>
      </c>
      <c r="BR618" s="1350">
        <f>BR710</f>
        <v>289.45560000000006</v>
      </c>
      <c r="BS618" s="648"/>
    </row>
    <row r="619" spans="1:71" s="665" customFormat="1" ht="15">
      <c r="A619" s="371" t="s">
        <v>90</v>
      </c>
      <c r="B619" s="321"/>
      <c r="C619" s="1349">
        <f t="shared" si="1264" ref="C619:AU619">C588</f>
        <v>19.40</v>
      </c>
      <c r="D619" s="1349">
        <f t="shared" si="1264"/>
        <v>21.40</v>
      </c>
      <c r="E619" s="1349">
        <f t="shared" si="1264"/>
        <v>19.40</v>
      </c>
      <c r="F619" s="1349">
        <f t="shared" si="1264"/>
        <v>36.10</v>
      </c>
      <c r="G619" s="1349">
        <f t="shared" si="1264"/>
        <v>38.799999999999997</v>
      </c>
      <c r="H619" s="1042">
        <f t="shared" si="1264"/>
        <v>9.6999999999999993</v>
      </c>
      <c r="I619" s="1042">
        <f t="shared" si="1264"/>
        <v>12.90</v>
      </c>
      <c r="J619" s="1042">
        <f t="shared" si="1264"/>
        <v>13.50</v>
      </c>
      <c r="K619" s="1042">
        <f t="shared" si="1264"/>
        <v>14.799999999999997</v>
      </c>
      <c r="L619" s="1349">
        <f t="shared" si="1264"/>
        <v>50.90</v>
      </c>
      <c r="M619" s="1042">
        <f t="shared" si="1264"/>
        <v>15.90</v>
      </c>
      <c r="N619" s="1042">
        <f t="shared" si="1264"/>
        <v>20.50</v>
      </c>
      <c r="O619" s="1042">
        <f t="shared" si="1264"/>
        <v>20.40</v>
      </c>
      <c r="P619" s="1042">
        <f t="shared" si="1264"/>
        <v>20.700000000000003</v>
      </c>
      <c r="Q619" s="1349">
        <f t="shared" si="1264"/>
        <v>77.50</v>
      </c>
      <c r="R619" s="1042">
        <f t="shared" si="1264"/>
        <v>21.60</v>
      </c>
      <c r="S619" s="1042">
        <f t="shared" si="1264"/>
        <v>23.70</v>
      </c>
      <c r="T619" s="1042">
        <f t="shared" si="1264"/>
        <v>23.20</v>
      </c>
      <c r="U619" s="1042">
        <f t="shared" si="1264"/>
        <v>23.50</v>
      </c>
      <c r="V619" s="1349">
        <f t="shared" si="1264"/>
        <v>92</v>
      </c>
      <c r="W619" s="1042">
        <f t="shared" si="1264"/>
        <v>25.90</v>
      </c>
      <c r="X619" s="1042">
        <f t="shared" si="1264"/>
        <v>27</v>
      </c>
      <c r="Y619" s="1042">
        <f t="shared" si="1264"/>
        <v>28.90</v>
      </c>
      <c r="Z619" s="1042">
        <f t="shared" si="1264"/>
        <v>27.700000000000003</v>
      </c>
      <c r="AA619" s="1349">
        <f t="shared" si="1264"/>
        <v>109.50</v>
      </c>
      <c r="AB619" s="1042">
        <f t="shared" si="1264"/>
        <v>29.30</v>
      </c>
      <c r="AC619" s="1042">
        <f t="shared" si="1264"/>
        <v>37</v>
      </c>
      <c r="AD619" s="1042">
        <f t="shared" si="1264"/>
        <v>35.799999999999997</v>
      </c>
      <c r="AE619" s="1042">
        <f t="shared" si="1264"/>
        <v>32</v>
      </c>
      <c r="AF619" s="1349">
        <f t="shared" si="1264"/>
        <v>134.09999999999999</v>
      </c>
      <c r="AG619" s="1042">
        <f t="shared" si="1264"/>
        <v>38.10</v>
      </c>
      <c r="AH619" s="1042">
        <f t="shared" si="1264"/>
        <v>45.30</v>
      </c>
      <c r="AI619" s="1042">
        <f t="shared" si="1264"/>
        <v>48.70</v>
      </c>
      <c r="AJ619" s="1042">
        <f t="shared" si="1264"/>
        <v>46.799999999999983</v>
      </c>
      <c r="AK619" s="1349">
        <f t="shared" si="1264"/>
        <v>178.90</v>
      </c>
      <c r="AL619" s="1042">
        <f t="shared" si="1264"/>
        <v>47.50</v>
      </c>
      <c r="AM619" s="1042">
        <f t="shared" si="1264"/>
        <v>52.80</v>
      </c>
      <c r="AN619" s="1042">
        <f t="shared" si="1264"/>
        <v>54.40</v>
      </c>
      <c r="AO619" s="1042">
        <f t="shared" si="1264"/>
        <v>50.800000000000011</v>
      </c>
      <c r="AP619" s="1349">
        <f t="shared" si="1264"/>
        <v>205.50</v>
      </c>
      <c r="AQ619" s="1042">
        <f t="shared" si="1264"/>
        <v>49.30</v>
      </c>
      <c r="AR619" s="1042">
        <f t="shared" si="1264"/>
        <v>67.900000000000006</v>
      </c>
      <c r="AS619" s="1042">
        <f t="shared" si="1264"/>
        <v>72.80</v>
      </c>
      <c r="AT619" s="1042">
        <f t="shared" si="1264"/>
        <v>62.800000000000011</v>
      </c>
      <c r="AU619" s="1349">
        <f t="shared" si="1264"/>
        <v>252.80</v>
      </c>
      <c r="AV619" s="1042">
        <f t="shared" si="1265" ref="AV619:BA619">AV588</f>
        <v>63.20</v>
      </c>
      <c r="AW619" s="1042">
        <f t="shared" si="1265"/>
        <v>75.499999999999986</v>
      </c>
      <c r="AX619" s="1042">
        <f t="shared" si="1265"/>
        <v>82.80</v>
      </c>
      <c r="AY619" s="1042">
        <f t="shared" si="1265"/>
        <v>75.199999999999989</v>
      </c>
      <c r="AZ619" s="1349">
        <f t="shared" si="1265"/>
        <v>296.70</v>
      </c>
      <c r="BA619" s="1042">
        <f t="shared" si="1265"/>
        <v>82.30</v>
      </c>
      <c r="BB619" s="1042">
        <f t="shared" si="1266" ref="BB619:BE620">BB588</f>
        <v>90.60</v>
      </c>
      <c r="BC619" s="1042">
        <f t="shared" si="1266"/>
        <v>91.70</v>
      </c>
      <c r="BD619" s="1042">
        <f t="shared" si="1266"/>
        <v>84.399999999999977</v>
      </c>
      <c r="BE619" s="1349">
        <f t="shared" si="1266"/>
        <v>349</v>
      </c>
      <c r="BF619" s="1042">
        <f t="shared" si="1267" ref="BF619:BH620">BF588</f>
        <v>92.10</v>
      </c>
      <c r="BG619" s="1042">
        <f t="shared" si="1267"/>
        <v>114.30000000000001</v>
      </c>
      <c r="BH619" s="1043">
        <f t="shared" si="1267"/>
        <v>126.70000000000002</v>
      </c>
      <c r="BI619" s="1044">
        <f>BI473</f>
        <v>75.012000000000015</v>
      </c>
      <c r="BJ619" s="1350">
        <f t="shared" si="1255"/>
        <v>408.11200000000002</v>
      </c>
      <c r="BK619" s="1044">
        <f>BK473</f>
        <v>87.525900000000007</v>
      </c>
      <c r="BL619" s="1044">
        <f>BL473</f>
        <v>106.03424999999999</v>
      </c>
      <c r="BM619" s="1044">
        <f>BM473</f>
        <v>117.00675</v>
      </c>
      <c r="BN619" s="1044">
        <f>BN473</f>
        <v>78.76260000000002</v>
      </c>
      <c r="BO619" s="1350">
        <f t="shared" si="1256"/>
        <v>389.3295</v>
      </c>
      <c r="BP619" s="1351">
        <f>BP473</f>
        <v>405.08275500000002</v>
      </c>
      <c r="BQ619" s="1351">
        <f>BQ473</f>
        <v>425.33689275000006</v>
      </c>
      <c r="BR619" s="1350">
        <f>BR473</f>
        <v>446.60373738750008</v>
      </c>
      <c r="BS619" s="648"/>
    </row>
    <row r="620" spans="1:71" s="665" customFormat="1" ht="15">
      <c r="A620" s="1000" t="s">
        <v>91</v>
      </c>
      <c r="B620" s="261"/>
      <c r="C620" s="1324"/>
      <c r="D620" s="1324"/>
      <c r="E620" s="1324"/>
      <c r="F620" s="1324"/>
      <c r="G620" s="1324"/>
      <c r="H620" s="1029"/>
      <c r="I620" s="1029"/>
      <c r="J620" s="1029"/>
      <c r="K620" s="1029"/>
      <c r="L620" s="1324"/>
      <c r="M620" s="1029"/>
      <c r="N620" s="1029"/>
      <c r="O620" s="1029"/>
      <c r="P620" s="1029"/>
      <c r="Q620" s="1324"/>
      <c r="R620" s="1029"/>
      <c r="S620" s="1029"/>
      <c r="T620" s="1029"/>
      <c r="U620" s="1029"/>
      <c r="V620" s="1324"/>
      <c r="W620" s="1029"/>
      <c r="X620" s="1029"/>
      <c r="Y620" s="1029"/>
      <c r="Z620" s="1029"/>
      <c r="AA620" s="1324"/>
      <c r="AB620" s="1029"/>
      <c r="AC620" s="1029"/>
      <c r="AD620" s="1029"/>
      <c r="AE620" s="1029"/>
      <c r="AF620" s="1324"/>
      <c r="AG620" s="1029"/>
      <c r="AH620" s="1029"/>
      <c r="AI620" s="1029"/>
      <c r="AJ620" s="1029"/>
      <c r="AK620" s="1324"/>
      <c r="AL620" s="1029"/>
      <c r="AM620" s="1029"/>
      <c r="AN620" s="1029"/>
      <c r="AO620" s="1029"/>
      <c r="AP620" s="1324"/>
      <c r="AQ620" s="1029"/>
      <c r="AR620" s="1029"/>
      <c r="AS620" s="1029"/>
      <c r="AT620" s="1029"/>
      <c r="AU620" s="1324"/>
      <c r="AV620" s="1029">
        <f t="shared" si="1268" ref="AV620">AV589</f>
        <v>0</v>
      </c>
      <c r="AW620" s="1029">
        <f>AW589</f>
        <v>224.80</v>
      </c>
      <c r="AX620" s="1029">
        <f>AX589</f>
        <v>0</v>
      </c>
      <c r="AY620" s="1029">
        <f>AY589</f>
        <v>0</v>
      </c>
      <c r="AZ620" s="1324">
        <f>AZ589</f>
        <v>224.80</v>
      </c>
      <c r="BA620" s="1029">
        <f>BA589</f>
        <v>0</v>
      </c>
      <c r="BB620" s="1029">
        <f t="shared" si="1266"/>
        <v>0</v>
      </c>
      <c r="BC620" s="1029">
        <f t="shared" si="1266"/>
        <v>0</v>
      </c>
      <c r="BD620" s="1029">
        <f>BD589</f>
        <v>0</v>
      </c>
      <c r="BE620" s="1324">
        <f>BE589</f>
        <v>0</v>
      </c>
      <c r="BF620" s="1029">
        <f t="shared" si="1267"/>
        <v>0</v>
      </c>
      <c r="BG620" s="1029">
        <f t="shared" si="1267"/>
        <v>0</v>
      </c>
      <c r="BH620" s="1050">
        <f t="shared" si="1267"/>
        <v>0</v>
      </c>
      <c r="BI620" s="1228">
        <v>0</v>
      </c>
      <c r="BJ620" s="1324">
        <f t="shared" si="1255"/>
        <v>0</v>
      </c>
      <c r="BK620" s="1228">
        <v>0</v>
      </c>
      <c r="BL620" s="1228">
        <v>0</v>
      </c>
      <c r="BM620" s="1228">
        <v>0</v>
      </c>
      <c r="BN620" s="1228">
        <v>0</v>
      </c>
      <c r="BO620" s="1324">
        <f t="shared" si="1256"/>
        <v>0</v>
      </c>
      <c r="BP620" s="1365">
        <v>0</v>
      </c>
      <c r="BQ620" s="1365">
        <v>0</v>
      </c>
      <c r="BR620" s="1365">
        <v>0</v>
      </c>
      <c r="BS620" s="648"/>
    </row>
    <row r="621" spans="1:71" s="668" customFormat="1" ht="15">
      <c r="A621" s="42" t="s">
        <v>92</v>
      </c>
      <c r="B621" s="410"/>
      <c r="C621" s="1355">
        <f t="shared" si="1269" ref="C621:AH621">+C610-C613-SUM(C614:C620)</f>
        <v>1556.9000000000005</v>
      </c>
      <c r="D621" s="1355">
        <f t="shared" si="1269"/>
        <v>1565.2000000000007</v>
      </c>
      <c r="E621" s="1355">
        <f t="shared" si="1269"/>
        <v>1487.0000000000014</v>
      </c>
      <c r="F621" s="1355">
        <f t="shared" si="1269"/>
        <v>1317.6999999999975</v>
      </c>
      <c r="G621" s="1355">
        <f t="shared" si="1269"/>
        <v>1720.0000000000018</v>
      </c>
      <c r="H621" s="1052">
        <f t="shared" si="1269"/>
        <v>481.80000000000018</v>
      </c>
      <c r="I621" s="1052">
        <f t="shared" si="1269"/>
        <v>437.39999999999918</v>
      </c>
      <c r="J621" s="1052">
        <f t="shared" si="1269"/>
        <v>441.80000000000018</v>
      </c>
      <c r="K621" s="1052">
        <f t="shared" si="1269"/>
        <v>546.39999999999736</v>
      </c>
      <c r="L621" s="1355">
        <f t="shared" si="1269"/>
        <v>1907.4000000000015</v>
      </c>
      <c r="M621" s="1052">
        <f t="shared" si="1269"/>
        <v>443.20000000000027</v>
      </c>
      <c r="N621" s="1052">
        <f t="shared" si="1269"/>
        <v>525.30000000000018</v>
      </c>
      <c r="O621" s="1052">
        <f t="shared" si="1269"/>
        <v>428.99999999999977</v>
      </c>
      <c r="P621" s="1052">
        <f t="shared" si="1269"/>
        <v>514.09999999999559</v>
      </c>
      <c r="Q621" s="1355">
        <f t="shared" si="1269"/>
        <v>1911.5999999999995</v>
      </c>
      <c r="R621" s="1052">
        <f t="shared" si="1269"/>
        <v>387.39999999999918</v>
      </c>
      <c r="S621" s="1052">
        <f t="shared" si="1269"/>
        <v>287.30000000000132</v>
      </c>
      <c r="T621" s="1052">
        <f t="shared" si="1269"/>
        <v>258.50000000000023</v>
      </c>
      <c r="U621" s="1052">
        <f t="shared" si="1269"/>
        <v>537.49999999999932</v>
      </c>
      <c r="V621" s="1355">
        <f t="shared" si="1269"/>
        <v>1470.7000000000035</v>
      </c>
      <c r="W621" s="1052">
        <f t="shared" si="1269"/>
        <v>641.49999999999932</v>
      </c>
      <c r="X621" s="1052">
        <f t="shared" si="1269"/>
        <v>554.60000000000105</v>
      </c>
      <c r="Y621" s="1052">
        <f t="shared" si="1269"/>
        <v>251.39999999999986</v>
      </c>
      <c r="Z621" s="1052">
        <f t="shared" si="1269"/>
        <v>691.40000000000146</v>
      </c>
      <c r="AA621" s="1355">
        <f t="shared" si="1269"/>
        <v>2138.8999999999996</v>
      </c>
      <c r="AB621" s="1052">
        <f t="shared" si="1269"/>
        <v>910.80000000000018</v>
      </c>
      <c r="AC621" s="1052">
        <f t="shared" si="1269"/>
        <v>880.09999999999968</v>
      </c>
      <c r="AD621" s="1052">
        <f t="shared" si="1269"/>
        <v>1130.5000000000007</v>
      </c>
      <c r="AE621" s="1052">
        <f t="shared" si="1269"/>
        <v>242.19999999999936</v>
      </c>
      <c r="AF621" s="1355">
        <f t="shared" si="1269"/>
        <v>3163.5999999999995</v>
      </c>
      <c r="AG621" s="1052">
        <f t="shared" si="1269"/>
        <v>1567.499999999998</v>
      </c>
      <c r="AH621" s="1052">
        <f t="shared" si="1269"/>
        <v>1243.5999999999985</v>
      </c>
      <c r="AI621" s="1052">
        <f t="shared" si="1270" ref="AI621:AU621">+AI610-AI613-SUM(AI614:AI620)</f>
        <v>1010.2999999999997</v>
      </c>
      <c r="AJ621" s="1052">
        <f t="shared" si="1270"/>
        <v>1338.900000000001</v>
      </c>
      <c r="AK621" s="1355">
        <f t="shared" si="1270"/>
        <v>5160.2999999999956</v>
      </c>
      <c r="AL621" s="1052">
        <f t="shared" si="1270"/>
        <v>874.70000000000164</v>
      </c>
      <c r="AM621" s="1052">
        <f t="shared" si="1270"/>
        <v>2268.7999999999988</v>
      </c>
      <c r="AN621" s="1052">
        <f t="shared" si="1270"/>
        <v>1923.50</v>
      </c>
      <c r="AO621" s="1052">
        <f t="shared" si="1270"/>
        <v>2106.1999999999998</v>
      </c>
      <c r="AP621" s="1355">
        <f t="shared" si="1270"/>
        <v>7173.1999999999989</v>
      </c>
      <c r="AQ621" s="1052">
        <f t="shared" si="1270"/>
        <v>1867.9000000000005</v>
      </c>
      <c r="AR621" s="1052">
        <f t="shared" si="1270"/>
        <v>999.19999999999982</v>
      </c>
      <c r="AS621" s="1052">
        <f t="shared" si="1270"/>
        <v>138.99999999999818</v>
      </c>
      <c r="AT621" s="1052">
        <f t="shared" si="1270"/>
        <v>1203.8999999999928</v>
      </c>
      <c r="AU621" s="1355">
        <f t="shared" si="1270"/>
        <v>4209.9999999999945</v>
      </c>
      <c r="AV621" s="1052">
        <f t="shared" si="1271" ref="AV621:AZ621">+AV610-AV613-SUM(AV614:AV620)</f>
        <v>390.20000000000255</v>
      </c>
      <c r="AW621" s="1052">
        <f t="shared" si="1271"/>
        <v>-635.90000000000191</v>
      </c>
      <c r="AX621" s="1052">
        <f t="shared" si="1271"/>
        <v>142.49999999999955</v>
      </c>
      <c r="AY621" s="1052">
        <f t="shared" si="1271"/>
        <v>1025.2999999999988</v>
      </c>
      <c r="AZ621" s="1355">
        <f t="shared" si="1271"/>
        <v>922.10000000000764</v>
      </c>
      <c r="BA621" s="1052">
        <f t="shared" si="1272" ref="BA621:BR621">+BA610-BA613-SUM(BA614:BA620)</f>
        <v>554.40000000000055</v>
      </c>
      <c r="BB621" s="1052">
        <f t="shared" si="1272"/>
        <v>435.70000000000164</v>
      </c>
      <c r="BC621" s="1052">
        <f t="shared" si="1272"/>
        <v>1410.2000000000012</v>
      </c>
      <c r="BD621" s="1052">
        <f t="shared" si="1272"/>
        <v>2503.400000000006</v>
      </c>
      <c r="BE621" s="1355">
        <f t="shared" si="1272"/>
        <v>4903.7000000000007</v>
      </c>
      <c r="BF621" s="1052">
        <f>+BF610-BF613-SUM(BF614:BF620)</f>
        <v>2939.8999999999996</v>
      </c>
      <c r="BG621" s="1052">
        <f>+BG610-BG613-SUM(BG614:BG620)</f>
        <v>1860.3999999999983</v>
      </c>
      <c r="BH621" s="1053">
        <f>+BH610-BH613-SUM(BH614:BH620)</f>
        <v>2944.8000000000138</v>
      </c>
      <c r="BI621" s="1054">
        <f t="shared" si="1272"/>
        <v>2090.1786696858771</v>
      </c>
      <c r="BJ621" s="1356">
        <f t="shared" si="1272"/>
        <v>9835.2786696858821</v>
      </c>
      <c r="BK621" s="1054">
        <f t="shared" si="1272"/>
        <v>2519.0608636345123</v>
      </c>
      <c r="BL621" s="1054">
        <f t="shared" si="1272"/>
        <v>1817.3999368690966</v>
      </c>
      <c r="BM621" s="1054">
        <f t="shared" si="1272"/>
        <v>2026.2644691095747</v>
      </c>
      <c r="BN621" s="1054">
        <f t="shared" si="1272"/>
        <v>2791.0592501854317</v>
      </c>
      <c r="BO621" s="1356">
        <f t="shared" si="1272"/>
        <v>9153.7845197986171</v>
      </c>
      <c r="BP621" s="1356">
        <f t="shared" si="1272"/>
        <v>9437.7220453560076</v>
      </c>
      <c r="BQ621" s="1356">
        <f t="shared" si="1272"/>
        <v>9968.1296208575659</v>
      </c>
      <c r="BR621" s="1356">
        <f t="shared" si="1272"/>
        <v>10525.9607797647</v>
      </c>
      <c r="BS621" s="648"/>
    </row>
    <row r="622" spans="1:71" s="677" customFormat="1" ht="15">
      <c r="A622" s="1175" t="str">
        <f>CONCATENATE("Consensus Estimates - ",IFERROR(LEFT(A621,FIND("(",A621)-1),A621))</f>
        <v>Consensus Estimates - EBT</v>
      </c>
      <c r="B622" s="1176"/>
      <c r="C622" s="1378"/>
      <c r="D622" s="1378"/>
      <c r="E622" s="1378"/>
      <c r="F622" s="1378"/>
      <c r="G622" s="1378"/>
      <c r="H622" s="1081"/>
      <c r="I622" s="1081"/>
      <c r="J622" s="1081"/>
      <c r="K622" s="1081"/>
      <c r="L622" s="1378"/>
      <c r="M622" s="1081"/>
      <c r="N622" s="1081"/>
      <c r="O622" s="1081"/>
      <c r="P622" s="1081"/>
      <c r="Q622" s="1378"/>
      <c r="R622" s="1081"/>
      <c r="S622" s="1081"/>
      <c r="T622" s="1081"/>
      <c r="U622" s="1081"/>
      <c r="V622" s="1378"/>
      <c r="W622" s="1081"/>
      <c r="X622" s="1081"/>
      <c r="Y622" s="1081"/>
      <c r="Z622" s="1081"/>
      <c r="AA622" s="1378"/>
      <c r="AB622" s="1081"/>
      <c r="AC622" s="1081"/>
      <c r="AD622" s="1081"/>
      <c r="AE622" s="1081"/>
      <c r="AF622" s="1378"/>
      <c r="AG622" s="1081"/>
      <c r="AH622" s="1081"/>
      <c r="AI622" s="1081"/>
      <c r="AJ622" s="1081"/>
      <c r="AK622" s="1378"/>
      <c r="AL622" s="1081"/>
      <c r="AM622" s="1081"/>
      <c r="AN622" s="1081"/>
      <c r="AO622" s="1081"/>
      <c r="AP622" s="1378"/>
      <c r="AQ622" s="1081"/>
      <c r="AR622" s="1081"/>
      <c r="AS622" s="1081"/>
      <c r="AT622" s="1081"/>
      <c r="AU622" s="1378"/>
      <c r="AV622" s="1081"/>
      <c r="AW622" s="1081"/>
      <c r="AX622" s="1081"/>
      <c r="AY622" s="1081"/>
      <c r="AZ622" s="1378"/>
      <c r="BA622" s="1081"/>
      <c r="BB622" s="1081"/>
      <c r="BC622" s="1081"/>
      <c r="BD622" s="1081"/>
      <c r="BE622" s="1378"/>
      <c r="BF622" s="1081"/>
      <c r="BG622" s="1081"/>
      <c r="BH622" s="1083"/>
      <c r="BI622" s="1084" t="str">
        <f ca="1" t="shared" si="1273" ref="BI622:BO622">IFERROR(VLOOKUP($A622,tb_ConsensusEstimate,MATCH(BI$5,OFFSET(tb_ConsensusEstimate,0,0,1,COLUMNS(tb_ConsensusEstimate)),0),FALSE),"-")</f>
        <v>N/A</v>
      </c>
      <c r="BJ622" s="1379" t="str">
        <f t="shared" ca="1" si="1273"/>
        <v>N/A</v>
      </c>
      <c r="BK622" s="1084" t="str">
        <f t="shared" ca="1" si="1273"/>
        <v>N/A</v>
      </c>
      <c r="BL622" s="1084" t="str">
        <f t="shared" ca="1" si="1273"/>
        <v>N/A</v>
      </c>
      <c r="BM622" s="1084" t="str">
        <f t="shared" ca="1" si="1273"/>
        <v>N/A</v>
      </c>
      <c r="BN622" s="1084" t="str">
        <f t="shared" ca="1" si="1273"/>
        <v>N/A</v>
      </c>
      <c r="BO622" s="1379" t="str">
        <f t="shared" ca="1" si="1273"/>
        <v>N/A</v>
      </c>
      <c r="BP622" s="1328" t="str">
        <f ca="1">IFERROR(VLOOKUP($A622,tb_ConsensusEstimate,MATCH(BP5,OFFSET(tb_ConsensusEstimate,0,0,1,COLUMNS(tb_ConsensusEstimate)),0),FALSE),"-")</f>
        <v>N/A</v>
      </c>
      <c r="BQ622" s="1328" t="str">
        <f ca="1">IFERROR(VLOOKUP($A622,tb_ConsensusEstimate,MATCH(BQ5,OFFSET(tb_ConsensusEstimate,0,0,1,COLUMNS(tb_ConsensusEstimate)),0),FALSE),"-")</f>
        <v>N/A</v>
      </c>
      <c r="BR622" s="1379" t="str">
        <f ca="1">IFERROR(VLOOKUP($A622,tb_ConsensusEstimate,MATCH(BR5,OFFSET(tb_ConsensusEstimate,0,0,1,COLUMNS(tb_ConsensusEstimate)),0),FALSE),"-")</f>
        <v>N/A</v>
      </c>
      <c r="BS622" s="648"/>
    </row>
    <row r="623" spans="1:71" s="670" customFormat="1" ht="15">
      <c r="A623" s="1010"/>
      <c r="B623" s="1011"/>
      <c r="C623" s="1378"/>
      <c r="D623" s="1378"/>
      <c r="E623" s="1378"/>
      <c r="F623" s="1378"/>
      <c r="G623" s="1378"/>
      <c r="H623" s="1081"/>
      <c r="I623" s="1081"/>
      <c r="J623" s="1081"/>
      <c r="K623" s="1081"/>
      <c r="L623" s="1378"/>
      <c r="M623" s="1081"/>
      <c r="N623" s="1081"/>
      <c r="O623" s="1081"/>
      <c r="P623" s="1081"/>
      <c r="Q623" s="1378"/>
      <c r="R623" s="1081"/>
      <c r="S623" s="1081"/>
      <c r="T623" s="1081"/>
      <c r="U623" s="1081"/>
      <c r="V623" s="1378"/>
      <c r="W623" s="1081"/>
      <c r="X623" s="1081"/>
      <c r="Y623" s="1081"/>
      <c r="Z623" s="1081"/>
      <c r="AA623" s="1378"/>
      <c r="AB623" s="1081"/>
      <c r="AC623" s="1081"/>
      <c r="AD623" s="1081"/>
      <c r="AE623" s="1081"/>
      <c r="AF623" s="1378"/>
      <c r="AG623" s="1081"/>
      <c r="AH623" s="1081"/>
      <c r="AI623" s="1081"/>
      <c r="AJ623" s="1081"/>
      <c r="AK623" s="1378"/>
      <c r="AL623" s="1081"/>
      <c r="AM623" s="1081"/>
      <c r="AN623" s="1081"/>
      <c r="AO623" s="1081"/>
      <c r="AP623" s="1378"/>
      <c r="AQ623" s="1081"/>
      <c r="AR623" s="1081"/>
      <c r="AS623" s="1081"/>
      <c r="AT623" s="1081"/>
      <c r="AU623" s="1378"/>
      <c r="AV623" s="1081"/>
      <c r="AW623" s="1081"/>
      <c r="AX623" s="1081"/>
      <c r="AY623" s="1081"/>
      <c r="AZ623" s="1378"/>
      <c r="BA623" s="1081"/>
      <c r="BB623" s="1081"/>
      <c r="BC623" s="1081"/>
      <c r="BD623" s="1081"/>
      <c r="BE623" s="1378"/>
      <c r="BF623" s="1081"/>
      <c r="BG623" s="1081"/>
      <c r="BH623" s="1083"/>
      <c r="BI623" s="1128"/>
      <c r="BJ623" s="1436"/>
      <c r="BK623" s="1128"/>
      <c r="BL623" s="1128"/>
      <c r="BM623" s="1128"/>
      <c r="BN623" s="1128"/>
      <c r="BO623" s="1436"/>
      <c r="BP623" s="1378"/>
      <c r="BQ623" s="1378"/>
      <c r="BR623" s="1436"/>
      <c r="BS623" s="648"/>
    </row>
    <row r="624" spans="1:71" s="665" customFormat="1" ht="15">
      <c r="A624" s="371" t="s">
        <v>93</v>
      </c>
      <c r="B624" s="321"/>
      <c r="C624" s="1349">
        <f t="shared" si="1274" ref="C624:AU624">C593-C625</f>
        <v>491</v>
      </c>
      <c r="D624" s="1349">
        <f t="shared" si="1274"/>
        <v>433.90</v>
      </c>
      <c r="E624" s="1349">
        <f t="shared" si="1274"/>
        <v>440.20</v>
      </c>
      <c r="F624" s="1349">
        <f t="shared" si="1274"/>
        <v>424.79999999999995</v>
      </c>
      <c r="G624" s="1349">
        <f t="shared" si="1274"/>
        <v>460.20000000000005</v>
      </c>
      <c r="H624" s="1042">
        <f t="shared" si="1274"/>
        <v>160.50</v>
      </c>
      <c r="I624" s="1042">
        <f t="shared" si="1274"/>
        <v>144</v>
      </c>
      <c r="J624" s="1042">
        <f t="shared" si="1274"/>
        <v>145.69999999999999</v>
      </c>
      <c r="K624" s="1042">
        <f t="shared" si="1274"/>
        <v>176.20</v>
      </c>
      <c r="L624" s="1349">
        <f t="shared" si="1274"/>
        <v>594.40</v>
      </c>
      <c r="M624" s="1042">
        <f t="shared" si="1274"/>
        <v>147.59999999999999</v>
      </c>
      <c r="N624" s="1042">
        <f t="shared" si="1274"/>
        <v>156.80000000000001</v>
      </c>
      <c r="O624" s="1042">
        <f t="shared" si="1274"/>
        <v>142.50</v>
      </c>
      <c r="P624" s="1042">
        <f t="shared" si="1274"/>
        <v>164.20000000000002</v>
      </c>
      <c r="Q624" s="1349">
        <f t="shared" si="1274"/>
        <v>669.90</v>
      </c>
      <c r="R624" s="1042">
        <f t="shared" si="1274"/>
        <v>128.69999999999999</v>
      </c>
      <c r="S624" s="1042">
        <f t="shared" si="1274"/>
        <v>92.40</v>
      </c>
      <c r="T624" s="1042">
        <f t="shared" si="1274"/>
        <v>53</v>
      </c>
      <c r="U624" s="1042">
        <f t="shared" si="1274"/>
        <v>139.40000000000003</v>
      </c>
      <c r="V624" s="1349">
        <f t="shared" si="1274"/>
        <v>482.30</v>
      </c>
      <c r="W624" s="1042">
        <f t="shared" si="1274"/>
        <v>211.20</v>
      </c>
      <c r="X624" s="1042">
        <f t="shared" si="1274"/>
        <v>181.90</v>
      </c>
      <c r="Y624" s="1042">
        <f t="shared" si="1274"/>
        <v>36.60</v>
      </c>
      <c r="Z624" s="1042">
        <f t="shared" si="1274"/>
        <v>111.09999999999997</v>
      </c>
      <c r="AA624" s="1349">
        <f t="shared" si="1274"/>
        <v>693.70</v>
      </c>
      <c r="AB624" s="1042">
        <f t="shared" si="1274"/>
        <v>181</v>
      </c>
      <c r="AC624" s="1042">
        <f t="shared" si="1274"/>
        <v>178.90</v>
      </c>
      <c r="AD624" s="1042">
        <f t="shared" si="1274"/>
        <v>200.30</v>
      </c>
      <c r="AE624" s="1042">
        <f t="shared" si="1274"/>
        <v>-17.599999999999994</v>
      </c>
      <c r="AF624" s="1349">
        <f t="shared" si="1274"/>
        <v>694.60</v>
      </c>
      <c r="AG624" s="1042">
        <f t="shared" si="1274"/>
        <v>484.70</v>
      </c>
      <c r="AH624" s="1042">
        <f t="shared" si="1274"/>
        <v>264.60000000000002</v>
      </c>
      <c r="AI624" s="1042">
        <f t="shared" si="1274"/>
        <v>166.70</v>
      </c>
      <c r="AJ624" s="1042">
        <f t="shared" si="1274"/>
        <v>264.2999999999999</v>
      </c>
      <c r="AK624" s="1349">
        <f t="shared" si="1274"/>
        <v>1132</v>
      </c>
      <c r="AL624" s="1042">
        <f t="shared" si="1274"/>
        <v>175.60</v>
      </c>
      <c r="AM624" s="1042">
        <f t="shared" si="1274"/>
        <v>478.40</v>
      </c>
      <c r="AN624" s="1042">
        <f t="shared" si="1274"/>
        <v>392.70</v>
      </c>
      <c r="AO624" s="1042">
        <f t="shared" si="1274"/>
        <v>421.89999999999986</v>
      </c>
      <c r="AP624" s="1349">
        <f t="shared" si="1274"/>
        <v>1420.30</v>
      </c>
      <c r="AQ624" s="1042">
        <f t="shared" si="1274"/>
        <v>387.90</v>
      </c>
      <c r="AR624" s="1042">
        <f t="shared" si="1274"/>
        <v>209.10000000000002</v>
      </c>
      <c r="AS624" s="1042">
        <f t="shared" si="1274"/>
        <v>20.50</v>
      </c>
      <c r="AT624" s="1042">
        <f t="shared" si="1274"/>
        <v>241.60000000000002</v>
      </c>
      <c r="AU624" s="1349">
        <f t="shared" si="1274"/>
        <v>859.10</v>
      </c>
      <c r="AV624" s="1042">
        <f>AV593-AV625</f>
        <v>76.30</v>
      </c>
      <c r="AW624" s="1042">
        <f>AW593-AW625</f>
        <v>-93</v>
      </c>
      <c r="AX624" s="1042">
        <f>AX593-AX625</f>
        <v>18.40</v>
      </c>
      <c r="AY624" s="1042">
        <f t="shared" si="1275" ref="AY624:AZ624">AY593-AY625</f>
        <v>198.89999999999998</v>
      </c>
      <c r="AZ624" s="1349">
        <f t="shared" si="1275"/>
        <v>745.90000000000009</v>
      </c>
      <c r="BA624" s="1042">
        <f>BA593-BA625</f>
        <v>106.50</v>
      </c>
      <c r="BB624" s="1042">
        <f>BB593-BB625</f>
        <v>90.300000000000011</v>
      </c>
      <c r="BC624" s="1042">
        <f>BC593-BC625</f>
        <v>288.89999999999998</v>
      </c>
      <c r="BD624" s="1042">
        <f t="shared" si="1276" ref="BD624:BE624">BD593-BD625</f>
        <v>515.59999999999991</v>
      </c>
      <c r="BE624" s="1349">
        <f t="shared" si="1276"/>
        <v>1121.20</v>
      </c>
      <c r="BF624" s="1042">
        <f>BF593-BF625</f>
        <v>608.50</v>
      </c>
      <c r="BG624" s="1042">
        <f>BG593-BG625</f>
        <v>401.70000000000005</v>
      </c>
      <c r="BH624" s="1043">
        <f>BH593-BH625</f>
        <v>611.39999999999986</v>
      </c>
      <c r="BI624" s="1044">
        <f>BI621*BI638</f>
        <v>438.93752063403417</v>
      </c>
      <c r="BJ624" s="1350">
        <f>SUM(BF624,BG624,BH624,BI624)</f>
        <v>2060.5375206340341</v>
      </c>
      <c r="BK624" s="1044">
        <f>BK621*BK638</f>
        <v>478.62156409055734</v>
      </c>
      <c r="BL624" s="1044">
        <f>BL621*BL638</f>
        <v>381.65398674251026</v>
      </c>
      <c r="BM624" s="1044">
        <f>BM621*BM638</f>
        <v>769.98049826163845</v>
      </c>
      <c r="BN624" s="1044">
        <f>BN621*BN638</f>
        <v>586.12244253894062</v>
      </c>
      <c r="BO624" s="1350">
        <f>SUM(BK624,BL624,BM624,BN624)</f>
        <v>2216.3784916336467</v>
      </c>
      <c r="BP624" s="1351">
        <f>BP621*BP638</f>
        <v>1981.9216295247647</v>
      </c>
      <c r="BQ624" s="1351">
        <f>BQ621*BQ638</f>
        <v>2093.3072203800921</v>
      </c>
      <c r="BR624" s="1350">
        <f>BR621*BR638</f>
        <v>2210.4517637505905</v>
      </c>
      <c r="BS624" s="648"/>
    </row>
    <row r="625" spans="1:71" s="665" customFormat="1" ht="15">
      <c r="A625" s="1000" t="s">
        <v>94</v>
      </c>
      <c r="B625" s="261"/>
      <c r="C625" s="1323">
        <f t="shared" si="1277" ref="C625:AT625">C603</f>
        <v>8.40</v>
      </c>
      <c r="D625" s="1323">
        <f t="shared" si="1277"/>
        <v>63</v>
      </c>
      <c r="E625" s="1323">
        <f t="shared" si="1277"/>
        <v>31.30</v>
      </c>
      <c r="F625" s="1323">
        <f t="shared" si="1277"/>
        <v>-9.40</v>
      </c>
      <c r="G625" s="1323">
        <f t="shared" si="1277"/>
        <v>94.40</v>
      </c>
      <c r="H625" s="1027">
        <f t="shared" si="1277"/>
        <v>0</v>
      </c>
      <c r="I625" s="1027">
        <f t="shared" si="1277"/>
        <v>0</v>
      </c>
      <c r="J625" s="1027">
        <f t="shared" si="1277"/>
        <v>0</v>
      </c>
      <c r="K625" s="1027">
        <f t="shared" si="1277"/>
        <v>0</v>
      </c>
      <c r="L625" s="1323">
        <f t="shared" si="1277"/>
        <v>32</v>
      </c>
      <c r="M625" s="1027">
        <f t="shared" si="1277"/>
        <v>0</v>
      </c>
      <c r="N625" s="1027">
        <f t="shared" si="1277"/>
        <v>0</v>
      </c>
      <c r="O625" s="1027">
        <f t="shared" si="1277"/>
        <v>0</v>
      </c>
      <c r="P625" s="1027">
        <f t="shared" si="1277"/>
        <v>0</v>
      </c>
      <c r="Q625" s="1323">
        <f t="shared" si="1277"/>
        <v>-58.80</v>
      </c>
      <c r="R625" s="1027">
        <f t="shared" si="1277"/>
        <v>0</v>
      </c>
      <c r="S625" s="1027">
        <f t="shared" si="1277"/>
        <v>0</v>
      </c>
      <c r="T625" s="1027">
        <f t="shared" si="1277"/>
        <v>0</v>
      </c>
      <c r="U625" s="1027">
        <f t="shared" si="1277"/>
        <v>0</v>
      </c>
      <c r="V625" s="1323">
        <f t="shared" si="1277"/>
        <v>-68.80</v>
      </c>
      <c r="W625" s="1027">
        <f t="shared" si="1277"/>
        <v>0</v>
      </c>
      <c r="X625" s="1027">
        <f t="shared" si="1277"/>
        <v>0</v>
      </c>
      <c r="Y625" s="1027">
        <f t="shared" si="1277"/>
        <v>0</v>
      </c>
      <c r="Z625" s="1027">
        <f t="shared" si="1277"/>
        <v>0</v>
      </c>
      <c r="AA625" s="1323">
        <f t="shared" si="1277"/>
        <v>-152.90000000000001</v>
      </c>
      <c r="AB625" s="1027">
        <f t="shared" si="1277"/>
        <v>0</v>
      </c>
      <c r="AC625" s="1027">
        <f t="shared" si="1277"/>
        <v>0</v>
      </c>
      <c r="AD625" s="1027">
        <f t="shared" si="1277"/>
        <v>0</v>
      </c>
      <c r="AE625" s="1027">
        <f t="shared" si="1277"/>
        <v>0</v>
      </c>
      <c r="AF625" s="1323">
        <f t="shared" si="1277"/>
        <v>-152</v>
      </c>
      <c r="AG625" s="1027">
        <f t="shared" si="1277"/>
        <v>0</v>
      </c>
      <c r="AH625" s="1027">
        <f t="shared" si="1277"/>
        <v>0</v>
      </c>
      <c r="AI625" s="1027">
        <f t="shared" si="1277"/>
        <v>0</v>
      </c>
      <c r="AJ625" s="1027">
        <f t="shared" si="1277"/>
        <v>0</v>
      </c>
      <c r="AK625" s="1323">
        <f t="shared" si="1277"/>
        <v>48.30</v>
      </c>
      <c r="AL625" s="1027">
        <f t="shared" si="1277"/>
        <v>0</v>
      </c>
      <c r="AM625" s="1027">
        <f t="shared" si="1277"/>
        <v>0</v>
      </c>
      <c r="AN625" s="1027">
        <f t="shared" si="1277"/>
        <v>0</v>
      </c>
      <c r="AO625" s="1027">
        <f t="shared" si="1277"/>
        <v>0</v>
      </c>
      <c r="AP625" s="1323">
        <f t="shared" si="1277"/>
        <v>48.30</v>
      </c>
      <c r="AQ625" s="1027">
        <f t="shared" si="1277"/>
        <v>0</v>
      </c>
      <c r="AR625" s="1029">
        <f t="shared" si="1277"/>
        <v>0</v>
      </c>
      <c r="AS625" s="1027">
        <f t="shared" si="1277"/>
        <v>0</v>
      </c>
      <c r="AT625" s="1029">
        <f t="shared" si="1277"/>
        <v>0</v>
      </c>
      <c r="AU625" s="1324">
        <f>SUM(AQ625,AR625,AS625,AT625)</f>
        <v>0</v>
      </c>
      <c r="AV625" s="1027">
        <f>AV603</f>
        <v>0</v>
      </c>
      <c r="AW625" s="1029">
        <f>AW603</f>
        <v>0</v>
      </c>
      <c r="AX625" s="1027">
        <f>AX603</f>
        <v>0</v>
      </c>
      <c r="AY625" s="1029">
        <f t="shared" si="1278" ref="AY625:AZ625">AY603</f>
        <v>0</v>
      </c>
      <c r="AZ625" s="1324">
        <f t="shared" si="1278"/>
        <v>-545.30000000000007</v>
      </c>
      <c r="BA625" s="1029">
        <f>BA603</f>
        <v>0</v>
      </c>
      <c r="BB625" s="1029">
        <f>BB603</f>
        <v>0</v>
      </c>
      <c r="BC625" s="1029">
        <f>BC603</f>
        <v>0</v>
      </c>
      <c r="BD625" s="1029">
        <f t="shared" si="1279" ref="BD625:BE625">BD603</f>
        <v>0</v>
      </c>
      <c r="BE625" s="1324">
        <f t="shared" si="1279"/>
        <v>-119.90000000000001</v>
      </c>
      <c r="BF625" s="1029">
        <f>BF603</f>
        <v>0</v>
      </c>
      <c r="BG625" s="1029">
        <f>BG603</f>
        <v>0</v>
      </c>
      <c r="BH625" s="1050">
        <f>BH603</f>
        <v>0</v>
      </c>
      <c r="BI625" s="1029">
        <f>BI621*BI639</f>
        <v>0</v>
      </c>
      <c r="BJ625" s="1324">
        <f>SUM(BF625,BG625,BH625,BI625)</f>
        <v>0</v>
      </c>
      <c r="BK625" s="1029">
        <f>BK621*BK639</f>
        <v>0</v>
      </c>
      <c r="BL625" s="1029">
        <f>BL621*BL639</f>
        <v>0</v>
      </c>
      <c r="BM625" s="1029">
        <f>BM621*BM639</f>
        <v>0</v>
      </c>
      <c r="BN625" s="1029">
        <f>BN621*BN639</f>
        <v>0</v>
      </c>
      <c r="BO625" s="1324">
        <f>SUM(BK625,BL625,BM625,BN625)</f>
        <v>0</v>
      </c>
      <c r="BP625" s="1324">
        <f>BP621*BP639</f>
        <v>0</v>
      </c>
      <c r="BQ625" s="1324">
        <f>BQ621*BQ639</f>
        <v>0</v>
      </c>
      <c r="BR625" s="1324">
        <f>BR621*BR639</f>
        <v>0</v>
      </c>
      <c r="BS625" s="648"/>
    </row>
    <row r="626" spans="1:71" s="668" customFormat="1" ht="15">
      <c r="A626" s="42" t="s">
        <v>95</v>
      </c>
      <c r="B626" s="410"/>
      <c r="C626" s="1355">
        <f t="shared" si="1280" ref="C626:AM626">C621-SUM(C624:C625)</f>
        <v>1057.5000000000005</v>
      </c>
      <c r="D626" s="1355">
        <f t="shared" si="1280"/>
        <v>1068.3000000000006</v>
      </c>
      <c r="E626" s="1355">
        <f t="shared" si="1280"/>
        <v>1015.5000000000014</v>
      </c>
      <c r="F626" s="1355">
        <f t="shared" si="1280"/>
        <v>902.29999999999757</v>
      </c>
      <c r="G626" s="1355">
        <f t="shared" si="1280"/>
        <v>1165.4000000000019</v>
      </c>
      <c r="H626" s="1052">
        <f t="shared" si="1280"/>
        <v>321.30000000000018</v>
      </c>
      <c r="I626" s="1052">
        <f t="shared" si="1280"/>
        <v>293.39999999999918</v>
      </c>
      <c r="J626" s="1052">
        <f t="shared" si="1280"/>
        <v>296.10000000000019</v>
      </c>
      <c r="K626" s="1052">
        <f t="shared" si="1280"/>
        <v>370.19999999999737</v>
      </c>
      <c r="L626" s="1355">
        <f t="shared" si="1280"/>
        <v>1281.0000000000014</v>
      </c>
      <c r="M626" s="1052">
        <f t="shared" si="1280"/>
        <v>295.60000000000025</v>
      </c>
      <c r="N626" s="1052">
        <f t="shared" si="1280"/>
        <v>368.50000000000017</v>
      </c>
      <c r="O626" s="1052">
        <f t="shared" si="1280"/>
        <v>286.49999999999977</v>
      </c>
      <c r="P626" s="1052">
        <f t="shared" si="1280"/>
        <v>349.89999999999554</v>
      </c>
      <c r="Q626" s="1355">
        <f t="shared" si="1280"/>
        <v>1300.4999999999995</v>
      </c>
      <c r="R626" s="1052">
        <f t="shared" si="1280"/>
        <v>258.69999999999919</v>
      </c>
      <c r="S626" s="1052">
        <f t="shared" si="1280"/>
        <v>194.90000000000131</v>
      </c>
      <c r="T626" s="1052">
        <f t="shared" si="1280"/>
        <v>205.50000000000023</v>
      </c>
      <c r="U626" s="1052">
        <f t="shared" si="1280"/>
        <v>398.09999999999928</v>
      </c>
      <c r="V626" s="1355">
        <f t="shared" si="1280"/>
        <v>1057.2000000000035</v>
      </c>
      <c r="W626" s="1052">
        <f t="shared" si="1280"/>
        <v>430.29999999999933</v>
      </c>
      <c r="X626" s="1052">
        <f t="shared" si="1280"/>
        <v>372.70000000000107</v>
      </c>
      <c r="Y626" s="1052">
        <f t="shared" si="1280"/>
        <v>214.79999999999987</v>
      </c>
      <c r="Z626" s="1052">
        <f t="shared" si="1280"/>
        <v>580.30000000000155</v>
      </c>
      <c r="AA626" s="1355">
        <f t="shared" si="1280"/>
        <v>1598.0999999999997</v>
      </c>
      <c r="AB626" s="1052">
        <f t="shared" si="1280"/>
        <v>729.80000000000018</v>
      </c>
      <c r="AC626" s="1052">
        <f t="shared" si="1280"/>
        <v>701.1999999999997</v>
      </c>
      <c r="AD626" s="1052">
        <f t="shared" si="1280"/>
        <v>930.20000000000073</v>
      </c>
      <c r="AE626" s="1052">
        <f t="shared" si="1280"/>
        <v>259.79999999999939</v>
      </c>
      <c r="AF626" s="1355">
        <f t="shared" si="1280"/>
        <v>2620.9999999999995</v>
      </c>
      <c r="AG626" s="1052">
        <f t="shared" si="1280"/>
        <v>1082.7999999999979</v>
      </c>
      <c r="AH626" s="1052">
        <f t="shared" si="1280"/>
        <v>978.99999999999852</v>
      </c>
      <c r="AI626" s="1052">
        <f t="shared" si="1280"/>
        <v>843.59999999999968</v>
      </c>
      <c r="AJ626" s="1052">
        <f t="shared" si="1280"/>
        <v>1074.600000000001</v>
      </c>
      <c r="AK626" s="1355">
        <f t="shared" si="1280"/>
        <v>3979.9999999999955</v>
      </c>
      <c r="AL626" s="1052">
        <f t="shared" si="1280"/>
        <v>699.10000000000161</v>
      </c>
      <c r="AM626" s="1052">
        <f t="shared" si="1280"/>
        <v>1790.3999999999987</v>
      </c>
      <c r="AN626" s="1052">
        <f t="shared" si="1281" ref="AN626:AU626">AN621-SUM(AN624:AN625)</f>
        <v>1530.80</v>
      </c>
      <c r="AO626" s="1052">
        <f t="shared" si="1281"/>
        <v>1684.30</v>
      </c>
      <c r="AP626" s="1355">
        <f t="shared" si="1281"/>
        <v>5704.5999999999985</v>
      </c>
      <c r="AQ626" s="1052">
        <f t="shared" si="1281"/>
        <v>1480.0000000000005</v>
      </c>
      <c r="AR626" s="1052">
        <f t="shared" si="1281"/>
        <v>790.0999999999998</v>
      </c>
      <c r="AS626" s="1052">
        <f t="shared" si="1281"/>
        <v>118.49999999999818</v>
      </c>
      <c r="AT626" s="1052">
        <f t="shared" si="1281"/>
        <v>962.29999999999279</v>
      </c>
      <c r="AU626" s="1355">
        <f t="shared" si="1281"/>
        <v>3350.8999999999946</v>
      </c>
      <c r="AV626" s="1052">
        <f t="shared" si="1282" ref="AV626:BJ626">AV621-SUM(AV624:AV625)</f>
        <v>313.90000000000254</v>
      </c>
      <c r="AW626" s="1052">
        <f t="shared" si="1282"/>
        <v>-542.90000000000191</v>
      </c>
      <c r="AX626" s="1052">
        <f t="shared" si="1282"/>
        <v>124.09999999999954</v>
      </c>
      <c r="AY626" s="1052">
        <f t="shared" si="1283" ref="AY626:AZ626">AY621-SUM(AY624:AY625)</f>
        <v>826.39999999999884</v>
      </c>
      <c r="AZ626" s="1355">
        <f t="shared" si="1283"/>
        <v>721.50000000000762</v>
      </c>
      <c r="BA626" s="1052">
        <f t="shared" si="1284" ref="BA626:BI626">BA621-SUM(BA624:BA625)</f>
        <v>447.90000000000055</v>
      </c>
      <c r="BB626" s="1052">
        <f t="shared" si="1284"/>
        <v>345.40000000000163</v>
      </c>
      <c r="BC626" s="1052">
        <f t="shared" si="1284"/>
        <v>1121.3000000000011</v>
      </c>
      <c r="BD626" s="1052">
        <f t="shared" si="1284"/>
        <v>1987.8000000000061</v>
      </c>
      <c r="BE626" s="1355">
        <f t="shared" si="1284"/>
        <v>3902.4000000000005</v>
      </c>
      <c r="BF626" s="1054">
        <f t="shared" si="1285" ref="BF626">BF621-SUM(BF624:BF625)</f>
        <v>2331.3999999999996</v>
      </c>
      <c r="BG626" s="1052">
        <f>BG621-SUM(BG624:BG625)</f>
        <v>1458.6999999999982</v>
      </c>
      <c r="BH626" s="1053">
        <f>BH621-SUM(BH624:BH625)</f>
        <v>2333.4000000000142</v>
      </c>
      <c r="BI626" s="1054">
        <f t="shared" si="1284"/>
        <v>1651.241149051843</v>
      </c>
      <c r="BJ626" s="1356">
        <f t="shared" si="1282"/>
        <v>7774.741149051848</v>
      </c>
      <c r="BK626" s="1054">
        <f t="shared" si="1286" ref="BK626:BR626">BK621-SUM(BK624:BK625)</f>
        <v>2040.439299543955</v>
      </c>
      <c r="BL626" s="1054">
        <f t="shared" si="1286"/>
        <v>1435.7459501265862</v>
      </c>
      <c r="BM626" s="1054">
        <f t="shared" si="1286"/>
        <v>1256.2839708479364</v>
      </c>
      <c r="BN626" s="1054">
        <f t="shared" si="1286"/>
        <v>2204.9368076464912</v>
      </c>
      <c r="BO626" s="1356">
        <f t="shared" si="1286"/>
        <v>6937.4060281649708</v>
      </c>
      <c r="BP626" s="1356">
        <f t="shared" si="1286"/>
        <v>7455.8004158312433</v>
      </c>
      <c r="BQ626" s="1356">
        <f t="shared" si="1286"/>
        <v>7874.8224004774738</v>
      </c>
      <c r="BR626" s="1356">
        <f t="shared" si="1286"/>
        <v>8315.5090160141099</v>
      </c>
      <c r="BS626" s="648"/>
    </row>
    <row r="627" spans="1:71" s="665" customFormat="1" ht="15">
      <c r="A627" s="371" t="s">
        <v>96</v>
      </c>
      <c r="B627" s="321"/>
      <c r="C627" s="1351"/>
      <c r="D627" s="1351"/>
      <c r="E627" s="1351"/>
      <c r="F627" s="1351"/>
      <c r="G627" s="1351"/>
      <c r="H627" s="1047"/>
      <c r="I627" s="1047"/>
      <c r="J627" s="1047"/>
      <c r="K627" s="1047"/>
      <c r="L627" s="1351"/>
      <c r="M627" s="1047"/>
      <c r="N627" s="1047"/>
      <c r="O627" s="1047"/>
      <c r="P627" s="1047"/>
      <c r="Q627" s="1351"/>
      <c r="R627" s="1047"/>
      <c r="S627" s="1047"/>
      <c r="T627" s="1047"/>
      <c r="U627" s="1047"/>
      <c r="V627" s="1351"/>
      <c r="W627" s="1047"/>
      <c r="X627" s="1047"/>
      <c r="Y627" s="1047"/>
      <c r="Z627" s="1047"/>
      <c r="AA627" s="1351"/>
      <c r="AB627" s="1047"/>
      <c r="AC627" s="1047"/>
      <c r="AD627" s="1047"/>
      <c r="AE627" s="1047"/>
      <c r="AF627" s="1351"/>
      <c r="AG627" s="1047"/>
      <c r="AH627" s="1047"/>
      <c r="AI627" s="1047"/>
      <c r="AJ627" s="1047"/>
      <c r="AK627" s="1351"/>
      <c r="AL627" s="1047"/>
      <c r="AM627" s="1047"/>
      <c r="AN627" s="1047"/>
      <c r="AO627" s="1047"/>
      <c r="AP627" s="1351"/>
      <c r="AQ627" s="1047"/>
      <c r="AR627" s="1047"/>
      <c r="AS627" s="1047"/>
      <c r="AT627" s="1047"/>
      <c r="AU627" s="1351"/>
      <c r="AV627" s="1047"/>
      <c r="AW627" s="1047"/>
      <c r="AX627" s="1047"/>
      <c r="AY627" s="1047"/>
      <c r="AZ627" s="1351"/>
      <c r="BA627" s="1047"/>
      <c r="BB627" s="1047"/>
      <c r="BC627" s="1047"/>
      <c r="BD627" s="1047"/>
      <c r="BE627" s="1351"/>
      <c r="BF627" s="1047"/>
      <c r="BG627" s="1047"/>
      <c r="BH627" s="1048"/>
      <c r="BI627" s="1044"/>
      <c r="BJ627" s="1350">
        <f>SUM(BF627,BG627,BH627,BI627)</f>
        <v>0</v>
      </c>
      <c r="BK627" s="1044"/>
      <c r="BL627" s="1044"/>
      <c r="BM627" s="1044"/>
      <c r="BN627" s="1044"/>
      <c r="BO627" s="1350">
        <f>SUM(BK627,BL627,BM627,BN627)</f>
        <v>0</v>
      </c>
      <c r="BP627" s="1351"/>
      <c r="BQ627" s="1351"/>
      <c r="BR627" s="1350"/>
      <c r="BS627" s="648"/>
    </row>
    <row r="628" spans="1:71" s="665" customFormat="1" ht="15">
      <c r="A628" s="371" t="s">
        <v>97</v>
      </c>
      <c r="B628" s="321"/>
      <c r="C628" s="1351"/>
      <c r="D628" s="1351"/>
      <c r="E628" s="1351"/>
      <c r="F628" s="1351"/>
      <c r="G628" s="1351"/>
      <c r="H628" s="1047"/>
      <c r="I628" s="1047"/>
      <c r="J628" s="1047"/>
      <c r="K628" s="1047"/>
      <c r="L628" s="1351"/>
      <c r="M628" s="1047"/>
      <c r="N628" s="1047"/>
      <c r="O628" s="1047"/>
      <c r="P628" s="1047"/>
      <c r="Q628" s="1351"/>
      <c r="R628" s="1047"/>
      <c r="S628" s="1047"/>
      <c r="T628" s="1047"/>
      <c r="U628" s="1047"/>
      <c r="V628" s="1351"/>
      <c r="W628" s="1047"/>
      <c r="X628" s="1047"/>
      <c r="Y628" s="1047"/>
      <c r="Z628" s="1047"/>
      <c r="AA628" s="1351"/>
      <c r="AB628" s="1047"/>
      <c r="AC628" s="1047"/>
      <c r="AD628" s="1047"/>
      <c r="AE628" s="1047"/>
      <c r="AF628" s="1351"/>
      <c r="AG628" s="1047"/>
      <c r="AH628" s="1047"/>
      <c r="AI628" s="1047"/>
      <c r="AJ628" s="1047"/>
      <c r="AK628" s="1351"/>
      <c r="AL628" s="1047"/>
      <c r="AM628" s="1047"/>
      <c r="AN628" s="1047"/>
      <c r="AO628" s="1047"/>
      <c r="AP628" s="1351"/>
      <c r="AQ628" s="1047"/>
      <c r="AR628" s="1047"/>
      <c r="AS628" s="1047"/>
      <c r="AT628" s="1047"/>
      <c r="AU628" s="1351"/>
      <c r="AV628" s="1047"/>
      <c r="AW628" s="1047"/>
      <c r="AX628" s="1047"/>
      <c r="AY628" s="1047"/>
      <c r="AZ628" s="1351"/>
      <c r="BA628" s="1047"/>
      <c r="BB628" s="1047"/>
      <c r="BC628" s="1047"/>
      <c r="BD628" s="1047"/>
      <c r="BE628" s="1351"/>
      <c r="BF628" s="1047"/>
      <c r="BG628" s="1047"/>
      <c r="BH628" s="1048"/>
      <c r="BI628" s="1044"/>
      <c r="BJ628" s="1350">
        <f>SUM(BF628,BG628,BH628,BI628)</f>
        <v>0</v>
      </c>
      <c r="BK628" s="1044"/>
      <c r="BL628" s="1044"/>
      <c r="BM628" s="1044"/>
      <c r="BN628" s="1044"/>
      <c r="BO628" s="1350">
        <f>SUM(BK628,BL628,BM628,BN628)</f>
        <v>0</v>
      </c>
      <c r="BP628" s="1351"/>
      <c r="BQ628" s="1351"/>
      <c r="BR628" s="1350"/>
      <c r="BS628" s="648"/>
    </row>
    <row r="629" spans="1:71" s="665" customFormat="1" ht="15">
      <c r="A629" s="371" t="s">
        <v>98</v>
      </c>
      <c r="B629" s="321"/>
      <c r="C629" s="1349">
        <f t="shared" si="1287" ref="C629:AU629">-C595</f>
        <v>0</v>
      </c>
      <c r="D629" s="1349">
        <f t="shared" si="1287"/>
        <v>0</v>
      </c>
      <c r="E629" s="1349">
        <f t="shared" si="1287"/>
        <v>0</v>
      </c>
      <c r="F629" s="1349">
        <f t="shared" si="1287"/>
        <v>0</v>
      </c>
      <c r="G629" s="1349">
        <f t="shared" si="1287"/>
        <v>0</v>
      </c>
      <c r="H629" s="1042">
        <f t="shared" si="1287"/>
        <v>0</v>
      </c>
      <c r="I629" s="1042">
        <f t="shared" si="1287"/>
        <v>0</v>
      </c>
      <c r="J629" s="1042">
        <f t="shared" si="1287"/>
        <v>0</v>
      </c>
      <c r="K629" s="1042">
        <f t="shared" si="1287"/>
        <v>0</v>
      </c>
      <c r="L629" s="1349">
        <f t="shared" si="1287"/>
        <v>0</v>
      </c>
      <c r="M629" s="1042">
        <f t="shared" si="1287"/>
        <v>0</v>
      </c>
      <c r="N629" s="1042">
        <f t="shared" si="1287"/>
        <v>5.20</v>
      </c>
      <c r="O629" s="1042">
        <f t="shared" si="1287"/>
        <v>8.1999999999999993</v>
      </c>
      <c r="P629" s="1042">
        <f t="shared" si="1287"/>
        <v>19.50</v>
      </c>
      <c r="Q629" s="1349">
        <f t="shared" si="1287"/>
        <v>32.90</v>
      </c>
      <c r="R629" s="1042">
        <f t="shared" si="1287"/>
        <v>0.50</v>
      </c>
      <c r="S629" s="1042">
        <f t="shared" si="1287"/>
        <v>4</v>
      </c>
      <c r="T629" s="1042">
        <f t="shared" si="1287"/>
        <v>6.80</v>
      </c>
      <c r="U629" s="1042">
        <f t="shared" si="1287"/>
        <v>14.90</v>
      </c>
      <c r="V629" s="1349">
        <f t="shared" si="1287"/>
        <v>26.20</v>
      </c>
      <c r="W629" s="1042">
        <f t="shared" si="1287"/>
        <v>6</v>
      </c>
      <c r="X629" s="1042">
        <f t="shared" si="1287"/>
        <v>5.0999999999999996</v>
      </c>
      <c r="Y629" s="1042">
        <f t="shared" si="1287"/>
        <v>-9.1999999999999993</v>
      </c>
      <c r="Z629" s="1042">
        <f t="shared" si="1287"/>
        <v>4</v>
      </c>
      <c r="AA629" s="1349">
        <f t="shared" si="1287"/>
        <v>5.90</v>
      </c>
      <c r="AB629" s="1042">
        <f t="shared" si="1287"/>
        <v>11.80</v>
      </c>
      <c r="AC629" s="1042">
        <f t="shared" si="1287"/>
        <v>-3</v>
      </c>
      <c r="AD629" s="1042">
        <f t="shared" si="1287"/>
        <v>1.80</v>
      </c>
      <c r="AE629" s="1042">
        <f t="shared" si="1287"/>
        <v>-4.9000000000000004</v>
      </c>
      <c r="AF629" s="1349">
        <f t="shared" si="1287"/>
        <v>5.70</v>
      </c>
      <c r="AG629" s="1042">
        <f t="shared" si="1287"/>
        <v>4.4000000000000004</v>
      </c>
      <c r="AH629" s="1042">
        <f t="shared" si="1287"/>
        <v>-0.40</v>
      </c>
      <c r="AI629" s="1042">
        <f t="shared" si="1287"/>
        <v>1.90</v>
      </c>
      <c r="AJ629" s="1042">
        <f t="shared" si="1287"/>
        <v>3.7999999999999989</v>
      </c>
      <c r="AK629" s="1349">
        <f t="shared" si="1287"/>
        <v>9.6999999999999993</v>
      </c>
      <c r="AL629" s="1042">
        <f t="shared" si="1287"/>
        <v>6.40</v>
      </c>
      <c r="AM629" s="1042">
        <f t="shared" si="1287"/>
        <v>0</v>
      </c>
      <c r="AN629" s="1042">
        <f t="shared" si="1287"/>
        <v>0</v>
      </c>
      <c r="AO629" s="1042">
        <f t="shared" si="1287"/>
        <v>0</v>
      </c>
      <c r="AP629" s="1349">
        <f t="shared" si="1287"/>
        <v>0</v>
      </c>
      <c r="AQ629" s="1042">
        <f t="shared" si="1287"/>
        <v>0</v>
      </c>
      <c r="AR629" s="1042">
        <f t="shared" si="1287"/>
        <v>0</v>
      </c>
      <c r="AS629" s="1042">
        <f t="shared" si="1287"/>
        <v>0</v>
      </c>
      <c r="AT629" s="1042">
        <f t="shared" si="1287"/>
        <v>0</v>
      </c>
      <c r="AU629" s="1349">
        <f t="shared" si="1287"/>
        <v>0</v>
      </c>
      <c r="AV629" s="1042">
        <f t="shared" si="1288" ref="AV629:BA629">-AV595</f>
        <v>0</v>
      </c>
      <c r="AW629" s="1042">
        <f t="shared" si="1288"/>
        <v>0</v>
      </c>
      <c r="AX629" s="1042">
        <f t="shared" si="1288"/>
        <v>0</v>
      </c>
      <c r="AY629" s="1042">
        <f t="shared" si="1288"/>
        <v>0</v>
      </c>
      <c r="AZ629" s="1349">
        <f t="shared" si="1288"/>
        <v>0</v>
      </c>
      <c r="BA629" s="1042">
        <f t="shared" si="1288"/>
        <v>0</v>
      </c>
      <c r="BB629" s="1042">
        <f>-BB595</f>
        <v>0</v>
      </c>
      <c r="BC629" s="1042">
        <f>-BC595</f>
        <v>0</v>
      </c>
      <c r="BD629" s="1042">
        <f t="shared" si="1289" ref="BD629:BF629">-BD595</f>
        <v>0</v>
      </c>
      <c r="BE629" s="1349">
        <f t="shared" si="1289"/>
        <v>0</v>
      </c>
      <c r="BF629" s="1047">
        <f t="shared" si="1289"/>
        <v>0</v>
      </c>
      <c r="BG629" s="1042">
        <f>-BG595</f>
        <v>0</v>
      </c>
      <c r="BH629" s="1043">
        <f>-BH595</f>
        <v>0</v>
      </c>
      <c r="BI629" s="1044"/>
      <c r="BJ629" s="1350">
        <f>SUM(BF629,BG629,BH629,BI629)</f>
        <v>0</v>
      </c>
      <c r="BK629" s="1044"/>
      <c r="BL629" s="1044"/>
      <c r="BM629" s="1044"/>
      <c r="BN629" s="1044"/>
      <c r="BO629" s="1350">
        <f>SUM(BK629,BL629,BM629,BN629)</f>
        <v>0</v>
      </c>
      <c r="BP629" s="1351"/>
      <c r="BQ629" s="1351"/>
      <c r="BR629" s="1350"/>
      <c r="BS629" s="648"/>
    </row>
    <row r="630" spans="1:71" s="665" customFormat="1" ht="15">
      <c r="A630" s="1001" t="s">
        <v>99</v>
      </c>
      <c r="B630" s="261"/>
      <c r="C630" s="1324">
        <f t="shared" si="1290" ref="C630:AU630">C597</f>
        <v>0</v>
      </c>
      <c r="D630" s="1324">
        <f t="shared" si="1290"/>
        <v>0</v>
      </c>
      <c r="E630" s="1324">
        <f t="shared" si="1290"/>
        <v>0</v>
      </c>
      <c r="F630" s="1324">
        <f t="shared" si="1290"/>
        <v>0</v>
      </c>
      <c r="G630" s="1324">
        <f t="shared" si="1290"/>
        <v>0</v>
      </c>
      <c r="H630" s="1029">
        <f t="shared" si="1290"/>
        <v>0</v>
      </c>
      <c r="I630" s="1029">
        <f t="shared" si="1290"/>
        <v>0</v>
      </c>
      <c r="J630" s="1029">
        <f t="shared" si="1290"/>
        <v>0</v>
      </c>
      <c r="K630" s="1029">
        <f t="shared" si="1290"/>
        <v>0</v>
      </c>
      <c r="L630" s="1324">
        <f t="shared" si="1290"/>
        <v>0</v>
      </c>
      <c r="M630" s="1029">
        <f t="shared" si="1290"/>
        <v>0</v>
      </c>
      <c r="N630" s="1029">
        <f t="shared" si="1290"/>
        <v>0</v>
      </c>
      <c r="O630" s="1029">
        <f t="shared" si="1290"/>
        <v>0</v>
      </c>
      <c r="P630" s="1029">
        <f t="shared" si="1290"/>
        <v>0</v>
      </c>
      <c r="Q630" s="1324">
        <f t="shared" si="1290"/>
        <v>0</v>
      </c>
      <c r="R630" s="1029">
        <f t="shared" si="1290"/>
        <v>0</v>
      </c>
      <c r="S630" s="1029">
        <f t="shared" si="1290"/>
        <v>0</v>
      </c>
      <c r="T630" s="1029">
        <f t="shared" si="1290"/>
        <v>0</v>
      </c>
      <c r="U630" s="1029">
        <f t="shared" si="1290"/>
        <v>0</v>
      </c>
      <c r="V630" s="1324">
        <f t="shared" si="1290"/>
        <v>0</v>
      </c>
      <c r="W630" s="1029">
        <f t="shared" si="1290"/>
        <v>0</v>
      </c>
      <c r="X630" s="1029">
        <f t="shared" si="1290"/>
        <v>0</v>
      </c>
      <c r="Y630" s="1029">
        <f t="shared" si="1290"/>
        <v>0</v>
      </c>
      <c r="Z630" s="1029">
        <f t="shared" si="1290"/>
        <v>0</v>
      </c>
      <c r="AA630" s="1324">
        <f t="shared" si="1290"/>
        <v>0</v>
      </c>
      <c r="AB630" s="1029">
        <f t="shared" si="1290"/>
        <v>1.20</v>
      </c>
      <c r="AC630" s="1029">
        <f t="shared" si="1290"/>
        <v>6.70</v>
      </c>
      <c r="AD630" s="1029">
        <f t="shared" si="1290"/>
        <v>6.70</v>
      </c>
      <c r="AE630" s="1029">
        <f t="shared" si="1290"/>
        <v>6.7999999999999989</v>
      </c>
      <c r="AF630" s="1324">
        <f t="shared" si="1290"/>
        <v>21.40</v>
      </c>
      <c r="AG630" s="1029">
        <f t="shared" si="1290"/>
        <v>6.70</v>
      </c>
      <c r="AH630" s="1029">
        <f t="shared" si="1290"/>
        <v>6.70</v>
      </c>
      <c r="AI630" s="1029">
        <f t="shared" si="1290"/>
        <v>6.70</v>
      </c>
      <c r="AJ630" s="1029">
        <f t="shared" si="1290"/>
        <v>6.80</v>
      </c>
      <c r="AK630" s="1324">
        <f t="shared" si="1290"/>
        <v>26.90</v>
      </c>
      <c r="AL630" s="1029">
        <f t="shared" si="1290"/>
        <v>6.70</v>
      </c>
      <c r="AM630" s="1029">
        <f t="shared" si="1290"/>
        <v>6.70</v>
      </c>
      <c r="AN630" s="1029">
        <f t="shared" si="1290"/>
        <v>6.70</v>
      </c>
      <c r="AO630" s="1029">
        <f t="shared" si="1290"/>
        <v>6.80</v>
      </c>
      <c r="AP630" s="1324">
        <f t="shared" si="1290"/>
        <v>26.90</v>
      </c>
      <c r="AQ630" s="1029">
        <f t="shared" si="1290"/>
        <v>6.70</v>
      </c>
      <c r="AR630" s="1029">
        <f t="shared" si="1290"/>
        <v>6.70</v>
      </c>
      <c r="AS630" s="1029">
        <f t="shared" si="1290"/>
        <v>6.70</v>
      </c>
      <c r="AT630" s="1029">
        <f t="shared" si="1290"/>
        <v>6.80</v>
      </c>
      <c r="AU630" s="1324">
        <f t="shared" si="1290"/>
        <v>26.90</v>
      </c>
      <c r="AV630" s="1029">
        <f t="shared" si="1291" ref="AV630:BA630">AV597</f>
        <v>6.70</v>
      </c>
      <c r="AW630" s="1029">
        <f t="shared" si="1291"/>
        <v>6.70</v>
      </c>
      <c r="AX630" s="1029">
        <f t="shared" si="1291"/>
        <v>6.70</v>
      </c>
      <c r="AY630" s="1029">
        <f t="shared" si="1291"/>
        <v>6.80</v>
      </c>
      <c r="AZ630" s="1324">
        <f t="shared" si="1291"/>
        <v>26.90</v>
      </c>
      <c r="BA630" s="1029">
        <f t="shared" si="1291"/>
        <v>7.30</v>
      </c>
      <c r="BB630" s="1029">
        <f>BB597</f>
        <v>9.50</v>
      </c>
      <c r="BC630" s="1029">
        <f>BC597</f>
        <v>10.40</v>
      </c>
      <c r="BD630" s="1029">
        <f t="shared" si="1292" ref="BD630:BF630">BD597</f>
        <v>10.400000000000002</v>
      </c>
      <c r="BE630" s="1324">
        <f t="shared" si="1292"/>
        <v>37.60</v>
      </c>
      <c r="BF630" s="1029">
        <f t="shared" si="1292"/>
        <v>17</v>
      </c>
      <c r="BG630" s="1029">
        <f>BG597</f>
        <v>0</v>
      </c>
      <c r="BH630" s="1050">
        <f>BH597</f>
        <v>0</v>
      </c>
      <c r="BI630" s="1228">
        <v>10</v>
      </c>
      <c r="BJ630" s="1324">
        <f>SUM(BF630,BG630,BH630,BI630)</f>
        <v>27</v>
      </c>
      <c r="BK630" s="1228">
        <v>10</v>
      </c>
      <c r="BL630" s="1228">
        <v>10</v>
      </c>
      <c r="BM630" s="1228">
        <v>20</v>
      </c>
      <c r="BN630" s="1228">
        <v>10</v>
      </c>
      <c r="BO630" s="1324">
        <f>SUM(BK630,BL630,BM630,BN630)</f>
        <v>50</v>
      </c>
      <c r="BP630" s="1365">
        <v>26.80</v>
      </c>
      <c r="BQ630" s="1365">
        <v>26.80</v>
      </c>
      <c r="BR630" s="1365">
        <v>26.80</v>
      </c>
      <c r="BS630" s="648"/>
    </row>
    <row r="631" spans="1:71" s="668" customFormat="1" ht="15">
      <c r="A631" s="43" t="s">
        <v>100</v>
      </c>
      <c r="B631" s="416"/>
      <c r="C631" s="1437">
        <f t="shared" si="1293" ref="C631:AM631">C626-SUM(C627:C630)</f>
        <v>1057.5000000000005</v>
      </c>
      <c r="D631" s="1437">
        <f t="shared" si="1293"/>
        <v>1068.3000000000006</v>
      </c>
      <c r="E631" s="1437">
        <f t="shared" si="1293"/>
        <v>1015.5000000000014</v>
      </c>
      <c r="F631" s="1437">
        <f t="shared" si="1293"/>
        <v>902.29999999999757</v>
      </c>
      <c r="G631" s="1437">
        <f t="shared" si="1293"/>
        <v>1165.4000000000019</v>
      </c>
      <c r="H631" s="1132">
        <f t="shared" si="1293"/>
        <v>321.30000000000018</v>
      </c>
      <c r="I631" s="1132">
        <f t="shared" si="1293"/>
        <v>293.39999999999918</v>
      </c>
      <c r="J631" s="1132">
        <f t="shared" si="1293"/>
        <v>296.10000000000019</v>
      </c>
      <c r="K631" s="1132">
        <f t="shared" si="1293"/>
        <v>370.19999999999737</v>
      </c>
      <c r="L631" s="1437">
        <f t="shared" si="1293"/>
        <v>1281.0000000000014</v>
      </c>
      <c r="M631" s="1132">
        <f t="shared" si="1293"/>
        <v>295.60000000000025</v>
      </c>
      <c r="N631" s="1132">
        <f t="shared" si="1293"/>
        <v>363.30000000000018</v>
      </c>
      <c r="O631" s="1132">
        <f t="shared" si="1293"/>
        <v>278.29999999999978</v>
      </c>
      <c r="P631" s="1132">
        <f t="shared" si="1293"/>
        <v>330.39999999999554</v>
      </c>
      <c r="Q631" s="1437">
        <f t="shared" si="1293"/>
        <v>1267.5999999999995</v>
      </c>
      <c r="R631" s="1132">
        <f t="shared" si="1293"/>
        <v>258.19999999999919</v>
      </c>
      <c r="S631" s="1132">
        <f t="shared" si="1293"/>
        <v>190.90000000000131</v>
      </c>
      <c r="T631" s="1132">
        <f t="shared" si="1293"/>
        <v>198.70000000000022</v>
      </c>
      <c r="U631" s="1132">
        <f t="shared" si="1293"/>
        <v>383.19999999999931</v>
      </c>
      <c r="V631" s="1437">
        <f t="shared" si="1293"/>
        <v>1031.0000000000034</v>
      </c>
      <c r="W631" s="1132">
        <f t="shared" si="1293"/>
        <v>424.29999999999933</v>
      </c>
      <c r="X631" s="1132">
        <f t="shared" si="1293"/>
        <v>367.60000000000105</v>
      </c>
      <c r="Y631" s="1132">
        <f t="shared" si="1293"/>
        <v>223.99999999999986</v>
      </c>
      <c r="Z631" s="1132">
        <f t="shared" si="1293"/>
        <v>576.30000000000155</v>
      </c>
      <c r="AA631" s="1437">
        <f t="shared" si="1293"/>
        <v>1592.1999999999996</v>
      </c>
      <c r="AB631" s="1132">
        <f t="shared" si="1293"/>
        <v>716.80000000000018</v>
      </c>
      <c r="AC631" s="1132">
        <f t="shared" si="1293"/>
        <v>697.49999999999966</v>
      </c>
      <c r="AD631" s="1132">
        <f t="shared" si="1293"/>
        <v>921.70000000000073</v>
      </c>
      <c r="AE631" s="1132">
        <f t="shared" si="1293"/>
        <v>257.89999999999941</v>
      </c>
      <c r="AF631" s="1437">
        <f t="shared" si="1293"/>
        <v>2593.8999999999996</v>
      </c>
      <c r="AG631" s="1132">
        <f t="shared" si="1293"/>
        <v>1071.699999999998</v>
      </c>
      <c r="AH631" s="1132">
        <f t="shared" si="1293"/>
        <v>972.69999999999857</v>
      </c>
      <c r="AI631" s="1132">
        <f t="shared" si="1293"/>
        <v>834.99999999999966</v>
      </c>
      <c r="AJ631" s="1132">
        <f t="shared" si="1293"/>
        <v>1064.0000000000011</v>
      </c>
      <c r="AK631" s="1437">
        <f t="shared" si="1293"/>
        <v>3943.3999999999955</v>
      </c>
      <c r="AL631" s="1132">
        <f t="shared" si="1293"/>
        <v>686.00000000000159</v>
      </c>
      <c r="AM631" s="1132">
        <f t="shared" si="1293"/>
        <v>1783.6999999999987</v>
      </c>
      <c r="AN631" s="1132">
        <f t="shared" si="1294" ref="AN631:AU631">AN626-SUM(AN627:AN630)</f>
        <v>1524.10</v>
      </c>
      <c r="AO631" s="1132">
        <f t="shared" si="1294"/>
        <v>1677.50</v>
      </c>
      <c r="AP631" s="1437">
        <f t="shared" si="1294"/>
        <v>5677.6999999999989</v>
      </c>
      <c r="AQ631" s="1132">
        <f t="shared" si="1294"/>
        <v>1473.3000000000004</v>
      </c>
      <c r="AR631" s="1132">
        <f t="shared" si="1294"/>
        <v>783.39999999999975</v>
      </c>
      <c r="AS631" s="1132">
        <f t="shared" si="1294"/>
        <v>111.79999999999818</v>
      </c>
      <c r="AT631" s="1132">
        <f t="shared" si="1294"/>
        <v>955.49999999999284</v>
      </c>
      <c r="AU631" s="1437">
        <f t="shared" si="1294"/>
        <v>3323.9999999999945</v>
      </c>
      <c r="AV631" s="1132">
        <f t="shared" si="1295" ref="AV631:BJ631">AV626-SUM(AV627:AV630)</f>
        <v>307.20000000000255</v>
      </c>
      <c r="AW631" s="1132">
        <f t="shared" si="1295"/>
        <v>-549.60000000000196</v>
      </c>
      <c r="AX631" s="1132">
        <f t="shared" si="1295"/>
        <v>117.39999999999954</v>
      </c>
      <c r="AY631" s="1132">
        <f t="shared" si="1295"/>
        <v>819.59999999999889</v>
      </c>
      <c r="AZ631" s="1437">
        <f t="shared" si="1295"/>
        <v>694.60000000000764</v>
      </c>
      <c r="BA631" s="1132">
        <f t="shared" si="1296" ref="BA631:BI631">BA626-SUM(BA627:BA630)</f>
        <v>440.60000000000053</v>
      </c>
      <c r="BB631" s="1132">
        <f t="shared" si="1296"/>
        <v>335.90000000000163</v>
      </c>
      <c r="BC631" s="1132">
        <f t="shared" si="1296"/>
        <v>1110.900000000001</v>
      </c>
      <c r="BD631" s="1132">
        <f t="shared" si="1296"/>
        <v>1977.400000000006</v>
      </c>
      <c r="BE631" s="1437">
        <f t="shared" si="1296"/>
        <v>3864.8000000000006</v>
      </c>
      <c r="BF631" s="1135">
        <f t="shared" si="1297" ref="BF631">BF626-SUM(BF627:BF630)</f>
        <v>2314.3999999999996</v>
      </c>
      <c r="BG631" s="1132">
        <f>BG626-SUM(BG627:BG630)</f>
        <v>1458.6999999999982</v>
      </c>
      <c r="BH631" s="1134">
        <f>BH626-SUM(BH627:BH630)</f>
        <v>2333.4000000000142</v>
      </c>
      <c r="BI631" s="1135">
        <f t="shared" si="1296"/>
        <v>1641.241149051843</v>
      </c>
      <c r="BJ631" s="1438">
        <f t="shared" si="1295"/>
        <v>7747.741149051848</v>
      </c>
      <c r="BK631" s="1135">
        <f t="shared" si="1298" ref="BK631:BR631">BK626-SUM(BK627:BK630)</f>
        <v>2030.439299543955</v>
      </c>
      <c r="BL631" s="1135">
        <f t="shared" si="1298"/>
        <v>1425.7459501265862</v>
      </c>
      <c r="BM631" s="1135">
        <f t="shared" si="1298"/>
        <v>1236.2839708479364</v>
      </c>
      <c r="BN631" s="1135">
        <f t="shared" si="1298"/>
        <v>2194.9368076464912</v>
      </c>
      <c r="BO631" s="1438">
        <f t="shared" si="1298"/>
        <v>6887.4060281649708</v>
      </c>
      <c r="BP631" s="1438">
        <f t="shared" si="1298"/>
        <v>7429.0004158312431</v>
      </c>
      <c r="BQ631" s="1438">
        <f t="shared" si="1298"/>
        <v>7848.0224004774736</v>
      </c>
      <c r="BR631" s="1438">
        <f t="shared" si="1298"/>
        <v>8288.7090160141106</v>
      </c>
      <c r="BS631" s="648"/>
    </row>
    <row r="632" spans="1:71" s="665" customFormat="1" ht="15">
      <c r="A632" s="1002" t="s">
        <v>101</v>
      </c>
      <c r="B632" s="417"/>
      <c r="C632" s="1439"/>
      <c r="D632" s="1439"/>
      <c r="E632" s="1439"/>
      <c r="F632" s="1439"/>
      <c r="G632" s="1439"/>
      <c r="H632" s="1138"/>
      <c r="I632" s="1138"/>
      <c r="J632" s="1138"/>
      <c r="K632" s="1138"/>
      <c r="L632" s="1439"/>
      <c r="M632" s="1138"/>
      <c r="N632" s="1138"/>
      <c r="O632" s="1138"/>
      <c r="P632" s="1138"/>
      <c r="Q632" s="1439"/>
      <c r="R632" s="1138"/>
      <c r="S632" s="1138"/>
      <c r="T632" s="1138"/>
      <c r="U632" s="1138"/>
      <c r="V632" s="1439"/>
      <c r="W632" s="1138"/>
      <c r="X632" s="1138"/>
      <c r="Y632" s="1138"/>
      <c r="Z632" s="1138"/>
      <c r="AA632" s="1439"/>
      <c r="AB632" s="1138"/>
      <c r="AC632" s="1138"/>
      <c r="AD632" s="1138"/>
      <c r="AE632" s="1138"/>
      <c r="AF632" s="1439"/>
      <c r="AG632" s="1138"/>
      <c r="AH632" s="1138"/>
      <c r="AI632" s="1138"/>
      <c r="AJ632" s="1138"/>
      <c r="AK632" s="1439"/>
      <c r="AL632" s="1138"/>
      <c r="AM632" s="1138"/>
      <c r="AN632" s="1138"/>
      <c r="AO632" s="1138"/>
      <c r="AP632" s="1439"/>
      <c r="AQ632" s="1138"/>
      <c r="AR632" s="1138"/>
      <c r="AS632" s="1138"/>
      <c r="AT632" s="1138"/>
      <c r="AU632" s="1439"/>
      <c r="AV632" s="1138"/>
      <c r="AW632" s="1138"/>
      <c r="AX632" s="1138"/>
      <c r="AY632" s="1138"/>
      <c r="AZ632" s="1439"/>
      <c r="BA632" s="1138"/>
      <c r="BB632" s="1138"/>
      <c r="BC632" s="1138"/>
      <c r="BD632" s="1138"/>
      <c r="BE632" s="1439"/>
      <c r="BF632" s="1138"/>
      <c r="BG632" s="1138"/>
      <c r="BH632" s="1139"/>
      <c r="BI632" s="1138"/>
      <c r="BJ632" s="1439">
        <f>SUM(BF632,BG632,BH632,BI632)</f>
        <v>0</v>
      </c>
      <c r="BK632" s="1138"/>
      <c r="BL632" s="1138"/>
      <c r="BM632" s="1138"/>
      <c r="BN632" s="1138"/>
      <c r="BO632" s="1439">
        <f>SUM(BK632,BL632,BM632,BN632)</f>
        <v>0</v>
      </c>
      <c r="BP632" s="1439"/>
      <c r="BQ632" s="1439"/>
      <c r="BR632" s="1439"/>
      <c r="BS632" s="648"/>
    </row>
    <row r="633" spans="1:71" s="668" customFormat="1" ht="15">
      <c r="A633" s="43" t="s">
        <v>102</v>
      </c>
      <c r="B633" s="416"/>
      <c r="C633" s="1437">
        <f t="shared" si="1299" ref="C633:AM633">C631-C632</f>
        <v>1057.5000000000005</v>
      </c>
      <c r="D633" s="1437">
        <f t="shared" si="1299"/>
        <v>1068.3000000000006</v>
      </c>
      <c r="E633" s="1437">
        <f t="shared" si="1299"/>
        <v>1015.5000000000014</v>
      </c>
      <c r="F633" s="1437">
        <f t="shared" si="1299"/>
        <v>902.29999999999757</v>
      </c>
      <c r="G633" s="1437">
        <f t="shared" si="1299"/>
        <v>1165.4000000000019</v>
      </c>
      <c r="H633" s="1132">
        <f t="shared" si="1299"/>
        <v>321.30000000000018</v>
      </c>
      <c r="I633" s="1132">
        <f t="shared" si="1299"/>
        <v>293.39999999999918</v>
      </c>
      <c r="J633" s="1132">
        <f t="shared" si="1299"/>
        <v>296.10000000000019</v>
      </c>
      <c r="K633" s="1132">
        <f t="shared" si="1299"/>
        <v>370.19999999999737</v>
      </c>
      <c r="L633" s="1437">
        <f t="shared" si="1299"/>
        <v>1281.0000000000014</v>
      </c>
      <c r="M633" s="1132">
        <f t="shared" si="1299"/>
        <v>295.60000000000025</v>
      </c>
      <c r="N633" s="1132">
        <f t="shared" si="1299"/>
        <v>363.30000000000018</v>
      </c>
      <c r="O633" s="1132">
        <f t="shared" si="1299"/>
        <v>278.29999999999978</v>
      </c>
      <c r="P633" s="1132">
        <f t="shared" si="1299"/>
        <v>330.39999999999554</v>
      </c>
      <c r="Q633" s="1437">
        <f t="shared" si="1299"/>
        <v>1267.5999999999995</v>
      </c>
      <c r="R633" s="1132">
        <f t="shared" si="1299"/>
        <v>258.19999999999919</v>
      </c>
      <c r="S633" s="1132">
        <f t="shared" si="1299"/>
        <v>190.90000000000131</v>
      </c>
      <c r="T633" s="1132">
        <f t="shared" si="1299"/>
        <v>198.70000000000022</v>
      </c>
      <c r="U633" s="1132">
        <f t="shared" si="1299"/>
        <v>383.19999999999931</v>
      </c>
      <c r="V633" s="1437">
        <f t="shared" si="1299"/>
        <v>1031.0000000000034</v>
      </c>
      <c r="W633" s="1132">
        <f t="shared" si="1299"/>
        <v>424.29999999999933</v>
      </c>
      <c r="X633" s="1132">
        <f t="shared" si="1299"/>
        <v>367.60000000000105</v>
      </c>
      <c r="Y633" s="1132">
        <f t="shared" si="1299"/>
        <v>223.99999999999986</v>
      </c>
      <c r="Z633" s="1132">
        <f t="shared" si="1299"/>
        <v>576.30000000000155</v>
      </c>
      <c r="AA633" s="1437">
        <f t="shared" si="1299"/>
        <v>1592.1999999999996</v>
      </c>
      <c r="AB633" s="1132">
        <f t="shared" si="1299"/>
        <v>716.80000000000018</v>
      </c>
      <c r="AC633" s="1132">
        <f t="shared" si="1299"/>
        <v>697.49999999999966</v>
      </c>
      <c r="AD633" s="1132">
        <f t="shared" si="1299"/>
        <v>921.70000000000073</v>
      </c>
      <c r="AE633" s="1132">
        <f t="shared" si="1299"/>
        <v>257.89999999999941</v>
      </c>
      <c r="AF633" s="1437">
        <f t="shared" si="1299"/>
        <v>2593.8999999999996</v>
      </c>
      <c r="AG633" s="1132">
        <f t="shared" si="1299"/>
        <v>1071.699999999998</v>
      </c>
      <c r="AH633" s="1132">
        <f t="shared" si="1299"/>
        <v>972.69999999999857</v>
      </c>
      <c r="AI633" s="1132">
        <f t="shared" si="1299"/>
        <v>834.99999999999966</v>
      </c>
      <c r="AJ633" s="1132">
        <f t="shared" si="1299"/>
        <v>1064.0000000000011</v>
      </c>
      <c r="AK633" s="1437">
        <f t="shared" si="1299"/>
        <v>3943.3999999999955</v>
      </c>
      <c r="AL633" s="1132">
        <f t="shared" si="1299"/>
        <v>686.00000000000159</v>
      </c>
      <c r="AM633" s="1132">
        <f t="shared" si="1299"/>
        <v>1783.6999999999987</v>
      </c>
      <c r="AN633" s="1132">
        <f t="shared" si="1300" ref="AN633:AU633">AN631-AN632</f>
        <v>1524.10</v>
      </c>
      <c r="AO633" s="1132">
        <f t="shared" si="1300"/>
        <v>1677.50</v>
      </c>
      <c r="AP633" s="1437">
        <f t="shared" si="1300"/>
        <v>5677.6999999999989</v>
      </c>
      <c r="AQ633" s="1132">
        <f t="shared" si="1300"/>
        <v>1473.3000000000004</v>
      </c>
      <c r="AR633" s="1132">
        <f t="shared" si="1300"/>
        <v>783.39999999999975</v>
      </c>
      <c r="AS633" s="1132">
        <f t="shared" si="1300"/>
        <v>111.79999999999818</v>
      </c>
      <c r="AT633" s="1132">
        <f t="shared" si="1300"/>
        <v>955.49999999999284</v>
      </c>
      <c r="AU633" s="1437">
        <f t="shared" si="1300"/>
        <v>3323.9999999999945</v>
      </c>
      <c r="AV633" s="1132">
        <f t="shared" si="1301" ref="AV633:BJ633">AV631-AV632</f>
        <v>307.20000000000255</v>
      </c>
      <c r="AW633" s="1132">
        <f t="shared" si="1301"/>
        <v>-549.60000000000196</v>
      </c>
      <c r="AX633" s="1132">
        <f t="shared" si="1301"/>
        <v>117.39999999999954</v>
      </c>
      <c r="AY633" s="1132">
        <f t="shared" si="1301"/>
        <v>819.59999999999889</v>
      </c>
      <c r="AZ633" s="1437">
        <f t="shared" si="1301"/>
        <v>694.60000000000764</v>
      </c>
      <c r="BA633" s="1132">
        <f t="shared" si="1302" ref="BA633:BI633">BA631-BA632</f>
        <v>440.60000000000053</v>
      </c>
      <c r="BB633" s="1132">
        <f t="shared" si="1302"/>
        <v>335.90000000000163</v>
      </c>
      <c r="BC633" s="1132">
        <f t="shared" si="1302"/>
        <v>1110.900000000001</v>
      </c>
      <c r="BD633" s="1132">
        <f t="shared" si="1302"/>
        <v>1977.400000000006</v>
      </c>
      <c r="BE633" s="1437">
        <f t="shared" si="1302"/>
        <v>3864.8000000000006</v>
      </c>
      <c r="BF633" s="1135">
        <f t="shared" si="1303" ref="BF633">BF631-BF632</f>
        <v>2314.3999999999996</v>
      </c>
      <c r="BG633" s="1132">
        <f>BG631-BG632</f>
        <v>1458.6999999999982</v>
      </c>
      <c r="BH633" s="1134">
        <f>BH631-BH632</f>
        <v>2333.4000000000142</v>
      </c>
      <c r="BI633" s="1135">
        <f t="shared" si="1302"/>
        <v>1641.241149051843</v>
      </c>
      <c r="BJ633" s="1438">
        <f t="shared" si="1301"/>
        <v>7747.741149051848</v>
      </c>
      <c r="BK633" s="1135">
        <f t="shared" si="1304" ref="BK633:BR633">BK631-BK632</f>
        <v>2030.439299543955</v>
      </c>
      <c r="BL633" s="1135">
        <f t="shared" si="1304"/>
        <v>1425.7459501265862</v>
      </c>
      <c r="BM633" s="1135">
        <f t="shared" si="1304"/>
        <v>1236.2839708479364</v>
      </c>
      <c r="BN633" s="1135">
        <f t="shared" si="1304"/>
        <v>2194.9368076464912</v>
      </c>
      <c r="BO633" s="1438">
        <f t="shared" si="1304"/>
        <v>6887.4060281649708</v>
      </c>
      <c r="BP633" s="1438">
        <f t="shared" si="1304"/>
        <v>7429.0004158312431</v>
      </c>
      <c r="BQ633" s="1438">
        <f t="shared" si="1304"/>
        <v>7848.0224004774736</v>
      </c>
      <c r="BR633" s="1438">
        <f t="shared" si="1304"/>
        <v>8288.7090160141106</v>
      </c>
      <c r="BS633" s="648"/>
    </row>
    <row r="634" spans="1:71" s="665" customFormat="1" ht="15">
      <c r="A634" s="56" t="s">
        <v>103</v>
      </c>
      <c r="B634" s="415"/>
      <c r="C634" s="1359"/>
      <c r="D634" s="1359"/>
      <c r="E634" s="1359"/>
      <c r="F634" s="1359"/>
      <c r="G634" s="1359"/>
      <c r="H634" s="1057"/>
      <c r="I634" s="1057"/>
      <c r="J634" s="1057"/>
      <c r="K634" s="1057"/>
      <c r="L634" s="1359"/>
      <c r="M634" s="1057"/>
      <c r="N634" s="1057"/>
      <c r="O634" s="1057"/>
      <c r="P634" s="1057"/>
      <c r="Q634" s="1359"/>
      <c r="R634" s="1057"/>
      <c r="S634" s="1057"/>
      <c r="T634" s="1057"/>
      <c r="U634" s="1057"/>
      <c r="V634" s="1359"/>
      <c r="W634" s="1057"/>
      <c r="X634" s="1057"/>
      <c r="Y634" s="1057"/>
      <c r="Z634" s="1057"/>
      <c r="AA634" s="1359"/>
      <c r="AB634" s="1057"/>
      <c r="AC634" s="1057"/>
      <c r="AD634" s="1057"/>
      <c r="AE634" s="1057"/>
      <c r="AF634" s="1359"/>
      <c r="AG634" s="1057"/>
      <c r="AH634" s="1057"/>
      <c r="AI634" s="1057"/>
      <c r="AJ634" s="1057"/>
      <c r="AK634" s="1359"/>
      <c r="AL634" s="1057"/>
      <c r="AM634" s="1057"/>
      <c r="AN634" s="1057"/>
      <c r="AO634" s="1057"/>
      <c r="AP634" s="1359"/>
      <c r="AQ634" s="1057"/>
      <c r="AR634" s="1057"/>
      <c r="AS634" s="1057"/>
      <c r="AT634" s="1057"/>
      <c r="AU634" s="1359"/>
      <c r="AV634" s="1057"/>
      <c r="AW634" s="1057"/>
      <c r="AX634" s="1057"/>
      <c r="AY634" s="1057"/>
      <c r="AZ634" s="1359"/>
      <c r="BA634" s="1057"/>
      <c r="BB634" s="1057"/>
      <c r="BC634" s="1057"/>
      <c r="BD634" s="1057"/>
      <c r="BE634" s="1359"/>
      <c r="BF634" s="1057"/>
      <c r="BG634" s="1057"/>
      <c r="BH634" s="1119"/>
      <c r="BI634" s="1057"/>
      <c r="BJ634" s="1359">
        <f>SUM(BF634,BG634,BH634,BI634)</f>
        <v>0</v>
      </c>
      <c r="BK634" s="1057"/>
      <c r="BL634" s="1057"/>
      <c r="BM634" s="1057"/>
      <c r="BN634" s="1057"/>
      <c r="BO634" s="1359">
        <f>SUM(BK634,BL634,BM634,BN634)</f>
        <v>0</v>
      </c>
      <c r="BP634" s="1359"/>
      <c r="BQ634" s="1359"/>
      <c r="BR634" s="1359"/>
      <c r="BS634" s="648"/>
    </row>
    <row r="635" spans="1:71" s="665" customFormat="1" ht="15">
      <c r="A635" s="1000" t="s">
        <v>104</v>
      </c>
      <c r="B635" s="261"/>
      <c r="C635" s="1324"/>
      <c r="D635" s="1324"/>
      <c r="E635" s="1324"/>
      <c r="F635" s="1324"/>
      <c r="G635" s="1324"/>
      <c r="H635" s="1029"/>
      <c r="I635" s="1029"/>
      <c r="J635" s="1029"/>
      <c r="K635" s="1029"/>
      <c r="L635" s="1324"/>
      <c r="M635" s="1029"/>
      <c r="N635" s="1029"/>
      <c r="O635" s="1029"/>
      <c r="P635" s="1029"/>
      <c r="Q635" s="1324"/>
      <c r="R635" s="1029"/>
      <c r="S635" s="1029"/>
      <c r="T635" s="1029"/>
      <c r="U635" s="1029"/>
      <c r="V635" s="1324"/>
      <c r="W635" s="1029"/>
      <c r="X635" s="1029"/>
      <c r="Y635" s="1029"/>
      <c r="Z635" s="1029"/>
      <c r="AA635" s="1324"/>
      <c r="AB635" s="1029"/>
      <c r="AC635" s="1029"/>
      <c r="AD635" s="1029"/>
      <c r="AE635" s="1029"/>
      <c r="AF635" s="1324"/>
      <c r="AG635" s="1029"/>
      <c r="AH635" s="1029"/>
      <c r="AI635" s="1029"/>
      <c r="AJ635" s="1029"/>
      <c r="AK635" s="1324"/>
      <c r="AL635" s="1029"/>
      <c r="AM635" s="1029"/>
      <c r="AN635" s="1029"/>
      <c r="AO635" s="1029"/>
      <c r="AP635" s="1324"/>
      <c r="AQ635" s="1029"/>
      <c r="AR635" s="1029"/>
      <c r="AS635" s="1029"/>
      <c r="AT635" s="1029"/>
      <c r="AU635" s="1324"/>
      <c r="AV635" s="1029"/>
      <c r="AW635" s="1029"/>
      <c r="AX635" s="1029"/>
      <c r="AY635" s="1029"/>
      <c r="AZ635" s="1324"/>
      <c r="BA635" s="1029"/>
      <c r="BB635" s="1029"/>
      <c r="BC635" s="1029"/>
      <c r="BD635" s="1029"/>
      <c r="BE635" s="1324"/>
      <c r="BF635" s="1029"/>
      <c r="BG635" s="1029"/>
      <c r="BH635" s="1050"/>
      <c r="BI635" s="1029"/>
      <c r="BJ635" s="1324">
        <f>SUM(BF635,BG635,BH635,BI635)</f>
        <v>0</v>
      </c>
      <c r="BK635" s="1029"/>
      <c r="BL635" s="1029"/>
      <c r="BM635" s="1029"/>
      <c r="BN635" s="1029"/>
      <c r="BO635" s="1324">
        <f>SUM(BK635,BL635,BM635,BN635)</f>
        <v>0</v>
      </c>
      <c r="BP635" s="1324"/>
      <c r="BQ635" s="1324"/>
      <c r="BR635" s="1324"/>
      <c r="BS635" s="648"/>
    </row>
    <row r="636" spans="1:71" s="668" customFormat="1" ht="15">
      <c r="A636" s="43" t="s">
        <v>105</v>
      </c>
      <c r="B636" s="416"/>
      <c r="C636" s="1437">
        <f t="shared" si="1305" ref="C636:AM636">C633-SUM(C634:C635)</f>
        <v>1057.5000000000005</v>
      </c>
      <c r="D636" s="1437">
        <f t="shared" si="1305"/>
        <v>1068.3000000000006</v>
      </c>
      <c r="E636" s="1437">
        <f t="shared" si="1305"/>
        <v>1015.5000000000014</v>
      </c>
      <c r="F636" s="1437">
        <f t="shared" si="1305"/>
        <v>902.29999999999757</v>
      </c>
      <c r="G636" s="1437">
        <f t="shared" si="1305"/>
        <v>1165.4000000000019</v>
      </c>
      <c r="H636" s="1132">
        <f t="shared" si="1305"/>
        <v>321.30000000000018</v>
      </c>
      <c r="I636" s="1132">
        <f t="shared" si="1305"/>
        <v>293.39999999999918</v>
      </c>
      <c r="J636" s="1132">
        <f t="shared" si="1305"/>
        <v>296.10000000000019</v>
      </c>
      <c r="K636" s="1132">
        <f t="shared" si="1305"/>
        <v>370.19999999999737</v>
      </c>
      <c r="L636" s="1437">
        <f t="shared" si="1305"/>
        <v>1281.0000000000014</v>
      </c>
      <c r="M636" s="1132">
        <f t="shared" si="1305"/>
        <v>295.60000000000025</v>
      </c>
      <c r="N636" s="1132">
        <f t="shared" si="1305"/>
        <v>363.30000000000018</v>
      </c>
      <c r="O636" s="1132">
        <f t="shared" si="1305"/>
        <v>278.29999999999978</v>
      </c>
      <c r="P636" s="1132">
        <f t="shared" si="1305"/>
        <v>330.39999999999554</v>
      </c>
      <c r="Q636" s="1437">
        <f t="shared" si="1305"/>
        <v>1267.5999999999995</v>
      </c>
      <c r="R636" s="1132">
        <f t="shared" si="1305"/>
        <v>258.19999999999919</v>
      </c>
      <c r="S636" s="1132">
        <f t="shared" si="1305"/>
        <v>190.90000000000131</v>
      </c>
      <c r="T636" s="1132">
        <f t="shared" si="1305"/>
        <v>198.70000000000022</v>
      </c>
      <c r="U636" s="1132">
        <f t="shared" si="1305"/>
        <v>383.19999999999931</v>
      </c>
      <c r="V636" s="1437">
        <f t="shared" si="1305"/>
        <v>1031.0000000000034</v>
      </c>
      <c r="W636" s="1132">
        <f t="shared" si="1305"/>
        <v>424.29999999999933</v>
      </c>
      <c r="X636" s="1132">
        <f t="shared" si="1305"/>
        <v>367.60000000000105</v>
      </c>
      <c r="Y636" s="1132">
        <f t="shared" si="1305"/>
        <v>223.99999999999986</v>
      </c>
      <c r="Z636" s="1132">
        <f t="shared" si="1305"/>
        <v>576.30000000000155</v>
      </c>
      <c r="AA636" s="1437">
        <f t="shared" si="1305"/>
        <v>1592.1999999999996</v>
      </c>
      <c r="AB636" s="1132">
        <f t="shared" si="1305"/>
        <v>716.80000000000018</v>
      </c>
      <c r="AC636" s="1132">
        <f t="shared" si="1305"/>
        <v>697.49999999999966</v>
      </c>
      <c r="AD636" s="1132">
        <f t="shared" si="1305"/>
        <v>921.70000000000073</v>
      </c>
      <c r="AE636" s="1132">
        <f t="shared" si="1305"/>
        <v>257.89999999999941</v>
      </c>
      <c r="AF636" s="1437">
        <f t="shared" si="1305"/>
        <v>2593.8999999999996</v>
      </c>
      <c r="AG636" s="1132">
        <f t="shared" si="1305"/>
        <v>1071.699999999998</v>
      </c>
      <c r="AH636" s="1132">
        <f t="shared" si="1305"/>
        <v>972.69999999999857</v>
      </c>
      <c r="AI636" s="1132">
        <f t="shared" si="1305"/>
        <v>834.99999999999966</v>
      </c>
      <c r="AJ636" s="1132">
        <f t="shared" si="1305"/>
        <v>1064.0000000000011</v>
      </c>
      <c r="AK636" s="1437">
        <f t="shared" si="1305"/>
        <v>3943.3999999999955</v>
      </c>
      <c r="AL636" s="1132">
        <f t="shared" si="1305"/>
        <v>686.00000000000159</v>
      </c>
      <c r="AM636" s="1132">
        <f t="shared" si="1305"/>
        <v>1783.6999999999987</v>
      </c>
      <c r="AN636" s="1132">
        <f t="shared" si="1306" ref="AN636:AU636">AN633-SUM(AN634:AN635)</f>
        <v>1524.10</v>
      </c>
      <c r="AO636" s="1132">
        <f t="shared" si="1306"/>
        <v>1677.50</v>
      </c>
      <c r="AP636" s="1437">
        <f t="shared" si="1306"/>
        <v>5677.6999999999989</v>
      </c>
      <c r="AQ636" s="1132">
        <f t="shared" si="1306"/>
        <v>1473.3000000000004</v>
      </c>
      <c r="AR636" s="1132">
        <f t="shared" si="1306"/>
        <v>783.39999999999975</v>
      </c>
      <c r="AS636" s="1132">
        <f t="shared" si="1306"/>
        <v>111.79999999999818</v>
      </c>
      <c r="AT636" s="1132">
        <f t="shared" si="1306"/>
        <v>955.49999999999284</v>
      </c>
      <c r="AU636" s="1437">
        <f t="shared" si="1306"/>
        <v>3323.9999999999945</v>
      </c>
      <c r="AV636" s="1132">
        <f t="shared" si="1307" ref="AV636:BJ636">AV633-SUM(AV634:AV635)</f>
        <v>307.20000000000255</v>
      </c>
      <c r="AW636" s="1132">
        <f t="shared" si="1307"/>
        <v>-549.60000000000196</v>
      </c>
      <c r="AX636" s="1132">
        <f t="shared" si="1307"/>
        <v>117.39999999999954</v>
      </c>
      <c r="AY636" s="1132">
        <f t="shared" si="1307"/>
        <v>819.59999999999889</v>
      </c>
      <c r="AZ636" s="1437">
        <f t="shared" si="1307"/>
        <v>694.60000000000764</v>
      </c>
      <c r="BA636" s="1132">
        <f t="shared" si="1308" ref="BA636:BI636">BA633-SUM(BA634:BA635)</f>
        <v>440.60000000000053</v>
      </c>
      <c r="BB636" s="1132">
        <f t="shared" si="1308"/>
        <v>335.90000000000163</v>
      </c>
      <c r="BC636" s="1132">
        <f t="shared" si="1308"/>
        <v>1110.900000000001</v>
      </c>
      <c r="BD636" s="1132">
        <f t="shared" si="1308"/>
        <v>1977.400000000006</v>
      </c>
      <c r="BE636" s="1437">
        <f t="shared" si="1308"/>
        <v>3864.8000000000006</v>
      </c>
      <c r="BF636" s="1135">
        <f t="shared" si="1309" ref="BF636">BF633-SUM(BF634:BF635)</f>
        <v>2314.3999999999996</v>
      </c>
      <c r="BG636" s="1132">
        <f>BG633-SUM(BG634:BG635)</f>
        <v>1458.6999999999982</v>
      </c>
      <c r="BH636" s="1134">
        <f>BH633-SUM(BH634:BH635)</f>
        <v>2333.4000000000142</v>
      </c>
      <c r="BI636" s="1135">
        <f t="shared" si="1308"/>
        <v>1641.241149051843</v>
      </c>
      <c r="BJ636" s="1438">
        <f t="shared" si="1307"/>
        <v>7747.741149051848</v>
      </c>
      <c r="BK636" s="1135">
        <f t="shared" si="1310" ref="BK636:BR636">BK633-SUM(BK634:BK635)</f>
        <v>2030.439299543955</v>
      </c>
      <c r="BL636" s="1135">
        <f t="shared" si="1310"/>
        <v>1425.7459501265862</v>
      </c>
      <c r="BM636" s="1135">
        <f t="shared" si="1310"/>
        <v>1236.2839708479364</v>
      </c>
      <c r="BN636" s="1135">
        <f t="shared" si="1310"/>
        <v>2194.9368076464912</v>
      </c>
      <c r="BO636" s="1438">
        <f t="shared" si="1310"/>
        <v>6887.4060281649708</v>
      </c>
      <c r="BP636" s="1438">
        <f t="shared" si="1310"/>
        <v>7429.0004158312431</v>
      </c>
      <c r="BQ636" s="1438">
        <f t="shared" si="1310"/>
        <v>7848.0224004774736</v>
      </c>
      <c r="BR636" s="1438">
        <f t="shared" si="1310"/>
        <v>8288.7090160141106</v>
      </c>
      <c r="BS636" s="648"/>
    </row>
    <row r="637" spans="1:71" s="670" customFormat="1" ht="15">
      <c r="A637" s="418"/>
      <c r="B637" s="419"/>
      <c r="C637" s="1440"/>
      <c r="D637" s="1440"/>
      <c r="E637" s="1440"/>
      <c r="F637" s="1440"/>
      <c r="G637" s="1440"/>
      <c r="H637" s="1141"/>
      <c r="I637" s="1141"/>
      <c r="J637" s="1141"/>
      <c r="K637" s="1141"/>
      <c r="L637" s="1440"/>
      <c r="M637" s="1141"/>
      <c r="N637" s="1141"/>
      <c r="O637" s="1141"/>
      <c r="P637" s="1141"/>
      <c r="Q637" s="1440"/>
      <c r="R637" s="1141"/>
      <c r="S637" s="1141"/>
      <c r="T637" s="1141"/>
      <c r="U637" s="1141"/>
      <c r="V637" s="1440"/>
      <c r="W637" s="1141"/>
      <c r="X637" s="1141"/>
      <c r="Y637" s="1141"/>
      <c r="Z637" s="1141"/>
      <c r="AA637" s="1440"/>
      <c r="AB637" s="1141"/>
      <c r="AC637" s="1141"/>
      <c r="AD637" s="1141"/>
      <c r="AE637" s="1141"/>
      <c r="AF637" s="1440"/>
      <c r="AG637" s="1141"/>
      <c r="AH637" s="1141"/>
      <c r="AI637" s="1141"/>
      <c r="AJ637" s="1141"/>
      <c r="AK637" s="1440"/>
      <c r="AL637" s="1141"/>
      <c r="AM637" s="1141"/>
      <c r="AN637" s="1141"/>
      <c r="AO637" s="1141"/>
      <c r="AP637" s="1440"/>
      <c r="AQ637" s="1141"/>
      <c r="AR637" s="1141"/>
      <c r="AS637" s="1141"/>
      <c r="AT637" s="1141"/>
      <c r="AU637" s="1440"/>
      <c r="AV637" s="1141"/>
      <c r="AW637" s="1141"/>
      <c r="AX637" s="1141"/>
      <c r="AY637" s="1141"/>
      <c r="AZ637" s="1440"/>
      <c r="BA637" s="1141"/>
      <c r="BB637" s="1141"/>
      <c r="BC637" s="1141"/>
      <c r="BD637" s="1141"/>
      <c r="BE637" s="1440"/>
      <c r="BF637" s="1141"/>
      <c r="BG637" s="1141"/>
      <c r="BH637" s="1142"/>
      <c r="BI637" s="1141"/>
      <c r="BJ637" s="1440"/>
      <c r="BK637" s="1141"/>
      <c r="BL637" s="1141"/>
      <c r="BM637" s="1141"/>
      <c r="BN637" s="1141"/>
      <c r="BO637" s="1440"/>
      <c r="BP637" s="1440"/>
      <c r="BQ637" s="1440"/>
      <c r="BR637" s="1440"/>
      <c r="BS637" s="648"/>
    </row>
    <row r="638" spans="1:71" s="671" customFormat="1" ht="15">
      <c r="A638" s="28" t="s">
        <v>106</v>
      </c>
      <c r="B638" s="322"/>
      <c r="C638" s="1330">
        <f t="shared" si="1311" ref="C638:AM638">C624/C621</f>
        <v>0.31537028710899856</v>
      </c>
      <c r="D638" s="1330">
        <f t="shared" si="1311"/>
        <v>0.27721696907743404</v>
      </c>
      <c r="E638" s="1330">
        <f t="shared" si="1311"/>
        <v>0.29603227975790153</v>
      </c>
      <c r="F638" s="1330">
        <f t="shared" si="1311"/>
        <v>0.32237990437884251</v>
      </c>
      <c r="G638" s="1330">
        <f t="shared" si="1311"/>
        <v>0.26755813953488344</v>
      </c>
      <c r="H638" s="199">
        <f t="shared" si="1311"/>
        <v>0.33312577833125767</v>
      </c>
      <c r="I638" s="199">
        <f t="shared" si="1311"/>
        <v>0.32921810699588538</v>
      </c>
      <c r="J638" s="199">
        <f t="shared" si="1311"/>
        <v>0.32978723404255306</v>
      </c>
      <c r="K638" s="199">
        <f t="shared" si="1311"/>
        <v>0.32247437774524312</v>
      </c>
      <c r="L638" s="1330">
        <f t="shared" si="1311"/>
        <v>0.31162839467337711</v>
      </c>
      <c r="M638" s="199">
        <f t="shared" si="1311"/>
        <v>0.33303249097472903</v>
      </c>
      <c r="N638" s="199">
        <f t="shared" si="1311"/>
        <v>0.2984960974681134</v>
      </c>
      <c r="O638" s="199">
        <f t="shared" si="1311"/>
        <v>0.33216783216783236</v>
      </c>
      <c r="P638" s="199">
        <f t="shared" si="1311"/>
        <v>0.31939311418012339</v>
      </c>
      <c r="Q638" s="1330">
        <f t="shared" si="1311"/>
        <v>0.35043942247332088</v>
      </c>
      <c r="R638" s="199">
        <f t="shared" si="1311"/>
        <v>0.33221476510067183</v>
      </c>
      <c r="S638" s="199">
        <f t="shared" si="1311"/>
        <v>0.32161503654716178</v>
      </c>
      <c r="T638" s="199">
        <f t="shared" si="1311"/>
        <v>0.20502901353965167</v>
      </c>
      <c r="U638" s="199">
        <f t="shared" si="1311"/>
        <v>0.25934883720930274</v>
      </c>
      <c r="V638" s="1330">
        <f t="shared" si="1311"/>
        <v>0.32793907663017535</v>
      </c>
      <c r="W638" s="199">
        <f t="shared" si="1311"/>
        <v>0.32922837100545632</v>
      </c>
      <c r="X638" s="199">
        <f t="shared" si="1311"/>
        <v>0.3279841327082576</v>
      </c>
      <c r="Y638" s="199">
        <f t="shared" si="1311"/>
        <v>0.14558472553699292</v>
      </c>
      <c r="Z638" s="199">
        <f t="shared" si="1311"/>
        <v>0.1606884582007517</v>
      </c>
      <c r="AA638" s="1330">
        <f t="shared" si="1311"/>
        <v>0.32432558791902383</v>
      </c>
      <c r="AB638" s="199">
        <f t="shared" si="1311"/>
        <v>0.19872639437856826</v>
      </c>
      <c r="AC638" s="199">
        <f t="shared" si="1311"/>
        <v>0.20327235541415756</v>
      </c>
      <c r="AD638" s="199">
        <f t="shared" si="1311"/>
        <v>0.1771782397169393</v>
      </c>
      <c r="AE638" s="199">
        <f t="shared" si="1311"/>
        <v>-0.072667217175887866</v>
      </c>
      <c r="AF638" s="1330">
        <f t="shared" si="1311"/>
        <v>0.21955999494247064</v>
      </c>
      <c r="AG638" s="199">
        <f t="shared" si="1311"/>
        <v>0.30921850079744856</v>
      </c>
      <c r="AH638" s="199">
        <f t="shared" si="1311"/>
        <v>0.21276937922161493</v>
      </c>
      <c r="AI638" s="199">
        <f t="shared" si="1311"/>
        <v>0.16500049490250424</v>
      </c>
      <c r="AJ638" s="199">
        <f t="shared" si="1311"/>
        <v>0.19740085144521599</v>
      </c>
      <c r="AK638" s="1330">
        <f t="shared" si="1311"/>
        <v>0.21936709106059743</v>
      </c>
      <c r="AL638" s="199">
        <f t="shared" si="1311"/>
        <v>0.20075454441522769</v>
      </c>
      <c r="AM638" s="199">
        <f t="shared" si="1311"/>
        <v>0.21086036671368133</v>
      </c>
      <c r="AN638" s="199">
        <f t="shared" si="1312" ref="AN638:AU638">AN624/AN621</f>
        <v>0.2041590850012997</v>
      </c>
      <c r="AO638" s="199">
        <f t="shared" si="1312"/>
        <v>0.20031336055455318</v>
      </c>
      <c r="AP638" s="1330">
        <f t="shared" si="1312"/>
        <v>0.19800089220989239</v>
      </c>
      <c r="AQ638" s="199">
        <f t="shared" si="1312"/>
        <v>0.20766636329567956</v>
      </c>
      <c r="AR638" s="199">
        <f t="shared" si="1312"/>
        <v>0.20926741393114498</v>
      </c>
      <c r="AS638" s="199">
        <f t="shared" si="1312"/>
        <v>0.14748201438849115</v>
      </c>
      <c r="AT638" s="199">
        <f t="shared" si="1312"/>
        <v>0.20068111969432798</v>
      </c>
      <c r="AU638" s="1330">
        <f t="shared" si="1312"/>
        <v>0.20406175771971524</v>
      </c>
      <c r="AV638" s="199">
        <f t="shared" si="1313" ref="AV638:BA638">AV624/AV621</f>
        <v>0.1955407483341863</v>
      </c>
      <c r="AW638" s="199">
        <f t="shared" si="1313"/>
        <v>0.14624941028463551</v>
      </c>
      <c r="AX638" s="199">
        <f t="shared" si="1313"/>
        <v>0.12912280701754425</v>
      </c>
      <c r="AY638" s="199">
        <f t="shared" si="1313"/>
        <v>0.19399200234077851</v>
      </c>
      <c r="AZ638" s="1330">
        <f t="shared" si="1313"/>
        <v>0.8089144344431124</v>
      </c>
      <c r="BA638" s="199">
        <f t="shared" si="1313"/>
        <v>0.19209956709956691</v>
      </c>
      <c r="BB638" s="199">
        <f>BB624/BB621</f>
        <v>0.20725269680973071</v>
      </c>
      <c r="BC638" s="199">
        <f>BC624/BC621</f>
        <v>0.20486455821869221</v>
      </c>
      <c r="BD638" s="199">
        <f t="shared" si="1314" ref="BD638:BF638">BD624/BD621</f>
        <v>0.20595989454342042</v>
      </c>
      <c r="BE638" s="1330">
        <f t="shared" si="1314"/>
        <v>0.22864367722332113</v>
      </c>
      <c r="BF638" s="289">
        <f t="shared" si="1314"/>
        <v>0.20697982924589275</v>
      </c>
      <c r="BG638" s="199">
        <f>BG624/BG621</f>
        <v>0.21592130724575381</v>
      </c>
      <c r="BH638" s="810">
        <f>BH624/BH621</f>
        <v>0.20762021189893948</v>
      </c>
      <c r="BI638" s="1269">
        <v>0.21</v>
      </c>
      <c r="BJ638" s="1353">
        <f>BJ624/BJ621</f>
        <v>0.2095047420450816</v>
      </c>
      <c r="BK638" s="1269">
        <v>0.19</v>
      </c>
      <c r="BL638" s="1269">
        <v>0.21</v>
      </c>
      <c r="BM638" s="1269">
        <v>0.38</v>
      </c>
      <c r="BN638" s="1269">
        <v>0.21</v>
      </c>
      <c r="BO638" s="1353">
        <f>BO624/BO621</f>
        <v>0.24212701171191728</v>
      </c>
      <c r="BP638" s="1441">
        <v>0.21000000000000033</v>
      </c>
      <c r="BQ638" s="1441">
        <v>0.21000000000000033</v>
      </c>
      <c r="BR638" s="1442">
        <v>0.21000000000000033</v>
      </c>
      <c r="BS638" s="648"/>
    </row>
    <row r="639" spans="1:71" s="671" customFormat="1" ht="15">
      <c r="A639" s="931" t="s">
        <v>107</v>
      </c>
      <c r="B639" s="322"/>
      <c r="C639" s="1331">
        <f t="shared" si="1315" ref="C639:AN639">C625/C621</f>
        <v>0.005395336887404456</v>
      </c>
      <c r="D639" s="1331">
        <f t="shared" si="1315"/>
        <v>0.040250447227191392</v>
      </c>
      <c r="E639" s="1331">
        <f t="shared" si="1315"/>
        <v>0.021049092131808993</v>
      </c>
      <c r="F639" s="1331">
        <f t="shared" si="1315"/>
        <v>-0.0071336419518858753</v>
      </c>
      <c r="G639" s="1331">
        <f t="shared" si="1315"/>
        <v>0.054883720930232506</v>
      </c>
      <c r="H639" s="289">
        <f t="shared" si="1315"/>
        <v>0</v>
      </c>
      <c r="I639" s="289">
        <f t="shared" si="1315"/>
        <v>0</v>
      </c>
      <c r="J639" s="289">
        <f t="shared" si="1315"/>
        <v>0</v>
      </c>
      <c r="K639" s="289">
        <f t="shared" si="1315"/>
        <v>0</v>
      </c>
      <c r="L639" s="1331">
        <f t="shared" si="1315"/>
        <v>0.01677676418160846</v>
      </c>
      <c r="M639" s="289">
        <f t="shared" si="1315"/>
        <v>0</v>
      </c>
      <c r="N639" s="289">
        <f t="shared" si="1315"/>
        <v>0</v>
      </c>
      <c r="O639" s="289">
        <f t="shared" si="1315"/>
        <v>0</v>
      </c>
      <c r="P639" s="289">
        <f t="shared" si="1315"/>
        <v>0</v>
      </c>
      <c r="Q639" s="1331">
        <f t="shared" si="1315"/>
        <v>-0.030759573132454501</v>
      </c>
      <c r="R639" s="289">
        <f t="shared" si="1315"/>
        <v>0</v>
      </c>
      <c r="S639" s="289">
        <f t="shared" si="1315"/>
        <v>0</v>
      </c>
      <c r="T639" s="289">
        <f t="shared" si="1315"/>
        <v>0</v>
      </c>
      <c r="U639" s="289">
        <f t="shared" si="1315"/>
        <v>0</v>
      </c>
      <c r="V639" s="1331">
        <f t="shared" si="1315"/>
        <v>-0.046780444686203737</v>
      </c>
      <c r="W639" s="289">
        <f t="shared" si="1315"/>
        <v>0</v>
      </c>
      <c r="X639" s="289">
        <f t="shared" si="1315"/>
        <v>0</v>
      </c>
      <c r="Y639" s="289">
        <f t="shared" si="1315"/>
        <v>0</v>
      </c>
      <c r="Z639" s="289">
        <f t="shared" si="1315"/>
        <v>0</v>
      </c>
      <c r="AA639" s="1331">
        <f t="shared" si="1315"/>
        <v>-0.071485342933283472</v>
      </c>
      <c r="AB639" s="289">
        <f t="shared" si="1315"/>
        <v>0</v>
      </c>
      <c r="AC639" s="289">
        <f t="shared" si="1315"/>
        <v>0</v>
      </c>
      <c r="AD639" s="289">
        <f t="shared" si="1315"/>
        <v>0</v>
      </c>
      <c r="AE639" s="289">
        <f t="shared" si="1315"/>
        <v>0</v>
      </c>
      <c r="AF639" s="1331">
        <f t="shared" si="1315"/>
        <v>-0.048046529270451395</v>
      </c>
      <c r="AG639" s="289">
        <f t="shared" si="1315"/>
        <v>0</v>
      </c>
      <c r="AH639" s="289">
        <f t="shared" si="1315"/>
        <v>0</v>
      </c>
      <c r="AI639" s="289">
        <f t="shared" si="1315"/>
        <v>0</v>
      </c>
      <c r="AJ639" s="289">
        <f t="shared" si="1315"/>
        <v>0</v>
      </c>
      <c r="AK639" s="1331">
        <f t="shared" si="1315"/>
        <v>0.0093599209348293778</v>
      </c>
      <c r="AL639" s="289">
        <f t="shared" si="1315"/>
        <v>0</v>
      </c>
      <c r="AM639" s="289">
        <f t="shared" si="1315"/>
        <v>0</v>
      </c>
      <c r="AN639" s="289">
        <f t="shared" si="1315"/>
        <v>0</v>
      </c>
      <c r="AO639" s="289">
        <f t="shared" si="1316" ref="AO639:AU639">AO625/AO621</f>
        <v>0</v>
      </c>
      <c r="AP639" s="1331">
        <f t="shared" si="1316"/>
        <v>0.0067333965315340442</v>
      </c>
      <c r="AQ639" s="289">
        <f t="shared" si="1316"/>
        <v>0</v>
      </c>
      <c r="AR639" s="289">
        <f t="shared" si="1316"/>
        <v>0</v>
      </c>
      <c r="AS639" s="289">
        <f t="shared" si="1316"/>
        <v>0</v>
      </c>
      <c r="AT639" s="289">
        <f t="shared" si="1316"/>
        <v>0</v>
      </c>
      <c r="AU639" s="1331">
        <f t="shared" si="1316"/>
        <v>0</v>
      </c>
      <c r="AV639" s="289">
        <f t="shared" si="1317" ref="AV639:BC639">AV625/AV621</f>
        <v>0</v>
      </c>
      <c r="AW639" s="289">
        <f t="shared" si="1317"/>
        <v>0</v>
      </c>
      <c r="AX639" s="289">
        <f t="shared" si="1317"/>
        <v>0</v>
      </c>
      <c r="AY639" s="289">
        <f t="shared" si="1317"/>
        <v>0</v>
      </c>
      <c r="AZ639" s="1331">
        <f t="shared" si="1317"/>
        <v>-0.59136753063658554</v>
      </c>
      <c r="BA639" s="289">
        <f t="shared" si="1317"/>
        <v>0</v>
      </c>
      <c r="BB639" s="289">
        <f t="shared" si="1317"/>
        <v>0</v>
      </c>
      <c r="BC639" s="289">
        <f t="shared" si="1317"/>
        <v>0</v>
      </c>
      <c r="BD639" s="289">
        <f t="shared" si="1318" ref="BD639:BH639">BD625/BD621</f>
        <v>0</v>
      </c>
      <c r="BE639" s="1331">
        <f t="shared" si="1318"/>
        <v>-0.024450924811876745</v>
      </c>
      <c r="BF639" s="289">
        <f t="shared" si="1318"/>
        <v>0</v>
      </c>
      <c r="BG639" s="289">
        <f t="shared" si="1318"/>
        <v>0</v>
      </c>
      <c r="BH639" s="819">
        <f t="shared" si="1318"/>
        <v>0</v>
      </c>
      <c r="BI639" s="1269">
        <v>0</v>
      </c>
      <c r="BJ639" s="1353">
        <f>BJ625/BJ621</f>
        <v>0</v>
      </c>
      <c r="BK639" s="1269">
        <v>0</v>
      </c>
      <c r="BL639" s="1269">
        <v>0</v>
      </c>
      <c r="BM639" s="1269">
        <v>0</v>
      </c>
      <c r="BN639" s="1269">
        <v>0</v>
      </c>
      <c r="BO639" s="1353">
        <f>BO625/BO621</f>
        <v>0</v>
      </c>
      <c r="BP639" s="1441">
        <v>0</v>
      </c>
      <c r="BQ639" s="1441">
        <v>0</v>
      </c>
      <c r="BR639" s="1442">
        <v>0</v>
      </c>
      <c r="BS639" s="648"/>
    </row>
    <row r="640" spans="1:71" s="665" customFormat="1" ht="15">
      <c r="A640" s="992"/>
      <c r="B640" s="321"/>
      <c r="C640" s="1351"/>
      <c r="D640" s="1351"/>
      <c r="E640" s="1351"/>
      <c r="F640" s="1351"/>
      <c r="G640" s="1351"/>
      <c r="H640" s="1047"/>
      <c r="I640" s="1047"/>
      <c r="J640" s="1047"/>
      <c r="K640" s="1047"/>
      <c r="L640" s="1351"/>
      <c r="M640" s="1047"/>
      <c r="N640" s="1047"/>
      <c r="O640" s="1047"/>
      <c r="P640" s="1047"/>
      <c r="Q640" s="1351"/>
      <c r="R640" s="1047"/>
      <c r="S640" s="1047"/>
      <c r="T640" s="1047"/>
      <c r="U640" s="1047"/>
      <c r="V640" s="1351"/>
      <c r="W640" s="1047"/>
      <c r="X640" s="1047"/>
      <c r="Y640" s="1047"/>
      <c r="Z640" s="1047"/>
      <c r="AA640" s="1351"/>
      <c r="AB640" s="1047"/>
      <c r="AC640" s="1047"/>
      <c r="AD640" s="1047"/>
      <c r="AE640" s="1047"/>
      <c r="AF640" s="1351"/>
      <c r="AG640" s="1047"/>
      <c r="AH640" s="1047"/>
      <c r="AI640" s="1047"/>
      <c r="AJ640" s="1047"/>
      <c r="AK640" s="1351"/>
      <c r="AL640" s="1047"/>
      <c r="AM640" s="1047"/>
      <c r="AN640" s="1047"/>
      <c r="AO640" s="1047"/>
      <c r="AP640" s="1351"/>
      <c r="AQ640" s="1047"/>
      <c r="AR640" s="1047"/>
      <c r="AS640" s="1047"/>
      <c r="AT640" s="1047"/>
      <c r="AU640" s="1351"/>
      <c r="AV640" s="1047"/>
      <c r="AW640" s="1047"/>
      <c r="AX640" s="1047"/>
      <c r="AY640" s="1047"/>
      <c r="AZ640" s="1351"/>
      <c r="BA640" s="1047"/>
      <c r="BB640" s="1047"/>
      <c r="BC640" s="1047"/>
      <c r="BD640" s="1047"/>
      <c r="BE640" s="1351"/>
      <c r="BF640" s="1047"/>
      <c r="BG640" s="1047"/>
      <c r="BH640" s="1048"/>
      <c r="BI640" s="1044"/>
      <c r="BJ640" s="1350"/>
      <c r="BK640" s="1044"/>
      <c r="BL640" s="1044"/>
      <c r="BM640" s="1044"/>
      <c r="BN640" s="1044"/>
      <c r="BO640" s="1350"/>
      <c r="BP640" s="1351"/>
      <c r="BQ640" s="1351"/>
      <c r="BR640" s="1350"/>
      <c r="BS640" s="648"/>
    </row>
    <row r="641" spans="1:71" s="687" customFormat="1" ht="15">
      <c r="A641" s="29" t="s">
        <v>108</v>
      </c>
      <c r="B641" s="316"/>
      <c r="C641" s="1443">
        <f t="shared" si="1319" ref="C641:R641">C$631/C646</f>
        <v>1.5859328134373134</v>
      </c>
      <c r="D641" s="1443">
        <f t="shared" si="1319"/>
        <v>1.6238030095759244</v>
      </c>
      <c r="E641" s="1443">
        <f t="shared" si="1319"/>
        <v>1.6060414360272046</v>
      </c>
      <c r="F641" s="1443">
        <f t="shared" si="1319"/>
        <v>1.4956074921266329</v>
      </c>
      <c r="G641" s="1443">
        <f t="shared" si="1319"/>
        <v>1.9452512101485593</v>
      </c>
      <c r="H641" s="634">
        <f t="shared" si="1319"/>
        <v>0.54100016837851528</v>
      </c>
      <c r="I641" s="634">
        <f t="shared" si="1319"/>
        <v>0.49627875507442348</v>
      </c>
      <c r="J641" s="634">
        <f t="shared" si="1319"/>
        <v>0.50203458799593115</v>
      </c>
      <c r="K641" s="634">
        <f t="shared" si="1319"/>
        <v>0.63055697496167151</v>
      </c>
      <c r="L641" s="1443">
        <f t="shared" si="1319"/>
        <v>2.1689806975956678</v>
      </c>
      <c r="M641" s="634">
        <f t="shared" si="1319"/>
        <v>0.50306330837304325</v>
      </c>
      <c r="N641" s="634">
        <f t="shared" si="1319"/>
        <v>0.62028342154686722</v>
      </c>
      <c r="O641" s="634">
        <f t="shared" si="1319"/>
        <v>0.47556390977443569</v>
      </c>
      <c r="P641" s="634">
        <f t="shared" si="1319"/>
        <v>0.56633527596845312</v>
      </c>
      <c r="Q641" s="1443">
        <f t="shared" si="1319"/>
        <v>2.1649871904355242</v>
      </c>
      <c r="R641" s="634">
        <f t="shared" si="1319"/>
        <v>0.44272976680383946</v>
      </c>
      <c r="S641" s="634">
        <f>S631/S646</f>
        <v>0.32778159340659568</v>
      </c>
      <c r="T641" s="634">
        <f>T$631/T646</f>
        <v>0.34170249355116117</v>
      </c>
      <c r="U641" s="634">
        <f>U$631/U646</f>
        <v>0.66125970664365707</v>
      </c>
      <c r="V641" s="1443">
        <f>V$631/V646</f>
        <v>1.7723912669761102</v>
      </c>
      <c r="W641" s="634">
        <f>W$631/W646</f>
        <v>0.73117353093227533</v>
      </c>
      <c r="X641" s="634">
        <f>X631/X646</f>
        <v>0.63324720068906293</v>
      </c>
      <c r="Y641" s="634">
        <f>Y$631/Y646</f>
        <v>0.38534319628419039</v>
      </c>
      <c r="Z641" s="634">
        <f>Z$631/Z646</f>
        <v>0.99139858936865921</v>
      </c>
      <c r="AA641" s="1443">
        <f>AA$631/AA646</f>
        <v>2.7413911845730023</v>
      </c>
      <c r="AB641" s="634">
        <f>AB$631/AB646</f>
        <v>1.2316151202749144</v>
      </c>
      <c r="AC641" s="634">
        <f>AC631/AC646</f>
        <v>1.1984536082474222</v>
      </c>
      <c r="AD641" s="634">
        <f>AD$631/AD646</f>
        <v>1.5817744980264299</v>
      </c>
      <c r="AE641" s="634">
        <f>AE$631/AE646</f>
        <v>0.44259481723013455</v>
      </c>
      <c r="AF641" s="1443">
        <f>AF$631/AF646</f>
        <v>4.453811813186813</v>
      </c>
      <c r="AG641" s="634">
        <f>AG$631/AG646</f>
        <v>1.8366752356469547</v>
      </c>
      <c r="AH641" s="634">
        <f>AH631/AH646</f>
        <v>1.6667237834132942</v>
      </c>
      <c r="AI641" s="634">
        <f>AI$631/AI646</f>
        <v>1.4295497346344797</v>
      </c>
      <c r="AJ641" s="634">
        <f>AJ$631/AJ646</f>
        <v>1.8212940773707653</v>
      </c>
      <c r="AK641" s="1443">
        <f>AK$631/AK646</f>
        <v>6.7547105173004383</v>
      </c>
      <c r="AL641" s="634">
        <f>AL$631/AL646</f>
        <v>1.1732512399521149</v>
      </c>
      <c r="AM641" s="634">
        <f>AM631/AM646</f>
        <v>3.0501025991792043</v>
      </c>
      <c r="AN641" s="634">
        <f>AN$631/AN646</f>
        <v>2.6044087491455921</v>
      </c>
      <c r="AO641" s="634">
        <f>AO$631/AO646</f>
        <v>2.8680116259189599</v>
      </c>
      <c r="AP641" s="1443">
        <f>AP$631/AP646</f>
        <v>9.7071294238331323</v>
      </c>
      <c r="AQ641" s="634">
        <f>AQ$631/AQ646</f>
        <v>2.518892118310823</v>
      </c>
      <c r="AR641" s="634">
        <f>AR631/AR646</f>
        <v>1.3398323926800062</v>
      </c>
      <c r="AS641" s="634">
        <f>AS$631/AS646</f>
        <v>0.19120916709423322</v>
      </c>
      <c r="AT641" s="634">
        <f>AT$631/AT646</f>
        <v>1.6369710467705896</v>
      </c>
      <c r="AU641" s="1443">
        <f>AU$631/AU646</f>
        <v>5.6869118905046951</v>
      </c>
      <c r="AV641" s="634">
        <f>AV$631/AV646</f>
        <v>0.52575731644703505</v>
      </c>
      <c r="AW641" s="634">
        <f>AW631/AW646</f>
        <v>-0.94061269895601918</v>
      </c>
      <c r="AX641" s="634">
        <f>AX$631/AX646</f>
        <v>0.20085543199315575</v>
      </c>
      <c r="AY641" s="634">
        <f>AY$631/AY646</f>
        <v>1.402224123182205</v>
      </c>
      <c r="AZ641" s="1443">
        <f>AZ$631/AZ646</f>
        <v>1.1885694729637366</v>
      </c>
      <c r="BA641" s="634">
        <f>BA$631/BA646</f>
        <v>0.75329116088220305</v>
      </c>
      <c r="BB641" s="634">
        <f>BB631/BB646</f>
        <v>0.57428620276970699</v>
      </c>
      <c r="BC641" s="634">
        <f>BC$631/BC646</f>
        <v>1.8996238030095778</v>
      </c>
      <c r="BD641" s="634">
        <f>BD$631/BD646</f>
        <v>3.3801709401709519</v>
      </c>
      <c r="BE641" s="1443">
        <f>BE$631/BE646</f>
        <v>6.6076252350829217</v>
      </c>
      <c r="BF641" s="634">
        <f>BF$631/BF646</f>
        <v>3.9535360437307818</v>
      </c>
      <c r="BG641" s="634">
        <f>BG631/BG646</f>
        <v>2.4918004783054291</v>
      </c>
      <c r="BH641" s="1017">
        <f>BH$631/BH646</f>
        <v>3.9846311475410077</v>
      </c>
      <c r="BI641" s="114">
        <f ca="1">BI631/BI646</f>
        <v>2.8017090287672297</v>
      </c>
      <c r="BJ641" s="1444">
        <f ca="1" t="shared" si="1320" ref="BJ641">BJ631/BJ646</f>
        <v>13.231543512124292</v>
      </c>
      <c r="BK641" s="114">
        <f ca="1" t="shared" si="1321" ref="BK641:BR641">BK631/BK646</f>
        <v>3.4660964485216033</v>
      </c>
      <c r="BL641" s="114">
        <f t="shared" ca="1" si="1321"/>
        <v>2.433844230328758</v>
      </c>
      <c r="BM641" s="114">
        <f t="shared" ca="1" si="1321"/>
        <v>2.1104198887810455</v>
      </c>
      <c r="BN641" s="114">
        <f t="shared" ca="1" si="1321"/>
        <v>3.7469047587000537</v>
      </c>
      <c r="BO641" s="1444">
        <f t="shared" ca="1" si="1321"/>
        <v>11.757265326331463</v>
      </c>
      <c r="BP641" s="1445">
        <f t="shared" ca="1" si="1321"/>
        <v>12.681803372876825</v>
      </c>
      <c r="BQ641" s="1445">
        <f t="shared" ca="1" si="1321"/>
        <v>13.397102083437137</v>
      </c>
      <c r="BR641" s="1444">
        <f t="shared" ca="1" si="1321"/>
        <v>14.149383776056865</v>
      </c>
      <c r="BS641" s="648"/>
    </row>
    <row r="642" spans="1:71" s="687" customFormat="1" ht="15">
      <c r="A642" s="29" t="s">
        <v>109</v>
      </c>
      <c r="B642" s="316"/>
      <c r="C642" s="1443">
        <f t="shared" si="1322" ref="C642:AM642">C633/C647</f>
        <v>1.5731925022314792</v>
      </c>
      <c r="D642" s="1443">
        <f t="shared" si="1322"/>
        <v>1.6105834464043429</v>
      </c>
      <c r="E642" s="1443">
        <f t="shared" si="1322"/>
        <v>1.5944418276024515</v>
      </c>
      <c r="F642" s="1443">
        <f t="shared" si="1322"/>
        <v>1.4845343863112828</v>
      </c>
      <c r="G642" s="1443">
        <f t="shared" si="1322"/>
        <v>1.9307488402915869</v>
      </c>
      <c r="H642" s="634">
        <f t="shared" si="1322"/>
        <v>0.53756064915509483</v>
      </c>
      <c r="I642" s="634">
        <f t="shared" si="1322"/>
        <v>0.49269521410579209</v>
      </c>
      <c r="J642" s="634">
        <f t="shared" si="1322"/>
        <v>0.49873673572511396</v>
      </c>
      <c r="K642" s="634">
        <f t="shared" si="1322"/>
        <v>0.62565489268209795</v>
      </c>
      <c r="L642" s="1443">
        <f t="shared" si="1322"/>
        <v>2.1536650975117713</v>
      </c>
      <c r="M642" s="634">
        <f t="shared" si="1322"/>
        <v>0.50016920473773308</v>
      </c>
      <c r="N642" s="634">
        <f t="shared" si="1322"/>
        <v>0.61628498727735403</v>
      </c>
      <c r="O642" s="634">
        <f t="shared" si="1322"/>
        <v>0.47241554914275974</v>
      </c>
      <c r="P642" s="634">
        <f t="shared" si="1322"/>
        <v>0.56276613864758218</v>
      </c>
      <c r="Q642" s="1443">
        <f t="shared" si="1322"/>
        <v>2.1513917175831625</v>
      </c>
      <c r="R642" s="634">
        <f t="shared" si="1322"/>
        <v>0.44099060631938375</v>
      </c>
      <c r="S642" s="634">
        <f t="shared" si="1322"/>
        <v>0.32626901384378965</v>
      </c>
      <c r="T642" s="634">
        <f t="shared" si="1322"/>
        <v>0.33989052343482756</v>
      </c>
      <c r="U642" s="634">
        <f t="shared" si="1322"/>
        <v>0.65740264196259968</v>
      </c>
      <c r="V642" s="1443">
        <f t="shared" si="1322"/>
        <v>1.7623931623931681</v>
      </c>
      <c r="W642" s="634">
        <f t="shared" si="1322"/>
        <v>0.72741299502828627</v>
      </c>
      <c r="X642" s="634">
        <f t="shared" si="1322"/>
        <v>0.62966769441589765</v>
      </c>
      <c r="Y642" s="634">
        <f t="shared" si="1322"/>
        <v>0.38251366120218555</v>
      </c>
      <c r="Z642" s="634">
        <f t="shared" si="1322"/>
        <v>0.98361495135688948</v>
      </c>
      <c r="AA642" s="1443">
        <f t="shared" si="1322"/>
        <v>2.7184565477206752</v>
      </c>
      <c r="AB642" s="634">
        <f t="shared" si="1322"/>
        <v>1.2240437158469948</v>
      </c>
      <c r="AC642" s="634">
        <f t="shared" si="1322"/>
        <v>1.1906794127688627</v>
      </c>
      <c r="AD642" s="634">
        <f t="shared" si="1322"/>
        <v>1.5712580975110819</v>
      </c>
      <c r="AE642" s="634">
        <f t="shared" si="1322"/>
        <v>0.43965223320831809</v>
      </c>
      <c r="AF642" s="1443">
        <f t="shared" si="1322"/>
        <v>4.4211692517470587</v>
      </c>
      <c r="AG642" s="634">
        <f t="shared" si="1322"/>
        <v>1.8269689737470132</v>
      </c>
      <c r="AH642" s="634">
        <f t="shared" si="1322"/>
        <v>1.6573521894700947</v>
      </c>
      <c r="AI642" s="634">
        <f t="shared" si="1322"/>
        <v>1.4222449327201492</v>
      </c>
      <c r="AJ642" s="634">
        <f t="shared" si="1322"/>
        <v>1.8126064735945504</v>
      </c>
      <c r="AK642" s="1443">
        <f t="shared" si="1322"/>
        <v>6.7155994550408638</v>
      </c>
      <c r="AL642" s="634">
        <f t="shared" si="1322"/>
        <v>1.1688532969841567</v>
      </c>
      <c r="AM642" s="634">
        <f t="shared" si="1322"/>
        <v>3.0376362397820138</v>
      </c>
      <c r="AN642" s="634">
        <f t="shared" si="1323" ref="AN642:AU642">AN633/AN647</f>
        <v>2.5876061120543281</v>
      </c>
      <c r="AO642" s="634">
        <f t="shared" si="1323"/>
        <v>2.8548332198774675</v>
      </c>
      <c r="AP642" s="1443">
        <f t="shared" si="1323"/>
        <v>9.6625255275697732</v>
      </c>
      <c r="AQ642" s="634">
        <f t="shared" si="1323"/>
        <v>2.5103084000681557</v>
      </c>
      <c r="AR642" s="634">
        <f t="shared" si="1323"/>
        <v>1.3350374914792089</v>
      </c>
      <c r="AS642" s="634">
        <f t="shared" si="1323"/>
        <v>0.19042752512348521</v>
      </c>
      <c r="AT642" s="634">
        <f t="shared" si="1323"/>
        <v>1.6297117516629591</v>
      </c>
      <c r="AU642" s="1443">
        <f t="shared" si="1323"/>
        <v>5.66172713336739</v>
      </c>
      <c r="AV642" s="634">
        <f t="shared" si="1324" ref="AV642:BJ642">AV633/AV647</f>
        <v>0.52405322415558264</v>
      </c>
      <c r="AW642" s="634">
        <f t="shared" si="1324"/>
        <v>-0.93708439897698548</v>
      </c>
      <c r="AX642" s="634">
        <f t="shared" si="1324"/>
        <v>0.19996593425310771</v>
      </c>
      <c r="AY642" s="634">
        <f t="shared" si="1324"/>
        <v>1.3960143076136924</v>
      </c>
      <c r="AZ642" s="1443">
        <f t="shared" si="1324"/>
        <v>1.1831033895418286</v>
      </c>
      <c r="BA642" s="634">
        <f t="shared" si="1325" ref="BA642:BI642">BA633/BA647</f>
        <v>0.75059625212947279</v>
      </c>
      <c r="BB642" s="634">
        <f t="shared" si="1325"/>
        <v>0.5721342190427553</v>
      </c>
      <c r="BC642" s="634">
        <f t="shared" si="1325"/>
        <v>1.8908936170212782</v>
      </c>
      <c r="BD642" s="634">
        <f t="shared" si="1325"/>
        <v>3.3657872340425632</v>
      </c>
      <c r="BE642" s="1443">
        <f t="shared" si="1325"/>
        <v>6.5783829787234049</v>
      </c>
      <c r="BF642" s="634">
        <f>BF633/BF647</f>
        <v>3.9407457857994208</v>
      </c>
      <c r="BG642" s="634">
        <f>BG633/BG647</f>
        <v>2.4833163091590027</v>
      </c>
      <c r="BH642" s="1017">
        <f>BH633/BH647</f>
        <v>3.971068754254619</v>
      </c>
      <c r="BI642" s="114">
        <f t="shared" ca="1" si="1325"/>
        <v>2.7899714313065687</v>
      </c>
      <c r="BJ642" s="1444">
        <f t="shared" ca="1" si="1324"/>
        <v>13.179971347609799</v>
      </c>
      <c r="BK642" s="114">
        <f ca="1" t="shared" si="1326" ref="BK642:BR642">BK633/BK647</f>
        <v>3.4488521875836851</v>
      </c>
      <c r="BL642" s="114">
        <f t="shared" ca="1" si="1326"/>
        <v>2.4217355525659281</v>
      </c>
      <c r="BM642" s="114">
        <f t="shared" ca="1" si="1326"/>
        <v>2.0999202873443239</v>
      </c>
      <c r="BN642" s="114">
        <f t="shared" ca="1" si="1326"/>
        <v>3.7282634414925906</v>
      </c>
      <c r="BO642" s="1444">
        <f t="shared" ca="1" si="1326"/>
        <v>11.698771468986532</v>
      </c>
      <c r="BP642" s="1445">
        <f t="shared" ca="1" si="1326"/>
        <v>12.618709823758035</v>
      </c>
      <c r="BQ642" s="1445">
        <f t="shared" ca="1" si="1326"/>
        <v>13.330449834265808</v>
      </c>
      <c r="BR642" s="1444">
        <f t="shared" ca="1" si="1326"/>
        <v>14.078988831897378</v>
      </c>
      <c r="BS642" s="648"/>
    </row>
    <row r="643" spans="1:71" s="687" customFormat="1" ht="15">
      <c r="A643" s="29" t="s">
        <v>110</v>
      </c>
      <c r="B643" s="316"/>
      <c r="C643" s="1443">
        <f t="shared" si="1327" ref="C643:AM643">C636/C648</f>
        <v>1.5731925022314792</v>
      </c>
      <c r="D643" s="1443">
        <f t="shared" si="1327"/>
        <v>1.6105834464043429</v>
      </c>
      <c r="E643" s="1443">
        <f t="shared" si="1327"/>
        <v>1.5944418276024515</v>
      </c>
      <c r="F643" s="1443">
        <f t="shared" si="1327"/>
        <v>1.4845343863112828</v>
      </c>
      <c r="G643" s="1443">
        <f t="shared" si="1327"/>
        <v>1.9307488402915869</v>
      </c>
      <c r="H643" s="634">
        <f t="shared" si="1327"/>
        <v>0.53756064915509483</v>
      </c>
      <c r="I643" s="634">
        <f t="shared" si="1327"/>
        <v>0.49269521410579209</v>
      </c>
      <c r="J643" s="634">
        <f t="shared" si="1327"/>
        <v>0.49873673572511396</v>
      </c>
      <c r="K643" s="634">
        <f t="shared" si="1327"/>
        <v>0.62565489268209795</v>
      </c>
      <c r="L643" s="1443">
        <f t="shared" si="1327"/>
        <v>2.1536650975117713</v>
      </c>
      <c r="M643" s="634">
        <f t="shared" si="1327"/>
        <v>0.50016920473773308</v>
      </c>
      <c r="N643" s="634">
        <f t="shared" si="1327"/>
        <v>0.61628498727735403</v>
      </c>
      <c r="O643" s="634">
        <f t="shared" si="1327"/>
        <v>0.47241554914275974</v>
      </c>
      <c r="P643" s="634">
        <f t="shared" si="1327"/>
        <v>0.56276613864758218</v>
      </c>
      <c r="Q643" s="1443">
        <f t="shared" si="1327"/>
        <v>2.1513917175831625</v>
      </c>
      <c r="R643" s="634">
        <f t="shared" si="1327"/>
        <v>0.44099060631938375</v>
      </c>
      <c r="S643" s="634">
        <f t="shared" si="1327"/>
        <v>0.32626901384378965</v>
      </c>
      <c r="T643" s="634">
        <f t="shared" si="1327"/>
        <v>0.33989052343482756</v>
      </c>
      <c r="U643" s="634">
        <f t="shared" si="1327"/>
        <v>0.65740264196259968</v>
      </c>
      <c r="V643" s="1443">
        <f t="shared" si="1327"/>
        <v>1.7623931623931681</v>
      </c>
      <c r="W643" s="634">
        <f t="shared" si="1327"/>
        <v>0.72741299502828627</v>
      </c>
      <c r="X643" s="634">
        <f t="shared" si="1327"/>
        <v>0.62966769441589765</v>
      </c>
      <c r="Y643" s="634">
        <f t="shared" si="1327"/>
        <v>0.38251366120218555</v>
      </c>
      <c r="Z643" s="634">
        <f t="shared" si="1327"/>
        <v>0.98361495135688948</v>
      </c>
      <c r="AA643" s="1443">
        <f t="shared" si="1327"/>
        <v>2.7184565477206752</v>
      </c>
      <c r="AB643" s="634">
        <f t="shared" si="1327"/>
        <v>1.2240437158469948</v>
      </c>
      <c r="AC643" s="634">
        <f t="shared" si="1327"/>
        <v>1.1906794127688627</v>
      </c>
      <c r="AD643" s="634">
        <f t="shared" si="1327"/>
        <v>1.5712580975110819</v>
      </c>
      <c r="AE643" s="634">
        <f t="shared" si="1327"/>
        <v>0.43965223320831809</v>
      </c>
      <c r="AF643" s="1443">
        <f t="shared" si="1327"/>
        <v>4.4211692517470587</v>
      </c>
      <c r="AG643" s="634">
        <f t="shared" si="1327"/>
        <v>1.8269689737470132</v>
      </c>
      <c r="AH643" s="634">
        <f t="shared" si="1327"/>
        <v>1.6573521894700947</v>
      </c>
      <c r="AI643" s="634">
        <f t="shared" si="1327"/>
        <v>1.4222449327201492</v>
      </c>
      <c r="AJ643" s="634">
        <f t="shared" si="1327"/>
        <v>1.8126064735945504</v>
      </c>
      <c r="AK643" s="1443">
        <f t="shared" si="1327"/>
        <v>6.7155994550408638</v>
      </c>
      <c r="AL643" s="634">
        <f t="shared" si="1327"/>
        <v>1.1688532969841567</v>
      </c>
      <c r="AM643" s="634">
        <f t="shared" si="1327"/>
        <v>3.0376362397820138</v>
      </c>
      <c r="AN643" s="634">
        <f t="shared" si="1328" ref="AN643:AU643">AN636/AN648</f>
        <v>2.5876061120543281</v>
      </c>
      <c r="AO643" s="634">
        <f t="shared" si="1328"/>
        <v>2.8548332198774675</v>
      </c>
      <c r="AP643" s="1443">
        <f t="shared" si="1328"/>
        <v>9.6625255275697732</v>
      </c>
      <c r="AQ643" s="634">
        <f t="shared" si="1328"/>
        <v>2.5103084000681557</v>
      </c>
      <c r="AR643" s="634">
        <f t="shared" si="1328"/>
        <v>1.3350374914792089</v>
      </c>
      <c r="AS643" s="634">
        <f t="shared" si="1328"/>
        <v>0.19042752512348521</v>
      </c>
      <c r="AT643" s="634">
        <f t="shared" si="1328"/>
        <v>1.6297117516629591</v>
      </c>
      <c r="AU643" s="1443">
        <f t="shared" si="1328"/>
        <v>5.66172713336739</v>
      </c>
      <c r="AV643" s="634">
        <f t="shared" si="1329" ref="AV643:BJ643">AV636/AV648</f>
        <v>0.52405322415558264</v>
      </c>
      <c r="AW643" s="634">
        <f t="shared" si="1329"/>
        <v>-0.93708439897698548</v>
      </c>
      <c r="AX643" s="634">
        <f t="shared" si="1329"/>
        <v>0.19996593425310771</v>
      </c>
      <c r="AY643" s="634">
        <f t="shared" si="1329"/>
        <v>1.3960143076136924</v>
      </c>
      <c r="AZ643" s="1443">
        <f t="shared" si="1329"/>
        <v>1.1831033895418286</v>
      </c>
      <c r="BA643" s="634">
        <f t="shared" si="1330" ref="BA643:BI643">BA636/BA648</f>
        <v>0.75059625212947279</v>
      </c>
      <c r="BB643" s="634">
        <f t="shared" si="1330"/>
        <v>0.5721342190427553</v>
      </c>
      <c r="BC643" s="634">
        <f t="shared" si="1330"/>
        <v>1.8908936170212782</v>
      </c>
      <c r="BD643" s="634">
        <f t="shared" si="1330"/>
        <v>3.3657872340425632</v>
      </c>
      <c r="BE643" s="1443">
        <f t="shared" si="1330"/>
        <v>6.5783829787234049</v>
      </c>
      <c r="BF643" s="634">
        <f>BF636/BF648</f>
        <v>3.9407457857994208</v>
      </c>
      <c r="BG643" s="634">
        <f>BG636/BG648</f>
        <v>2.4833163091590027</v>
      </c>
      <c r="BH643" s="1017">
        <f>BH636/BH648</f>
        <v>3.971068754254619</v>
      </c>
      <c r="BI643" s="114">
        <f t="shared" ca="1" si="1330"/>
        <v>2.7899714313065687</v>
      </c>
      <c r="BJ643" s="1444">
        <f t="shared" ca="1" si="1329"/>
        <v>13.179971347609799</v>
      </c>
      <c r="BK643" s="114">
        <f ca="1" t="shared" si="1331" ref="BK643:BR643">BK636/BK648</f>
        <v>3.4488521875836851</v>
      </c>
      <c r="BL643" s="114">
        <f t="shared" ca="1" si="1331"/>
        <v>2.4217355525659281</v>
      </c>
      <c r="BM643" s="114">
        <f t="shared" ca="1" si="1331"/>
        <v>2.0999202873443239</v>
      </c>
      <c r="BN643" s="114">
        <f t="shared" ca="1" si="1331"/>
        <v>3.7282634414925906</v>
      </c>
      <c r="BO643" s="1444">
        <f t="shared" ca="1" si="1331"/>
        <v>11.698771468986532</v>
      </c>
      <c r="BP643" s="1445">
        <f t="shared" ca="1" si="1331"/>
        <v>12.618709823758035</v>
      </c>
      <c r="BQ643" s="1445">
        <f t="shared" ca="1" si="1331"/>
        <v>13.330449834265808</v>
      </c>
      <c r="BR643" s="1444">
        <f t="shared" ca="1" si="1331"/>
        <v>14.078988831897378</v>
      </c>
      <c r="BS643" s="648"/>
    </row>
    <row r="644" spans="1:71" s="688" customFormat="1" ht="15">
      <c r="A644" s="99" t="str">
        <f>CONCATENATE("Consensus Estimates - ",IFERROR(LEFT(A643,FIND("(",A643)-1),A643))</f>
        <v xml:space="preserve">Consensus Estimates - Adjusted Earnings Per Share </v>
      </c>
      <c r="B644" s="110"/>
      <c r="C644" s="1446"/>
      <c r="D644" s="1446"/>
      <c r="E644" s="1446"/>
      <c r="F644" s="1446"/>
      <c r="G644" s="1446"/>
      <c r="H644" s="205"/>
      <c r="I644" s="205"/>
      <c r="J644" s="205"/>
      <c r="K644" s="205"/>
      <c r="L644" s="1446"/>
      <c r="M644" s="205"/>
      <c r="N644" s="205"/>
      <c r="O644" s="205"/>
      <c r="P644" s="205"/>
      <c r="Q644" s="1446"/>
      <c r="R644" s="205"/>
      <c r="S644" s="206"/>
      <c r="T644" s="205"/>
      <c r="U644" s="205"/>
      <c r="V644" s="1446"/>
      <c r="W644" s="205"/>
      <c r="X644" s="206"/>
      <c r="Y644" s="205"/>
      <c r="Z644" s="205"/>
      <c r="AA644" s="1446"/>
      <c r="AB644" s="205"/>
      <c r="AC644" s="206"/>
      <c r="AD644" s="205"/>
      <c r="AE644" s="205"/>
      <c r="AF644" s="1446"/>
      <c r="AG644" s="205"/>
      <c r="AH644" s="206"/>
      <c r="AI644" s="205"/>
      <c r="AJ644" s="205"/>
      <c r="AK644" s="1446"/>
      <c r="AL644" s="205"/>
      <c r="AM644" s="206"/>
      <c r="AN644" s="205"/>
      <c r="AO644" s="205"/>
      <c r="AP644" s="1446"/>
      <c r="AQ644" s="205"/>
      <c r="AR644" s="206"/>
      <c r="AS644" s="205"/>
      <c r="AT644" s="205"/>
      <c r="AU644" s="1446"/>
      <c r="AV644" s="205"/>
      <c r="AW644" s="206"/>
      <c r="AX644" s="205"/>
      <c r="AY644" s="205"/>
      <c r="AZ644" s="1446"/>
      <c r="BA644" s="205"/>
      <c r="BB644" s="206"/>
      <c r="BC644" s="205"/>
      <c r="BD644" s="205"/>
      <c r="BE644" s="1446"/>
      <c r="BF644" s="205"/>
      <c r="BG644" s="206"/>
      <c r="BH644" s="981"/>
      <c r="BI644" s="860" t="str">
        <f ca="1" t="shared" si="1332" ref="BI644:BO644">IFERROR(VLOOKUP($A644,tb_ConsensusEstimate,MATCH(BI$5,OFFSET(tb_ConsensusEstimate,0,0,1,COLUMNS(tb_ConsensusEstimate)),0),FALSE),"-")</f>
        <v>N/A</v>
      </c>
      <c r="BJ644" s="1447" t="str">
        <f t="shared" ca="1" si="1332"/>
        <v>N/A</v>
      </c>
      <c r="BK644" s="860" t="str">
        <f t="shared" ca="1" si="1332"/>
        <v>N/A</v>
      </c>
      <c r="BL644" s="860" t="str">
        <f t="shared" ca="1" si="1332"/>
        <v>N/A</v>
      </c>
      <c r="BM644" s="860" t="str">
        <f t="shared" ca="1" si="1332"/>
        <v>N/A</v>
      </c>
      <c r="BN644" s="860" t="str">
        <f t="shared" ca="1" si="1332"/>
        <v>N/A</v>
      </c>
      <c r="BO644" s="1447" t="str">
        <f t="shared" ca="1" si="1332"/>
        <v>N/A</v>
      </c>
      <c r="BP644" s="1338" t="str">
        <f ca="1">IFERROR(VLOOKUP($A644,tb_ConsensusEstimate,MATCH(BP5,OFFSET(tb_ConsensusEstimate,0,0,1,COLUMNS(tb_ConsensusEstimate)),0),FALSE),"-")</f>
        <v>N/A</v>
      </c>
      <c r="BQ644" s="1338" t="str">
        <f ca="1">IFERROR(VLOOKUP($A644,tb_ConsensusEstimate,MATCH(BQ5,OFFSET(tb_ConsensusEstimate,0,0,1,COLUMNS(tb_ConsensusEstimate)),0),FALSE),"-")</f>
        <v>N/A</v>
      </c>
      <c r="BR644" s="1447" t="str">
        <f ca="1">IFERROR(VLOOKUP($A644,tb_ConsensusEstimate,MATCH(BR5,OFFSET(tb_ConsensusEstimate,0,0,1,COLUMNS(tb_ConsensusEstimate)),0),FALSE),"-")</f>
        <v>N/A</v>
      </c>
      <c r="BS644" s="648"/>
    </row>
    <row r="645" spans="1:71" s="665" customFormat="1" ht="15">
      <c r="A645" s="992"/>
      <c r="B645" s="321"/>
      <c r="C645" s="1351"/>
      <c r="D645" s="1351"/>
      <c r="E645" s="1351"/>
      <c r="F645" s="1351"/>
      <c r="G645" s="1351"/>
      <c r="H645" s="1047"/>
      <c r="I645" s="1047"/>
      <c r="J645" s="1047"/>
      <c r="K645" s="1047"/>
      <c r="L645" s="1351"/>
      <c r="M645" s="1047"/>
      <c r="N645" s="1047"/>
      <c r="O645" s="1047"/>
      <c r="P645" s="1047"/>
      <c r="Q645" s="1351"/>
      <c r="R645" s="1047"/>
      <c r="S645" s="1047"/>
      <c r="T645" s="1047"/>
      <c r="U645" s="1047"/>
      <c r="V645" s="1351"/>
      <c r="W645" s="1047"/>
      <c r="X645" s="1047"/>
      <c r="Y645" s="1047"/>
      <c r="Z645" s="1047"/>
      <c r="AA645" s="1351"/>
      <c r="AB645" s="1047"/>
      <c r="AC645" s="1047"/>
      <c r="AD645" s="1047"/>
      <c r="AE645" s="1047"/>
      <c r="AF645" s="1351"/>
      <c r="AG645" s="1047"/>
      <c r="AH645" s="1047"/>
      <c r="AI645" s="1047"/>
      <c r="AJ645" s="1047"/>
      <c r="AK645" s="1351"/>
      <c r="AL645" s="1047"/>
      <c r="AM645" s="1047"/>
      <c r="AN645" s="1047"/>
      <c r="AO645" s="1047"/>
      <c r="AP645" s="1351"/>
      <c r="AQ645" s="1047"/>
      <c r="AR645" s="1047"/>
      <c r="AS645" s="1047"/>
      <c r="AT645" s="1047"/>
      <c r="AU645" s="1351"/>
      <c r="AV645" s="1047"/>
      <c r="AW645" s="1047"/>
      <c r="AX645" s="1047"/>
      <c r="AY645" s="1047"/>
      <c r="AZ645" s="1351"/>
      <c r="BA645" s="1047"/>
      <c r="BB645" s="1047"/>
      <c r="BC645" s="1047"/>
      <c r="BD645" s="1047"/>
      <c r="BE645" s="1351"/>
      <c r="BF645" s="1047"/>
      <c r="BG645" s="1047"/>
      <c r="BH645" s="1048"/>
      <c r="BI645" s="1044"/>
      <c r="BJ645" s="1350"/>
      <c r="BK645" s="1044"/>
      <c r="BL645" s="1044"/>
      <c r="BM645" s="1044"/>
      <c r="BN645" s="1044"/>
      <c r="BO645" s="1350"/>
      <c r="BP645" s="1351"/>
      <c r="BQ645" s="1351"/>
      <c r="BR645" s="1350"/>
      <c r="BS645" s="648"/>
    </row>
    <row r="646" spans="1:71" s="665" customFormat="1" ht="15">
      <c r="A646" s="992" t="s">
        <v>111</v>
      </c>
      <c r="B646" s="321"/>
      <c r="C646" s="1364">
        <v>666.80</v>
      </c>
      <c r="D646" s="1364">
        <v>657.90</v>
      </c>
      <c r="E646" s="1364">
        <v>632.29999999999995</v>
      </c>
      <c r="F646" s="1364">
        <v>603.29999999999995</v>
      </c>
      <c r="G646" s="1364">
        <v>599.10</v>
      </c>
      <c r="H646" s="1225">
        <v>593.90</v>
      </c>
      <c r="I646" s="1225">
        <v>591.20000000000005</v>
      </c>
      <c r="J646" s="1225">
        <v>589.79999999999995</v>
      </c>
      <c r="K646" s="1225">
        <v>587.10</v>
      </c>
      <c r="L646" s="1364">
        <v>590.60</v>
      </c>
      <c r="M646" s="1225">
        <v>587.60</v>
      </c>
      <c r="N646" s="1225">
        <v>585.70000000000005</v>
      </c>
      <c r="O646" s="1225">
        <v>585.20000000000005</v>
      </c>
      <c r="P646" s="1225">
        <v>583.40</v>
      </c>
      <c r="Q646" s="1364">
        <v>585.50</v>
      </c>
      <c r="R646" s="1225">
        <v>583.20000000000005</v>
      </c>
      <c r="S646" s="1225">
        <v>582.40</v>
      </c>
      <c r="T646" s="1225">
        <v>581.50</v>
      </c>
      <c r="U646" s="1225">
        <v>579.50</v>
      </c>
      <c r="V646" s="1364">
        <v>581.70000000000005</v>
      </c>
      <c r="W646" s="1225">
        <v>580.29999999999995</v>
      </c>
      <c r="X646" s="1225">
        <v>580.50</v>
      </c>
      <c r="Y646" s="1225">
        <v>581.29999999999995</v>
      </c>
      <c r="Z646" s="1225">
        <v>581.29999999999995</v>
      </c>
      <c r="AA646" s="1364">
        <v>580.79999999999995</v>
      </c>
      <c r="AB646" s="1225">
        <v>582</v>
      </c>
      <c r="AC646" s="1225">
        <v>582</v>
      </c>
      <c r="AD646" s="1225">
        <v>582.70000000000005</v>
      </c>
      <c r="AE646" s="1225">
        <v>582.70000000000005</v>
      </c>
      <c r="AF646" s="1364">
        <v>582.40</v>
      </c>
      <c r="AG646" s="1225">
        <v>583.50</v>
      </c>
      <c r="AH646" s="1225">
        <v>583.60</v>
      </c>
      <c r="AI646" s="1225">
        <v>584.10</v>
      </c>
      <c r="AJ646" s="1225">
        <v>584.20000000000005</v>
      </c>
      <c r="AK646" s="1364">
        <v>583.79999999999995</v>
      </c>
      <c r="AL646" s="1225">
        <v>584.70000000000005</v>
      </c>
      <c r="AM646" s="1225">
        <v>584.79999999999995</v>
      </c>
      <c r="AN646" s="1047">
        <f>(584.9*3)-AL646-AM646</f>
        <v>585.19999999999982</v>
      </c>
      <c r="AO646" s="1047">
        <f>AP646*4-AL646-AM646-AN646</f>
        <v>584.90000000000009</v>
      </c>
      <c r="AP646" s="1364">
        <v>584.90</v>
      </c>
      <c r="AQ646" s="1225">
        <v>584.90</v>
      </c>
      <c r="AR646" s="1225">
        <v>584.70000000000005</v>
      </c>
      <c r="AS646" s="1225">
        <v>584.70000000000005</v>
      </c>
      <c r="AT646" s="1047">
        <f>AU646*4-AQ646-AR646-AS646</f>
        <v>583.69999999999982</v>
      </c>
      <c r="AU646" s="1364">
        <v>584.50</v>
      </c>
      <c r="AV646" s="1225">
        <v>584.29999999999995</v>
      </c>
      <c r="AW646" s="1225">
        <v>584.29999999999995</v>
      </c>
      <c r="AX646" s="1225">
        <v>584.50</v>
      </c>
      <c r="AY646" s="1047">
        <f>AZ646*4-AV646-AW646-AX646</f>
        <v>584.50</v>
      </c>
      <c r="AZ646" s="1364">
        <v>584.40</v>
      </c>
      <c r="BA646" s="1225">
        <v>584.90</v>
      </c>
      <c r="BB646" s="1225">
        <v>584.90</v>
      </c>
      <c r="BC646" s="1225">
        <v>584.79999999999995</v>
      </c>
      <c r="BD646" s="1047">
        <f>BE646*4-BA646-BB646-BC646</f>
        <v>584.99999999999977</v>
      </c>
      <c r="BE646" s="1364">
        <v>584.90</v>
      </c>
      <c r="BF646" s="1225">
        <v>585.40</v>
      </c>
      <c r="BG646" s="1225">
        <v>585.40</v>
      </c>
      <c r="BH646" s="1226">
        <v>585.60</v>
      </c>
      <c r="BI646" s="1044">
        <f ca="1">AVERAGE(BH651,BI651)</f>
        <v>585.79999999999995</v>
      </c>
      <c r="BJ646" s="1350">
        <f ca="1">SUM(BF646*BF3,BG646*BG3,BH646*BH3,BI646*BI3)/BJ3</f>
        <v>585.55081967213118</v>
      </c>
      <c r="BK646" s="1044">
        <f ca="1">AVERAGE(BJ651,BK651)</f>
        <v>585.79999999999995</v>
      </c>
      <c r="BL646" s="1044">
        <f ca="1">AVERAGE(BK651,BL651)</f>
        <v>585.79999999999995</v>
      </c>
      <c r="BM646" s="1044">
        <f ca="1">AVERAGE(BL651,BM651)</f>
        <v>585.79999999999995</v>
      </c>
      <c r="BN646" s="1044">
        <f ca="1">AVERAGE(BM651,BN651)</f>
        <v>585.79999999999995</v>
      </c>
      <c r="BO646" s="1350">
        <f ca="1">SUM(BK646*BK3,BL646*BL3,BM646*BM3,BN646*BN3)/BO3</f>
        <v>585.79999999999995</v>
      </c>
      <c r="BP646" s="1351">
        <f ca="1">AVERAGE(BO651,BP651)</f>
        <v>585.79999999999995</v>
      </c>
      <c r="BQ646" s="1351">
        <f ca="1">AVERAGE(BP651,BQ651)</f>
        <v>585.79999999999995</v>
      </c>
      <c r="BR646" s="1350">
        <f ca="1">AVERAGE(BQ651,BR651)</f>
        <v>585.79999999999995</v>
      </c>
      <c r="BS646" s="648"/>
    </row>
    <row r="647" spans="1:71" s="665" customFormat="1" ht="15">
      <c r="A647" s="992" t="s">
        <v>112</v>
      </c>
      <c r="B647" s="321"/>
      <c r="C647" s="1364">
        <v>672.20</v>
      </c>
      <c r="D647" s="1364">
        <v>663.30</v>
      </c>
      <c r="E647" s="1364">
        <v>636.90</v>
      </c>
      <c r="F647" s="1364">
        <v>607.79999999999995</v>
      </c>
      <c r="G647" s="1364">
        <v>603.60</v>
      </c>
      <c r="H647" s="1225">
        <v>597.70000000000005</v>
      </c>
      <c r="I647" s="1225">
        <v>595.50</v>
      </c>
      <c r="J647" s="1225">
        <v>593.70000000000005</v>
      </c>
      <c r="K647" s="1225">
        <v>591.70000000000005</v>
      </c>
      <c r="L647" s="1364">
        <v>594.79999999999995</v>
      </c>
      <c r="M647" s="1225">
        <v>591</v>
      </c>
      <c r="N647" s="1225">
        <v>589.50</v>
      </c>
      <c r="O647" s="1225">
        <v>589.10</v>
      </c>
      <c r="P647" s="1225">
        <v>587.10</v>
      </c>
      <c r="Q647" s="1364">
        <v>589.20000000000005</v>
      </c>
      <c r="R647" s="1225">
        <v>585.50</v>
      </c>
      <c r="S647" s="1225">
        <v>585.10</v>
      </c>
      <c r="T647" s="1225">
        <v>584.60</v>
      </c>
      <c r="U647" s="1225">
        <v>582.90</v>
      </c>
      <c r="V647" s="1364">
        <v>585</v>
      </c>
      <c r="W647" s="1225">
        <v>583.29999999999995</v>
      </c>
      <c r="X647" s="1225">
        <v>583.79999999999995</v>
      </c>
      <c r="Y647" s="1225">
        <v>585.60</v>
      </c>
      <c r="Z647" s="1225">
        <v>585.90</v>
      </c>
      <c r="AA647" s="1364">
        <v>585.70000000000005</v>
      </c>
      <c r="AB647" s="1225">
        <v>585.60</v>
      </c>
      <c r="AC647" s="1225">
        <v>585.79999999999995</v>
      </c>
      <c r="AD647" s="1225">
        <v>586.60</v>
      </c>
      <c r="AE647" s="1225">
        <v>586.60</v>
      </c>
      <c r="AF647" s="1364">
        <v>586.70000000000005</v>
      </c>
      <c r="AG647" s="1225">
        <v>586.60</v>
      </c>
      <c r="AH647" s="1225">
        <v>586.90</v>
      </c>
      <c r="AI647" s="1225">
        <v>587.10</v>
      </c>
      <c r="AJ647" s="1225">
        <v>587</v>
      </c>
      <c r="AK647" s="1364">
        <v>587.20000000000005</v>
      </c>
      <c r="AL647" s="1225">
        <v>586.90</v>
      </c>
      <c r="AM647" s="1225">
        <v>587.20000000000005</v>
      </c>
      <c r="AN647" s="1047">
        <f>(587.7*3)-AL647-AM647</f>
        <v>589.00000000000023</v>
      </c>
      <c r="AO647" s="1225">
        <v>587.60</v>
      </c>
      <c r="AP647" s="1364">
        <v>587.60</v>
      </c>
      <c r="AQ647" s="1225">
        <v>586.90</v>
      </c>
      <c r="AR647" s="1225">
        <v>586.79999999999995</v>
      </c>
      <c r="AS647" s="1225">
        <v>587.10</v>
      </c>
      <c r="AT647" s="1225">
        <v>586.29999999999995</v>
      </c>
      <c r="AU647" s="1364">
        <v>587.10</v>
      </c>
      <c r="AV647" s="1225">
        <v>586.20000000000005</v>
      </c>
      <c r="AW647" s="1225">
        <v>586.50</v>
      </c>
      <c r="AX647" s="1225">
        <v>587.10</v>
      </c>
      <c r="AY647" s="1225">
        <v>587.10</v>
      </c>
      <c r="AZ647" s="1364">
        <v>587.10</v>
      </c>
      <c r="BA647" s="1225">
        <v>587</v>
      </c>
      <c r="BB647" s="1225">
        <v>587.10</v>
      </c>
      <c r="BC647" s="1225">
        <v>587.50</v>
      </c>
      <c r="BD647" s="1225">
        <v>587.50</v>
      </c>
      <c r="BE647" s="1364">
        <v>587.50</v>
      </c>
      <c r="BF647" s="1225">
        <v>587.29999999999995</v>
      </c>
      <c r="BG647" s="1225">
        <v>587.40</v>
      </c>
      <c r="BH647" s="1226">
        <v>587.60</v>
      </c>
      <c r="BI647" s="1044">
        <f ca="1">IF(BI633&lt;0,BI646,AVERAGE(BH665,BI665))</f>
        <v>588.2645</v>
      </c>
      <c r="BJ647" s="1350">
        <f ca="1">IF(BJ633&lt;0,BJ646,SUM(AVERAGE(BE665,BF665)*BF3,AVERAGE(BF665,BG665)*BG3,AVERAGE(BG665,BH665)*BH3,AVERAGE(BH665,BI665)*BI3)/BJ3)</f>
        <v>587.84203278688528</v>
      </c>
      <c r="BK647" s="1044">
        <f ca="1">IF(BK633&lt;0,BK646,AVERAGE(BJ665,BK665))</f>
        <v>588.72899999999993</v>
      </c>
      <c r="BL647" s="1044">
        <f ca="1">IF(BL633&lt;0,BL646,AVERAGE(BK665,BL665))</f>
        <v>588.72899999999993</v>
      </c>
      <c r="BM647" s="1044">
        <f ca="1">IF(BM633&lt;0,BM646,AVERAGE(BL665,BM665))</f>
        <v>588.72899999999993</v>
      </c>
      <c r="BN647" s="1044">
        <f ca="1">IF(BN633&lt;0,BN646,AVERAGE(BM665,BN665))</f>
        <v>588.72899999999993</v>
      </c>
      <c r="BO647" s="1350">
        <f ca="1">IF(BO633&lt;0,BO646,SUM(AVERAGE(BJ665,BK665)*BK3,AVERAGE(BK665,BL665)*BL3,AVERAGE(BL665,BM665)*BM3,AVERAGE(BM665,BN665)*BN3)/BO3)</f>
        <v>588.72899999999993</v>
      </c>
      <c r="BP647" s="1351">
        <f ca="1">IF(BP633&lt;0,BP646,AVERAGE(BO665,BP665))</f>
        <v>588.72899999999993</v>
      </c>
      <c r="BQ647" s="1351">
        <f ca="1">IF(BQ633&lt;0,BQ646,AVERAGE(BP665,BQ665))</f>
        <v>588.72899999999993</v>
      </c>
      <c r="BR647" s="1350">
        <f ca="1">IF(BR633&lt;0,BR646,AVERAGE(BQ665,BR665))</f>
        <v>588.72899999999993</v>
      </c>
      <c r="BS647" s="648"/>
    </row>
    <row r="648" spans="1:71" s="665" customFormat="1" ht="15">
      <c r="A648" s="647" t="s">
        <v>113</v>
      </c>
      <c r="B648" s="321"/>
      <c r="C648" s="1349">
        <f t="shared" si="1333" ref="C648:AM648">C647</f>
        <v>672.20</v>
      </c>
      <c r="D648" s="1349">
        <f t="shared" si="1333"/>
        <v>663.30</v>
      </c>
      <c r="E648" s="1349">
        <f t="shared" si="1333"/>
        <v>636.90</v>
      </c>
      <c r="F648" s="1349">
        <f t="shared" si="1333"/>
        <v>607.79999999999995</v>
      </c>
      <c r="G648" s="1349">
        <f t="shared" si="1333"/>
        <v>603.60</v>
      </c>
      <c r="H648" s="1042">
        <f t="shared" si="1333"/>
        <v>597.70000000000005</v>
      </c>
      <c r="I648" s="1042">
        <f t="shared" si="1333"/>
        <v>595.50</v>
      </c>
      <c r="J648" s="1042">
        <f t="shared" si="1333"/>
        <v>593.70000000000005</v>
      </c>
      <c r="K648" s="1042">
        <f t="shared" si="1333"/>
        <v>591.70000000000005</v>
      </c>
      <c r="L648" s="1349">
        <f t="shared" si="1333"/>
        <v>594.79999999999995</v>
      </c>
      <c r="M648" s="1042">
        <f t="shared" si="1333"/>
        <v>591</v>
      </c>
      <c r="N648" s="1042">
        <f t="shared" si="1333"/>
        <v>589.50</v>
      </c>
      <c r="O648" s="1042">
        <f t="shared" si="1333"/>
        <v>589.10</v>
      </c>
      <c r="P648" s="1042">
        <f t="shared" si="1333"/>
        <v>587.10</v>
      </c>
      <c r="Q648" s="1349">
        <f t="shared" si="1333"/>
        <v>589.20000000000005</v>
      </c>
      <c r="R648" s="1042">
        <f t="shared" si="1333"/>
        <v>585.50</v>
      </c>
      <c r="S648" s="1042">
        <f t="shared" si="1333"/>
        <v>585.10</v>
      </c>
      <c r="T648" s="1042">
        <f t="shared" si="1333"/>
        <v>584.60</v>
      </c>
      <c r="U648" s="1042">
        <f t="shared" si="1333"/>
        <v>582.90</v>
      </c>
      <c r="V648" s="1349">
        <f t="shared" si="1333"/>
        <v>585</v>
      </c>
      <c r="W648" s="1042">
        <f t="shared" si="1333"/>
        <v>583.29999999999995</v>
      </c>
      <c r="X648" s="1042">
        <f t="shared" si="1333"/>
        <v>583.79999999999995</v>
      </c>
      <c r="Y648" s="1042">
        <f t="shared" si="1333"/>
        <v>585.60</v>
      </c>
      <c r="Z648" s="1042">
        <f t="shared" si="1333"/>
        <v>585.90</v>
      </c>
      <c r="AA648" s="1349">
        <f t="shared" si="1333"/>
        <v>585.70000000000005</v>
      </c>
      <c r="AB648" s="1042">
        <f t="shared" si="1333"/>
        <v>585.60</v>
      </c>
      <c r="AC648" s="1042">
        <f t="shared" si="1333"/>
        <v>585.79999999999995</v>
      </c>
      <c r="AD648" s="1042">
        <f t="shared" si="1333"/>
        <v>586.60</v>
      </c>
      <c r="AE648" s="1042">
        <f t="shared" si="1333"/>
        <v>586.60</v>
      </c>
      <c r="AF648" s="1349">
        <f t="shared" si="1333"/>
        <v>586.70000000000005</v>
      </c>
      <c r="AG648" s="1042">
        <f t="shared" si="1333"/>
        <v>586.60</v>
      </c>
      <c r="AH648" s="1042">
        <f t="shared" si="1333"/>
        <v>586.90</v>
      </c>
      <c r="AI648" s="1042">
        <f t="shared" si="1333"/>
        <v>587.10</v>
      </c>
      <c r="AJ648" s="1042">
        <f t="shared" si="1333"/>
        <v>587</v>
      </c>
      <c r="AK648" s="1349">
        <f t="shared" si="1333"/>
        <v>587.20000000000005</v>
      </c>
      <c r="AL648" s="1042">
        <f t="shared" si="1333"/>
        <v>586.90</v>
      </c>
      <c r="AM648" s="1042">
        <f t="shared" si="1333"/>
        <v>587.20000000000005</v>
      </c>
      <c r="AN648" s="1042">
        <f>AN647</f>
        <v>589.00000000000023</v>
      </c>
      <c r="AO648" s="1042">
        <f>AO647</f>
        <v>587.60</v>
      </c>
      <c r="AP648" s="1349">
        <f>AP647</f>
        <v>587.60</v>
      </c>
      <c r="AQ648" s="1042">
        <f>AQ647</f>
        <v>586.90</v>
      </c>
      <c r="AR648" s="1042">
        <f t="shared" si="1334" ref="AR648:AU648">AR647</f>
        <v>586.79999999999995</v>
      </c>
      <c r="AS648" s="1042">
        <f t="shared" si="1334"/>
        <v>587.10</v>
      </c>
      <c r="AT648" s="1042">
        <f t="shared" si="1334"/>
        <v>586.29999999999995</v>
      </c>
      <c r="AU648" s="1349">
        <f t="shared" si="1334"/>
        <v>587.10</v>
      </c>
      <c r="AV648" s="1042">
        <f t="shared" si="1335" ref="AV648:AZ648">AV647</f>
        <v>586.20000000000005</v>
      </c>
      <c r="AW648" s="1042">
        <f t="shared" si="1335"/>
        <v>586.50</v>
      </c>
      <c r="AX648" s="1042">
        <f t="shared" si="1335"/>
        <v>587.10</v>
      </c>
      <c r="AY648" s="1042">
        <f t="shared" si="1335"/>
        <v>587.10</v>
      </c>
      <c r="AZ648" s="1349">
        <f t="shared" si="1335"/>
        <v>587.10</v>
      </c>
      <c r="BA648" s="1042">
        <f t="shared" si="1336" ref="BA648:BF648">BA647</f>
        <v>587</v>
      </c>
      <c r="BB648" s="1042">
        <f t="shared" si="1336"/>
        <v>587.10</v>
      </c>
      <c r="BC648" s="1042">
        <f t="shared" si="1336"/>
        <v>587.50</v>
      </c>
      <c r="BD648" s="1042">
        <f t="shared" si="1336"/>
        <v>587.50</v>
      </c>
      <c r="BE648" s="1349">
        <f t="shared" si="1336"/>
        <v>587.50</v>
      </c>
      <c r="BF648" s="1042">
        <f t="shared" si="1336"/>
        <v>587.29999999999995</v>
      </c>
      <c r="BG648" s="1042">
        <f>BG647</f>
        <v>587.40</v>
      </c>
      <c r="BH648" s="1043">
        <f>BH647</f>
        <v>587.60</v>
      </c>
      <c r="BI648" s="1044">
        <f ca="1">IF(BI636&lt;0,BI646,AVERAGE(BH665,BI665))</f>
        <v>588.2645</v>
      </c>
      <c r="BJ648" s="1350">
        <f ca="1">IF(BJ636&lt;0,BJ646,SUM(AVERAGE(BE665,BF665)*BF3,AVERAGE(BF665,BG665)*BG3,AVERAGE(BG665,BH665)*BH3,AVERAGE(BH665,BI665)*BI3)/BJ3)</f>
        <v>587.84203278688528</v>
      </c>
      <c r="BK648" s="1044">
        <f ca="1">IF(BK636&lt;0,BK646,AVERAGE(BJ665,BK665))</f>
        <v>588.72899999999993</v>
      </c>
      <c r="BL648" s="1044">
        <f ca="1">IF(BL636&lt;0,BL646,AVERAGE(BK665,BL665))</f>
        <v>588.72899999999993</v>
      </c>
      <c r="BM648" s="1044">
        <f ca="1">IF(BM636&lt;0,BM646,AVERAGE(BL665,BM665))</f>
        <v>588.72899999999993</v>
      </c>
      <c r="BN648" s="1044">
        <f ca="1">IF(BN636&lt;0,BN646,AVERAGE(BM665,BN665))</f>
        <v>588.72899999999993</v>
      </c>
      <c r="BO648" s="1350">
        <f ca="1">IF(BO636&lt;0,BO646,SUM(AVERAGE(BJ665,BK665)*BK3,AVERAGE(BK665,BL665)*BL3,AVERAGE(BL665,BM665)*BM3,AVERAGE(BM665,BN665)*BN3)/BO3)</f>
        <v>588.72899999999993</v>
      </c>
      <c r="BP648" s="1351">
        <f ca="1">IF(BP636&lt;0,BP646,AVERAGE(BO665,BP665))</f>
        <v>588.72899999999993</v>
      </c>
      <c r="BQ648" s="1351">
        <f ca="1">IF(BQ636&lt;0,BQ646,AVERAGE(BP665,BQ665))</f>
        <v>588.72899999999993</v>
      </c>
      <c r="BR648" s="1350">
        <f ca="1">IF(BR636&lt;0,BR646,AVERAGE(BQ665,BR665))</f>
        <v>588.72899999999993</v>
      </c>
      <c r="BS648" s="648"/>
    </row>
    <row r="649" spans="1:71" s="665" customFormat="1" ht="15">
      <c r="A649" s="412"/>
      <c r="B649" s="321"/>
      <c r="C649" s="1351"/>
      <c r="D649" s="1351"/>
      <c r="E649" s="1351"/>
      <c r="F649" s="1351"/>
      <c r="G649" s="1351"/>
      <c r="H649" s="1047"/>
      <c r="I649" s="1047"/>
      <c r="J649" s="1047"/>
      <c r="K649" s="1047"/>
      <c r="L649" s="1351"/>
      <c r="M649" s="1047"/>
      <c r="N649" s="1047"/>
      <c r="O649" s="1047"/>
      <c r="P649" s="1047"/>
      <c r="Q649" s="1351"/>
      <c r="R649" s="1047"/>
      <c r="S649" s="1047"/>
      <c r="T649" s="1047"/>
      <c r="U649" s="1047"/>
      <c r="V649" s="1351"/>
      <c r="W649" s="1047"/>
      <c r="X649" s="1047"/>
      <c r="Y649" s="1047"/>
      <c r="Z649" s="1047"/>
      <c r="AA649" s="1351"/>
      <c r="AB649" s="1047"/>
      <c r="AC649" s="1047"/>
      <c r="AD649" s="1047"/>
      <c r="AE649" s="1047"/>
      <c r="AF649" s="1351"/>
      <c r="AG649" s="1047"/>
      <c r="AH649" s="1047"/>
      <c r="AI649" s="1047"/>
      <c r="AJ649" s="1047"/>
      <c r="AK649" s="1351"/>
      <c r="AL649" s="1047"/>
      <c r="AM649" s="1047"/>
      <c r="AN649" s="1047"/>
      <c r="AO649" s="1047"/>
      <c r="AP649" s="1351"/>
      <c r="AQ649" s="1047"/>
      <c r="AR649" s="1047"/>
      <c r="AS649" s="1047"/>
      <c r="AT649" s="1047"/>
      <c r="AU649" s="1351"/>
      <c r="AV649" s="1047"/>
      <c r="AW649" s="1047"/>
      <c r="AX649" s="1047"/>
      <c r="AY649" s="1047"/>
      <c r="AZ649" s="1351"/>
      <c r="BA649" s="1047"/>
      <c r="BB649" s="1047"/>
      <c r="BC649" s="1047"/>
      <c r="BD649" s="1047"/>
      <c r="BE649" s="1351"/>
      <c r="BF649" s="1047"/>
      <c r="BG649" s="1047"/>
      <c r="BH649" s="1048"/>
      <c r="BI649" s="1044"/>
      <c r="BJ649" s="1350"/>
      <c r="BK649" s="1044"/>
      <c r="BL649" s="1044"/>
      <c r="BM649" s="1044"/>
      <c r="BN649" s="1044"/>
      <c r="BO649" s="1350"/>
      <c r="BP649" s="1351"/>
      <c r="BQ649" s="1351"/>
      <c r="BR649" s="1350"/>
      <c r="BS649" s="648"/>
    </row>
    <row r="650" spans="1:71" s="665" customFormat="1" ht="15">
      <c r="A650" s="627" t="s">
        <v>707</v>
      </c>
      <c r="B650" s="628"/>
      <c r="C650" s="629"/>
      <c r="D650" s="629"/>
      <c r="E650" s="629"/>
      <c r="F650" s="629"/>
      <c r="G650" s="629"/>
      <c r="H650" s="629"/>
      <c r="I650" s="629"/>
      <c r="J650" s="629"/>
      <c r="K650" s="629"/>
      <c r="L650" s="629"/>
      <c r="M650" s="629"/>
      <c r="N650" s="629"/>
      <c r="O650" s="629"/>
      <c r="P650" s="629"/>
      <c r="Q650" s="629"/>
      <c r="R650" s="629"/>
      <c r="S650" s="629"/>
      <c r="T650" s="629"/>
      <c r="U650" s="629"/>
      <c r="V650" s="629"/>
      <c r="W650" s="629"/>
      <c r="X650" s="629"/>
      <c r="Y650" s="629"/>
      <c r="Z650" s="629"/>
      <c r="AA650" s="629"/>
      <c r="AB650" s="629"/>
      <c r="AC650" s="629"/>
      <c r="AD650" s="629"/>
      <c r="AE650" s="629"/>
      <c r="AF650" s="629"/>
      <c r="AG650" s="629"/>
      <c r="AH650" s="629"/>
      <c r="AI650" s="629"/>
      <c r="AJ650" s="629"/>
      <c r="AK650" s="629"/>
      <c r="AL650" s="629"/>
      <c r="AM650" s="629"/>
      <c r="AN650" s="629"/>
      <c r="AO650" s="629"/>
      <c r="AP650" s="629"/>
      <c r="AQ650" s="629"/>
      <c r="AR650" s="629"/>
      <c r="AS650" s="629"/>
      <c r="AT650" s="629"/>
      <c r="AU650" s="629"/>
      <c r="AV650" s="629"/>
      <c r="AW650" s="629"/>
      <c r="AX650" s="629"/>
      <c r="AY650" s="629"/>
      <c r="AZ650" s="629"/>
      <c r="BA650" s="629"/>
      <c r="BB650" s="629"/>
      <c r="BC650" s="629"/>
      <c r="BD650" s="629"/>
      <c r="BE650" s="629"/>
      <c r="BF650" s="629"/>
      <c r="BG650" s="629"/>
      <c r="BH650" s="870"/>
      <c r="BI650" s="331"/>
      <c r="BJ650" s="331"/>
      <c r="BK650" s="331"/>
      <c r="BL650" s="331"/>
      <c r="BM650" s="331"/>
      <c r="BN650" s="331"/>
      <c r="BO650" s="331"/>
      <c r="BP650" s="629"/>
      <c r="BQ650" s="629"/>
      <c r="BR650" s="331"/>
      <c r="BS650" s="648"/>
    </row>
    <row r="651" spans="1:71" s="665" customFormat="1" ht="15" customHeight="1" hidden="1" outlineLevel="1">
      <c r="A651" s="647" t="s">
        <v>737</v>
      </c>
      <c r="B651" s="321"/>
      <c r="C651" s="1364">
        <v>672.60</v>
      </c>
      <c r="D651" s="1364">
        <v>662.40</v>
      </c>
      <c r="E651" s="1364">
        <v>613</v>
      </c>
      <c r="F651" s="1364">
        <v>604.60</v>
      </c>
      <c r="G651" s="1364">
        <v>595.79999999999995</v>
      </c>
      <c r="H651" s="1225">
        <v>593.10</v>
      </c>
      <c r="I651" s="1225">
        <v>591.50</v>
      </c>
      <c r="J651" s="1225">
        <v>589.20000000000005</v>
      </c>
      <c r="K651" s="1042">
        <f>L651</f>
        <v>587.79999999999995</v>
      </c>
      <c r="L651" s="1364">
        <v>587.79999999999995</v>
      </c>
      <c r="M651" s="1225">
        <v>587.29999999999995</v>
      </c>
      <c r="N651" s="1225">
        <v>585.90</v>
      </c>
      <c r="O651" s="1225">
        <v>584.60</v>
      </c>
      <c r="P651" s="1042">
        <f>Q651</f>
        <v>583.60</v>
      </c>
      <c r="Q651" s="1364">
        <v>583.60</v>
      </c>
      <c r="R651" s="1225">
        <v>583</v>
      </c>
      <c r="S651" s="1225">
        <v>581.90</v>
      </c>
      <c r="T651" s="1225">
        <v>580.79999999999995</v>
      </c>
      <c r="U651" s="1042">
        <f>V651</f>
        <v>579.90</v>
      </c>
      <c r="V651" s="1364">
        <v>579.90</v>
      </c>
      <c r="W651" s="1225">
        <v>580.90</v>
      </c>
      <c r="X651" s="1225">
        <v>581</v>
      </c>
      <c r="Y651" s="1225">
        <v>581.60</v>
      </c>
      <c r="Z651" s="1042">
        <f>AA651</f>
        <v>581.70000000000005</v>
      </c>
      <c r="AA651" s="1364">
        <v>581.70000000000005</v>
      </c>
      <c r="AB651" s="1225">
        <f>797.5-215.1</f>
        <v>582.40</v>
      </c>
      <c r="AC651" s="1225">
        <f>797.5-215</f>
        <v>582.50</v>
      </c>
      <c r="AD651" s="1225">
        <f>797.5-214.4</f>
        <v>583.10</v>
      </c>
      <c r="AE651" s="1042">
        <f>AF651</f>
        <v>583.20000000000005</v>
      </c>
      <c r="AF651" s="1364">
        <v>583.20000000000005</v>
      </c>
      <c r="AG651" s="1225">
        <f>797.5-215.1</f>
        <v>582.40</v>
      </c>
      <c r="AH651" s="1225">
        <f>797.5-213.4</f>
        <v>584.10</v>
      </c>
      <c r="AI651" s="1225">
        <f>797.5-212.9</f>
        <v>584.60</v>
      </c>
      <c r="AJ651" s="1042">
        <f>AK651</f>
        <v>584.60</v>
      </c>
      <c r="AK651" s="1364">
        <v>584.60</v>
      </c>
      <c r="AL651" s="1225">
        <v>585.29999999999995</v>
      </c>
      <c r="AM651" s="1225">
        <v>585.40</v>
      </c>
      <c r="AN651" s="1225">
        <v>585.60</v>
      </c>
      <c r="AO651" s="1042">
        <f>AP651</f>
        <v>585.20000000000005</v>
      </c>
      <c r="AP651" s="1364">
        <v>585.20000000000005</v>
      </c>
      <c r="AQ651" s="1225">
        <v>585.20000000000005</v>
      </c>
      <c r="AR651" s="1225">
        <v>585.20000000000005</v>
      </c>
      <c r="AS651" s="1225">
        <v>585</v>
      </c>
      <c r="AT651" s="1042">
        <f>AU651</f>
        <v>584.40</v>
      </c>
      <c r="AU651" s="1364">
        <v>584.40</v>
      </c>
      <c r="AV651" s="1225">
        <v>584.90</v>
      </c>
      <c r="AW651" s="1225">
        <v>584.90</v>
      </c>
      <c r="AX651" s="1225">
        <v>585.10</v>
      </c>
      <c r="AY651" s="1047">
        <f>AZ651</f>
        <v>584.90</v>
      </c>
      <c r="AZ651" s="1364">
        <v>584.90</v>
      </c>
      <c r="BA651" s="1225">
        <v>585.40</v>
      </c>
      <c r="BB651" s="1225">
        <v>585.29999999999995</v>
      </c>
      <c r="BC651" s="1225">
        <v>585</v>
      </c>
      <c r="BD651" s="1047">
        <f>BE651</f>
        <v>585.29999999999995</v>
      </c>
      <c r="BE651" s="1364">
        <v>585.29999999999995</v>
      </c>
      <c r="BF651" s="1225">
        <v>585.70000000000005</v>
      </c>
      <c r="BG651" s="1225">
        <v>585.70000000000005</v>
      </c>
      <c r="BH651" s="1226">
        <v>585.79999999999995</v>
      </c>
      <c r="BI651" s="1044">
        <f ca="1">BH651*(1+BI652)+BI707/(BI708/BI730)</f>
        <v>585.79999999999995</v>
      </c>
      <c r="BJ651" s="1350">
        <f ca="1">BI651</f>
        <v>585.79999999999995</v>
      </c>
      <c r="BK651" s="1044">
        <f ca="1">BJ651*(1+BK652)+BK707/(BK708/BK730)</f>
        <v>585.79999999999995</v>
      </c>
      <c r="BL651" s="1044">
        <f ca="1">BK651*(1+BL652)+BL707/(BL708/BL730)</f>
        <v>585.79999999999995</v>
      </c>
      <c r="BM651" s="1044">
        <f ca="1">BL651*(1+BM652)+BM707/(BM708/BM730)</f>
        <v>585.79999999999995</v>
      </c>
      <c r="BN651" s="1044">
        <f ca="1">BM651*(1+BN652)+BN707/(BN708/BN730)</f>
        <v>585.79999999999995</v>
      </c>
      <c r="BO651" s="1350">
        <f ca="1">BN651</f>
        <v>585.79999999999995</v>
      </c>
      <c r="BP651" s="1351">
        <f ca="1">BO651*(1+BP653)+BP707/(BP708/BP730)</f>
        <v>585.79999999999995</v>
      </c>
      <c r="BQ651" s="1351">
        <f ca="1">BP651*(1+BQ653)+BQ707/(BQ708/BQ730)</f>
        <v>585.79999999999995</v>
      </c>
      <c r="BR651" s="1350">
        <f ca="1">BQ651*(1+BR653)+BR707/(BR708/BR730)</f>
        <v>585.79999999999995</v>
      </c>
      <c r="BS651" s="648"/>
    </row>
    <row r="652" spans="1:71" s="665" customFormat="1" ht="15" customHeight="1" hidden="1" outlineLevel="1">
      <c r="A652" s="1009" t="s">
        <v>729</v>
      </c>
      <c r="B652" s="723"/>
      <c r="C652" s="1325"/>
      <c r="D652" s="1325"/>
      <c r="E652" s="1325"/>
      <c r="F652" s="1325"/>
      <c r="G652" s="1325"/>
      <c r="H652" s="726"/>
      <c r="I652" s="726"/>
      <c r="J652" s="726"/>
      <c r="K652" s="726"/>
      <c r="L652" s="1325"/>
      <c r="M652" s="726"/>
      <c r="N652" s="726"/>
      <c r="O652" s="726"/>
      <c r="P652" s="726"/>
      <c r="Q652" s="1325"/>
      <c r="R652" s="726"/>
      <c r="S652" s="726"/>
      <c r="T652" s="726"/>
      <c r="U652" s="726"/>
      <c r="V652" s="1325"/>
      <c r="W652" s="726"/>
      <c r="X652" s="726"/>
      <c r="Y652" s="726"/>
      <c r="Z652" s="726"/>
      <c r="AA652" s="1325"/>
      <c r="AB652" s="726"/>
      <c r="AC652" s="726"/>
      <c r="AD652" s="726"/>
      <c r="AE652" s="726"/>
      <c r="AF652" s="1325"/>
      <c r="AG652" s="726"/>
      <c r="AH652" s="726"/>
      <c r="AI652" s="726"/>
      <c r="AJ652" s="726"/>
      <c r="AK652" s="1325"/>
      <c r="AL652" s="726"/>
      <c r="AM652" s="726"/>
      <c r="AN652" s="726"/>
      <c r="AO652" s="726"/>
      <c r="AP652" s="1325"/>
      <c r="AQ652" s="726"/>
      <c r="AR652" s="726"/>
      <c r="AS652" s="726"/>
      <c r="AT652" s="726"/>
      <c r="AU652" s="1325"/>
      <c r="AV652" s="726"/>
      <c r="AW652" s="726"/>
      <c r="AX652" s="726"/>
      <c r="AY652" s="726"/>
      <c r="AZ652" s="1325"/>
      <c r="BA652" s="726"/>
      <c r="BB652" s="726"/>
      <c r="BC652" s="726"/>
      <c r="BD652" s="726"/>
      <c r="BE652" s="1325"/>
      <c r="BF652" s="726"/>
      <c r="BG652" s="726"/>
      <c r="BH652" s="808"/>
      <c r="BI652" s="1272">
        <v>0</v>
      </c>
      <c r="BJ652" s="1325"/>
      <c r="BK652" s="1272">
        <v>0</v>
      </c>
      <c r="BL652" s="1272">
        <v>0</v>
      </c>
      <c r="BM652" s="1272">
        <v>0</v>
      </c>
      <c r="BN652" s="1272">
        <v>0</v>
      </c>
      <c r="BO652" s="1325"/>
      <c r="BP652" s="1325"/>
      <c r="BQ652" s="1325"/>
      <c r="BR652" s="1325"/>
      <c r="BS652" s="648"/>
    </row>
    <row r="653" spans="1:71" s="665" customFormat="1" ht="15" customHeight="1" hidden="1" outlineLevel="1">
      <c r="A653" s="1009" t="s">
        <v>730</v>
      </c>
      <c r="B653" s="723"/>
      <c r="C653" s="1325"/>
      <c r="D653" s="1325"/>
      <c r="E653" s="1325"/>
      <c r="F653" s="1325"/>
      <c r="G653" s="1325"/>
      <c r="H653" s="726"/>
      <c r="I653" s="726"/>
      <c r="J653" s="726"/>
      <c r="K653" s="726"/>
      <c r="L653" s="1325"/>
      <c r="M653" s="726"/>
      <c r="N653" s="726"/>
      <c r="O653" s="726"/>
      <c r="P653" s="726"/>
      <c r="Q653" s="1325"/>
      <c r="R653" s="726"/>
      <c r="S653" s="726"/>
      <c r="T653" s="726"/>
      <c r="U653" s="726"/>
      <c r="V653" s="1325"/>
      <c r="W653" s="726"/>
      <c r="X653" s="726"/>
      <c r="Y653" s="726"/>
      <c r="Z653" s="726"/>
      <c r="AA653" s="1325"/>
      <c r="AB653" s="726"/>
      <c r="AC653" s="726"/>
      <c r="AD653" s="726"/>
      <c r="AE653" s="726"/>
      <c r="AF653" s="1325"/>
      <c r="AG653" s="726"/>
      <c r="AH653" s="726"/>
      <c r="AI653" s="726"/>
      <c r="AJ653" s="726"/>
      <c r="AK653" s="1325"/>
      <c r="AL653" s="726"/>
      <c r="AM653" s="726"/>
      <c r="AN653" s="726"/>
      <c r="AO653" s="726"/>
      <c r="AP653" s="1325"/>
      <c r="AQ653" s="726"/>
      <c r="AR653" s="726"/>
      <c r="AS653" s="726"/>
      <c r="AT653" s="726"/>
      <c r="AU653" s="1325"/>
      <c r="AV653" s="726"/>
      <c r="AW653" s="726"/>
      <c r="AX653" s="726"/>
      <c r="AY653" s="726"/>
      <c r="AZ653" s="1325"/>
      <c r="BA653" s="726"/>
      <c r="BB653" s="726"/>
      <c r="BC653" s="726"/>
      <c r="BD653" s="726"/>
      <c r="BE653" s="1325"/>
      <c r="BF653" s="726"/>
      <c r="BG653" s="726"/>
      <c r="BH653" s="808"/>
      <c r="BI653" s="726"/>
      <c r="BJ653" s="1325"/>
      <c r="BK653" s="726"/>
      <c r="BL653" s="726"/>
      <c r="BM653" s="726"/>
      <c r="BN653" s="726"/>
      <c r="BO653" s="1325"/>
      <c r="BP653" s="1341">
        <v>0</v>
      </c>
      <c r="BQ653" s="1341">
        <v>0</v>
      </c>
      <c r="BR653" s="1341">
        <v>0</v>
      </c>
      <c r="BS653" s="648"/>
    </row>
    <row r="654" spans="1:71" s="665" customFormat="1" ht="15" customHeight="1" hidden="1" outlineLevel="2">
      <c r="A654" s="1009" t="s">
        <v>731</v>
      </c>
      <c r="B654" s="723"/>
      <c r="C654" s="1325"/>
      <c r="D654" s="1325"/>
      <c r="E654" s="1325"/>
      <c r="F654" s="1325"/>
      <c r="G654" s="1325"/>
      <c r="H654" s="726"/>
      <c r="I654" s="726"/>
      <c r="J654" s="726"/>
      <c r="K654" s="726"/>
      <c r="L654" s="1325"/>
      <c r="M654" s="726"/>
      <c r="N654" s="726"/>
      <c r="O654" s="726"/>
      <c r="P654" s="726"/>
      <c r="Q654" s="1325"/>
      <c r="R654" s="726"/>
      <c r="S654" s="726"/>
      <c r="T654" s="726"/>
      <c r="U654" s="726"/>
      <c r="V654" s="1325"/>
      <c r="W654" s="726"/>
      <c r="X654" s="726"/>
      <c r="Y654" s="726"/>
      <c r="Z654" s="726"/>
      <c r="AA654" s="1325"/>
      <c r="AB654" s="726"/>
      <c r="AC654" s="726"/>
      <c r="AD654" s="726"/>
      <c r="AE654" s="726"/>
      <c r="AF654" s="1325"/>
      <c r="AG654" s="726"/>
      <c r="AH654" s="726"/>
      <c r="AI654" s="726"/>
      <c r="AJ654" s="726"/>
      <c r="AK654" s="1325"/>
      <c r="AL654" s="726"/>
      <c r="AM654" s="726"/>
      <c r="AN654" s="726"/>
      <c r="AO654" s="726"/>
      <c r="AP654" s="1325"/>
      <c r="AQ654" s="726"/>
      <c r="AR654" s="726"/>
      <c r="AS654" s="726"/>
      <c r="AT654" s="726"/>
      <c r="AU654" s="1325"/>
      <c r="AV654" s="726"/>
      <c r="AW654" s="726"/>
      <c r="AX654" s="726"/>
      <c r="AY654" s="726"/>
      <c r="AZ654" s="1325"/>
      <c r="BA654" s="726"/>
      <c r="BB654" s="726"/>
      <c r="BC654" s="726"/>
      <c r="BD654" s="726"/>
      <c r="BE654" s="1325"/>
      <c r="BF654" s="726"/>
      <c r="BG654" s="726"/>
      <c r="BH654" s="808"/>
      <c r="BI654" s="726">
        <f ca="1">BI707/(BI708/BI730)/BH651</f>
        <v>0</v>
      </c>
      <c r="BJ654" s="1325"/>
      <c r="BK654" s="726">
        <f ca="1">BK707/(BK708/BK730)/BI651</f>
        <v>0</v>
      </c>
      <c r="BL654" s="726">
        <f ca="1">BL707/(BL708/BL730)/BK651</f>
        <v>0</v>
      </c>
      <c r="BM654" s="726">
        <f ca="1">BM707/(BM708/BM730)/BL651</f>
        <v>0</v>
      </c>
      <c r="BN654" s="726">
        <f ca="1">BN707/(BN708/BN730)/BM651</f>
        <v>0</v>
      </c>
      <c r="BO654" s="1325"/>
      <c r="BP654" s="1325"/>
      <c r="BQ654" s="1325"/>
      <c r="BR654" s="1325"/>
      <c r="BS654" s="648"/>
    </row>
    <row r="655" spans="1:71" s="665" customFormat="1" ht="15" customHeight="1" hidden="1" outlineLevel="2">
      <c r="A655" s="730" t="s">
        <v>732</v>
      </c>
      <c r="B655" s="731"/>
      <c r="C655" s="1448"/>
      <c r="D655" s="1448"/>
      <c r="E655" s="1448"/>
      <c r="F655" s="1448"/>
      <c r="G655" s="1448"/>
      <c r="H655" s="732"/>
      <c r="I655" s="732"/>
      <c r="J655" s="732"/>
      <c r="K655" s="732"/>
      <c r="L655" s="1448"/>
      <c r="M655" s="732"/>
      <c r="N655" s="732"/>
      <c r="O655" s="732"/>
      <c r="P655" s="732"/>
      <c r="Q655" s="1448"/>
      <c r="R655" s="732"/>
      <c r="S655" s="732"/>
      <c r="T655" s="732"/>
      <c r="U655" s="732"/>
      <c r="V655" s="1448"/>
      <c r="W655" s="732"/>
      <c r="X655" s="732"/>
      <c r="Y655" s="732"/>
      <c r="Z655" s="732"/>
      <c r="AA655" s="1448"/>
      <c r="AB655" s="732"/>
      <c r="AC655" s="732"/>
      <c r="AD655" s="732"/>
      <c r="AE655" s="732"/>
      <c r="AF655" s="1448"/>
      <c r="AG655" s="732"/>
      <c r="AH655" s="732"/>
      <c r="AI655" s="732"/>
      <c r="AJ655" s="732"/>
      <c r="AK655" s="1448"/>
      <c r="AL655" s="732"/>
      <c r="AM655" s="732"/>
      <c r="AN655" s="732"/>
      <c r="AO655" s="732"/>
      <c r="AP655" s="1448"/>
      <c r="AQ655" s="732"/>
      <c r="AR655" s="732"/>
      <c r="AS655" s="732"/>
      <c r="AT655" s="732"/>
      <c r="AU655" s="1448"/>
      <c r="AV655" s="732"/>
      <c r="AW655" s="732"/>
      <c r="AX655" s="732"/>
      <c r="AY655" s="732"/>
      <c r="AZ655" s="1448"/>
      <c r="BA655" s="732"/>
      <c r="BB655" s="732"/>
      <c r="BC655" s="732"/>
      <c r="BD655" s="732"/>
      <c r="BE655" s="1448"/>
      <c r="BF655" s="732"/>
      <c r="BG655" s="732"/>
      <c r="BH655" s="834"/>
      <c r="BI655" s="732"/>
      <c r="BJ655" s="1448">
        <f ca="1">BJ707/(BJ708/BJ730)/BE651</f>
        <v>-0.00088604929294855764</v>
      </c>
      <c r="BK655" s="732"/>
      <c r="BL655" s="732"/>
      <c r="BM655" s="732"/>
      <c r="BN655" s="732"/>
      <c r="BO655" s="1448">
        <f ca="1">BO707/(BO708/BO730)/BJ651</f>
        <v>0</v>
      </c>
      <c r="BP655" s="1448">
        <f ca="1">BP707/(BP708/BP730)/BO651</f>
        <v>0</v>
      </c>
      <c r="BQ655" s="1448">
        <f ca="1">BQ707/(BQ708/BQ730)/BP651</f>
        <v>0</v>
      </c>
      <c r="BR655" s="1448">
        <f ca="1">BR707/(BR708/BR730)/BQ651</f>
        <v>0</v>
      </c>
      <c r="BS655" s="648"/>
    </row>
    <row r="656" spans="1:71" s="665" customFormat="1" ht="15" customHeight="1" hidden="1" outlineLevel="1" collapsed="1">
      <c r="A656" s="734" t="s">
        <v>733</v>
      </c>
      <c r="B656" s="723"/>
      <c r="C656" s="1325"/>
      <c r="D656" s="1325"/>
      <c r="E656" s="1325"/>
      <c r="F656" s="1325"/>
      <c r="G656" s="1325"/>
      <c r="H656" s="725">
        <f>H651/G651-1</f>
        <v>-0.0045317220543805714</v>
      </c>
      <c r="I656" s="725">
        <f>I651/H651-1</f>
        <v>-0.0026976901028494815</v>
      </c>
      <c r="J656" s="725">
        <f>J651/I651-1</f>
        <v>-0.0038884192730346268</v>
      </c>
      <c r="K656" s="725">
        <f>K651/J651-1</f>
        <v>-0.0023761031907673091</v>
      </c>
      <c r="L656" s="1325"/>
      <c r="M656" s="725">
        <f>M651/K651-1</f>
        <v>-0.00085062946580471976</v>
      </c>
      <c r="N656" s="725">
        <f>N651/M651-1</f>
        <v>-0.0023837902264600697</v>
      </c>
      <c r="O656" s="725">
        <f>O651/N651-1</f>
        <v>-0.0022188086704214571</v>
      </c>
      <c r="P656" s="725">
        <f>P651/O651-1</f>
        <v>-0.0017105713308245285</v>
      </c>
      <c r="Q656" s="1325"/>
      <c r="R656" s="725">
        <f>R651/P651-1</f>
        <v>-0.0010281014393420662</v>
      </c>
      <c r="S656" s="725">
        <f>S651/R651-1</f>
        <v>-0.0018867924528301883</v>
      </c>
      <c r="T656" s="725">
        <f>T651/S651-1</f>
        <v>-0.001890359168241984</v>
      </c>
      <c r="U656" s="725">
        <f>U651/T651-1</f>
        <v>-0.0015495867768594573</v>
      </c>
      <c r="V656" s="1325"/>
      <c r="W656" s="725">
        <f>W651/U651-1</f>
        <v>0.0017244352474563573</v>
      </c>
      <c r="X656" s="725">
        <f>X651/W651-1</f>
        <v>0.00017214666896192554</v>
      </c>
      <c r="Y656" s="725">
        <f>Y651/X651-1</f>
        <v>0.0010327022375216099</v>
      </c>
      <c r="Z656" s="725">
        <f>Z651/Y651-1</f>
        <v>0.00017193947730409498</v>
      </c>
      <c r="AA656" s="1325"/>
      <c r="AB656" s="725">
        <f>AB651/Z651-1</f>
        <v>0.0012033694344162349</v>
      </c>
      <c r="AC656" s="725">
        <f>AC651/AB651-1</f>
        <v>0.00017170329670324058</v>
      </c>
      <c r="AD656" s="725">
        <f>AD651/AC651-1</f>
        <v>0.0010300429184548765</v>
      </c>
      <c r="AE656" s="725">
        <f>AE651/AD651-1</f>
        <v>0.00017149717029663059</v>
      </c>
      <c r="AF656" s="1325"/>
      <c r="AG656" s="725">
        <f>AG651/AE651-1</f>
        <v>-0.001371742112482921</v>
      </c>
      <c r="AH656" s="725">
        <f>AH651/AG651-1</f>
        <v>0.0029189560439562001</v>
      </c>
      <c r="AI656" s="725">
        <f>AI651/AH651-1</f>
        <v>0.00085601780517041703</v>
      </c>
      <c r="AJ656" s="725">
        <f>AJ651/AI651-1</f>
        <v>0</v>
      </c>
      <c r="AK656" s="1325"/>
      <c r="AL656" s="725">
        <f>AL651/AJ651-1</f>
        <v>0.0011973999315770811</v>
      </c>
      <c r="AM656" s="725">
        <f>AM651/AL651-1</f>
        <v>0.00017085255424564849</v>
      </c>
      <c r="AN656" s="725">
        <f>AN651/AM651-1</f>
        <v>0.0003416467372736598</v>
      </c>
      <c r="AO656" s="725">
        <f>AO651/AN651-1</f>
        <v>-0.00068306010928953498</v>
      </c>
      <c r="AP656" s="1325"/>
      <c r="AQ656" s="725">
        <f>AQ651/AO651-1</f>
        <v>0</v>
      </c>
      <c r="AR656" s="725">
        <f>AR651/AQ651-1</f>
        <v>0</v>
      </c>
      <c r="AS656" s="725">
        <f>AS651/AR651-1</f>
        <v>-0.00034176349965830966</v>
      </c>
      <c r="AT656" s="725">
        <f>AT651/AS651-1</f>
        <v>-0.0010256410256410664</v>
      </c>
      <c r="AU656" s="1325"/>
      <c r="AV656" s="725">
        <f>AV651/AT651-1</f>
        <v>0.0008555783709787157</v>
      </c>
      <c r="AW656" s="725">
        <f>AW651/AV651-1</f>
        <v>0</v>
      </c>
      <c r="AX656" s="725">
        <f>AX651/AW651-1</f>
        <v>0.00034193879295618679</v>
      </c>
      <c r="AY656" s="726">
        <f>AY651/AX651-1</f>
        <v>-0.0003418219107845788</v>
      </c>
      <c r="AZ656" s="1325"/>
      <c r="BA656" s="726">
        <f>BA651/AY651-1</f>
        <v>0.0008548469823901339</v>
      </c>
      <c r="BB656" s="726">
        <f>BB651/BA651-1</f>
        <v>-0.0001708233686368299</v>
      </c>
      <c r="BC656" s="726">
        <f>BC651/BB651-1</f>
        <v>-0.00051255766273694547</v>
      </c>
      <c r="BD656" s="726">
        <f>BD651/BC651-1</f>
        <v>0.00051282051282042218</v>
      </c>
      <c r="BE656" s="1325"/>
      <c r="BF656" s="726">
        <f>BF651/BD651-1</f>
        <v>0.00068341021698281601</v>
      </c>
      <c r="BG656" s="726">
        <f>BG651/BF651-1</f>
        <v>0</v>
      </c>
      <c r="BH656" s="808">
        <f>BH651/BG651-1</f>
        <v>0.00017073587160654213</v>
      </c>
      <c r="BI656" s="726">
        <f ca="1">BI651/BH651-1</f>
        <v>0</v>
      </c>
      <c r="BJ656" s="1325"/>
      <c r="BK656" s="726">
        <f ca="1">BK651/BI651-1</f>
        <v>0</v>
      </c>
      <c r="BL656" s="726">
        <f ca="1">BL651/BK651-1</f>
        <v>0</v>
      </c>
      <c r="BM656" s="726">
        <f ca="1">BM651/BL651-1</f>
        <v>0</v>
      </c>
      <c r="BN656" s="726">
        <f ca="1">BN651/BM651-1</f>
        <v>0</v>
      </c>
      <c r="BO656" s="1325"/>
      <c r="BP656" s="1325"/>
      <c r="BQ656" s="1325"/>
      <c r="BR656" s="1325"/>
      <c r="BS656" s="648"/>
    </row>
    <row r="657" spans="1:71" s="665" customFormat="1" ht="15" customHeight="1" hidden="1" outlineLevel="1">
      <c r="A657" s="734" t="s">
        <v>734</v>
      </c>
      <c r="B657" s="723"/>
      <c r="C657" s="1325"/>
      <c r="D657" s="1327">
        <f>D651/C651-1</f>
        <v>-0.015165031222123204</v>
      </c>
      <c r="E657" s="1327">
        <f>E651/D651-1</f>
        <v>-0.074577294685990281</v>
      </c>
      <c r="F657" s="1327">
        <f>F651/E651-1</f>
        <v>-0.013703099510603556</v>
      </c>
      <c r="G657" s="1327">
        <f>G651/F651-1</f>
        <v>-0.0145550777373471</v>
      </c>
      <c r="H657" s="726"/>
      <c r="I657" s="726"/>
      <c r="J657" s="726"/>
      <c r="K657" s="726"/>
      <c r="L657" s="1327">
        <f t="shared" si="1337" ref="L657:AQ657">L651/G651-1</f>
        <v>-0.013427324605572388</v>
      </c>
      <c r="M657" s="725">
        <f t="shared" si="1337"/>
        <v>-0.009779126622829315</v>
      </c>
      <c r="N657" s="725">
        <f t="shared" si="1337"/>
        <v>-0.0094674556213018013</v>
      </c>
      <c r="O657" s="725">
        <f t="shared" si="1337"/>
        <v>-0.0078071961982348892</v>
      </c>
      <c r="P657" s="725">
        <f t="shared" si="1337"/>
        <v>-0.0071452875127593352</v>
      </c>
      <c r="Q657" s="1327">
        <f t="shared" si="1337"/>
        <v>-0.0071452875127593352</v>
      </c>
      <c r="R657" s="725">
        <f t="shared" si="1337"/>
        <v>-0.0073216414098415949</v>
      </c>
      <c r="S657" s="725">
        <f t="shared" si="1337"/>
        <v>-0.0068271036012971242</v>
      </c>
      <c r="T657" s="725">
        <f t="shared" si="1337"/>
        <v>-0.0065001710571331861</v>
      </c>
      <c r="U657" s="725">
        <f t="shared" si="1337"/>
        <v>-0.0063399588759425196</v>
      </c>
      <c r="V657" s="1327">
        <f t="shared" si="1337"/>
        <v>-0.0063399588759425196</v>
      </c>
      <c r="W657" s="725">
        <f t="shared" si="1337"/>
        <v>-0.0036020583190394806</v>
      </c>
      <c r="X657" s="725">
        <f t="shared" si="1337"/>
        <v>-0.0015466575012887951</v>
      </c>
      <c r="Y657" s="725">
        <f t="shared" si="1337"/>
        <v>0.0013774104683197397</v>
      </c>
      <c r="Z657" s="725">
        <f t="shared" si="1337"/>
        <v>0.0031039834454218429</v>
      </c>
      <c r="AA657" s="1327">
        <f t="shared" si="1337"/>
        <v>0.0031039834454218429</v>
      </c>
      <c r="AB657" s="725">
        <f t="shared" si="1337"/>
        <v>0.0025822000344293272</v>
      </c>
      <c r="AC657" s="725">
        <f t="shared" si="1337"/>
        <v>0.0025817555938036918</v>
      </c>
      <c r="AD657" s="725">
        <f t="shared" si="1337"/>
        <v>0.0025790921595598704</v>
      </c>
      <c r="AE657" s="725">
        <f t="shared" si="1337"/>
        <v>0.0025786487880350428</v>
      </c>
      <c r="AF657" s="1327">
        <f t="shared" si="1337"/>
        <v>0.0025786487880350428</v>
      </c>
      <c r="AG657" s="725">
        <f t="shared" si="1337"/>
        <v>0</v>
      </c>
      <c r="AH657" s="725">
        <f t="shared" si="1337"/>
        <v>0.0027467811158798927</v>
      </c>
      <c r="AI657" s="725">
        <f t="shared" si="1337"/>
        <v>0.002572457554450347</v>
      </c>
      <c r="AJ657" s="725">
        <f t="shared" si="1337"/>
        <v>0.0024005486968450285</v>
      </c>
      <c r="AK657" s="1327">
        <f t="shared" si="1337"/>
        <v>0.0024005486968450285</v>
      </c>
      <c r="AL657" s="725">
        <f t="shared" si="1337"/>
        <v>0.0049793956043955312</v>
      </c>
      <c r="AM657" s="725">
        <f t="shared" si="1337"/>
        <v>0.0022256462934429067</v>
      </c>
      <c r="AN657" s="725">
        <f t="shared" si="1337"/>
        <v>0.0017105713308245285</v>
      </c>
      <c r="AO657" s="725">
        <f t="shared" si="1337"/>
        <v>0.0010263427984946727</v>
      </c>
      <c r="AP657" s="1327">
        <f t="shared" si="1337"/>
        <v>0.0010263427984946727</v>
      </c>
      <c r="AQ657" s="725">
        <f t="shared" si="1337"/>
        <v>-0.00017085255424553747</v>
      </c>
      <c r="AR657" s="725">
        <f t="shared" si="1338" ref="AR657:BJ657">AR651/AM651-1</f>
        <v>-0.00034164673727354877</v>
      </c>
      <c r="AS657" s="725">
        <f t="shared" si="1338"/>
        <v>-0.0010245901639344135</v>
      </c>
      <c r="AT657" s="725">
        <f t="shared" si="1338"/>
        <v>-0.0013670539986330166</v>
      </c>
      <c r="AU657" s="1327">
        <f t="shared" si="1338"/>
        <v>-0.0013670539986330166</v>
      </c>
      <c r="AV657" s="725">
        <f t="shared" si="1338"/>
        <v>-0.00051264524948746448</v>
      </c>
      <c r="AW657" s="725">
        <f t="shared" si="1338"/>
        <v>-0.00051264524948746448</v>
      </c>
      <c r="AX657" s="725">
        <f t="shared" si="1338"/>
        <v>0.00017094017094021474</v>
      </c>
      <c r="AY657" s="726">
        <f t="shared" si="1338"/>
        <v>0.0008555783709787157</v>
      </c>
      <c r="AZ657" s="1325">
        <f t="shared" si="1338"/>
        <v>0.0008555783709787157</v>
      </c>
      <c r="BA657" s="726">
        <f t="shared" si="1338"/>
        <v>0.0008548469823901339</v>
      </c>
      <c r="BB657" s="726">
        <f t="shared" si="1338"/>
        <v>0.00068387758591215153</v>
      </c>
      <c r="BC657" s="726">
        <f t="shared" si="1338"/>
        <v>-0.00017091095539223389</v>
      </c>
      <c r="BD657" s="726">
        <f t="shared" si="1338"/>
        <v>0.00068387758591215153</v>
      </c>
      <c r="BE657" s="1325">
        <f t="shared" si="1338"/>
        <v>0.00068387758591215153</v>
      </c>
      <c r="BF657" s="726">
        <f>BF651/BA651-1</f>
        <v>0.00051247010591071174</v>
      </c>
      <c r="BG657" s="726">
        <f>BG651/BB651-1</f>
        <v>0.00068341021698281601</v>
      </c>
      <c r="BH657" s="808">
        <f>BH651/BC651-1</f>
        <v>0.0013675213675212738</v>
      </c>
      <c r="BI657" s="726">
        <f ca="1">BI651/BD651-1</f>
        <v>0.0008542627712284645</v>
      </c>
      <c r="BJ657" s="1325">
        <f t="shared" ca="1" si="1338"/>
        <v>0.0008542627712284645</v>
      </c>
      <c r="BK657" s="726">
        <f ca="1">BK651/BF651-1</f>
        <v>0.00017073587160654213</v>
      </c>
      <c r="BL657" s="726">
        <f ca="1">BL651/BG651-1</f>
        <v>0.00017073587160654213</v>
      </c>
      <c r="BM657" s="726">
        <f ca="1">BM651/BH651-1</f>
        <v>0</v>
      </c>
      <c r="BN657" s="726">
        <f ca="1">BN651/BI651-1</f>
        <v>0</v>
      </c>
      <c r="BO657" s="1325">
        <f ca="1">BO651/BJ651-1</f>
        <v>0</v>
      </c>
      <c r="BP657" s="1325">
        <f ca="1">BP651/BO651-1</f>
        <v>0</v>
      </c>
      <c r="BQ657" s="1325">
        <f ca="1">BQ651/BP651-1</f>
        <v>0</v>
      </c>
      <c r="BR657" s="1325">
        <f ca="1">BR651/BQ651-1</f>
        <v>0</v>
      </c>
      <c r="BS657" s="648"/>
    </row>
    <row r="658" spans="1:71" s="665" customFormat="1" ht="15" customHeight="1" hidden="1" outlineLevel="1">
      <c r="A658" s="905"/>
      <c r="B658" s="321"/>
      <c r="C658" s="1351"/>
      <c r="D658" s="1351"/>
      <c r="E658" s="1351"/>
      <c r="F658" s="1351"/>
      <c r="G658" s="1351"/>
      <c r="H658" s="1047"/>
      <c r="I658" s="1047"/>
      <c r="J658" s="1047"/>
      <c r="K658" s="1047"/>
      <c r="L658" s="1351"/>
      <c r="M658" s="1047"/>
      <c r="N658" s="1047"/>
      <c r="O658" s="1047"/>
      <c r="P658" s="1047"/>
      <c r="Q658" s="1351"/>
      <c r="R658" s="1047"/>
      <c r="S658" s="1047"/>
      <c r="T658" s="1047"/>
      <c r="U658" s="1047"/>
      <c r="V658" s="1351"/>
      <c r="W658" s="1047"/>
      <c r="X658" s="1047"/>
      <c r="Y658" s="1047"/>
      <c r="Z658" s="1047"/>
      <c r="AA658" s="1351"/>
      <c r="AB658" s="1047"/>
      <c r="AC658" s="1047"/>
      <c r="AD658" s="1047"/>
      <c r="AE658" s="1047"/>
      <c r="AF658" s="1351"/>
      <c r="AG658" s="1047"/>
      <c r="AH658" s="1047"/>
      <c r="AI658" s="1047"/>
      <c r="AJ658" s="1047"/>
      <c r="AK658" s="1351"/>
      <c r="AL658" s="1047"/>
      <c r="AM658" s="1047"/>
      <c r="AN658" s="1047"/>
      <c r="AO658" s="1047"/>
      <c r="AP658" s="1351"/>
      <c r="AQ658" s="1047"/>
      <c r="AR658" s="1047"/>
      <c r="AS658" s="1047"/>
      <c r="AT658" s="1047"/>
      <c r="AU658" s="1351"/>
      <c r="AV658" s="1047"/>
      <c r="AW658" s="1047"/>
      <c r="AX658" s="1047"/>
      <c r="AY658" s="1047"/>
      <c r="AZ658" s="1351"/>
      <c r="BA658" s="1047"/>
      <c r="BB658" s="1047"/>
      <c r="BC658" s="1047"/>
      <c r="BD658" s="1047"/>
      <c r="BE658" s="1351"/>
      <c r="BF658" s="1047"/>
      <c r="BG658" s="1047"/>
      <c r="BH658" s="1048"/>
      <c r="BI658" s="1044"/>
      <c r="BJ658" s="1350"/>
      <c r="BK658" s="1044"/>
      <c r="BL658" s="1044"/>
      <c r="BM658" s="1044"/>
      <c r="BN658" s="1044"/>
      <c r="BO658" s="1350"/>
      <c r="BP658" s="1351"/>
      <c r="BQ658" s="1351"/>
      <c r="BR658" s="1350"/>
      <c r="BS658" s="648"/>
    </row>
    <row r="659" spans="1:71" s="665" customFormat="1" ht="15" customHeight="1" hidden="1" outlineLevel="1">
      <c r="A659" s="905" t="s">
        <v>738</v>
      </c>
      <c r="B659" s="321"/>
      <c r="C659" s="1364">
        <v>671.55972199999997</v>
      </c>
      <c r="D659" s="1364">
        <v>660.03499199999999</v>
      </c>
      <c r="E659" s="1364">
        <v>611.50684699999999</v>
      </c>
      <c r="F659" s="1364">
        <v>603.91970600000002</v>
      </c>
      <c r="G659" s="1364">
        <v>595.28248299999996</v>
      </c>
      <c r="H659" s="1225">
        <v>592.00610300000005</v>
      </c>
      <c r="I659" s="1225">
        <v>591.47161500000004</v>
      </c>
      <c r="J659" s="1225">
        <v>589.20695799999999</v>
      </c>
      <c r="K659" s="1047">
        <f>L659</f>
        <v>588.93247899999994</v>
      </c>
      <c r="L659" s="1364">
        <v>588.93247899999994</v>
      </c>
      <c r="M659" s="1225">
        <v>586.72279400000002</v>
      </c>
      <c r="N659" s="1225">
        <v>585.93234700000005</v>
      </c>
      <c r="O659" s="1225">
        <v>584.54424500000005</v>
      </c>
      <c r="P659" s="1047">
        <f>Q659</f>
        <v>584.32805699999994</v>
      </c>
      <c r="Q659" s="1364">
        <v>584.32805699999994</v>
      </c>
      <c r="R659" s="1225">
        <v>582.996534</v>
      </c>
      <c r="S659" s="1225">
        <v>581.91571099999999</v>
      </c>
      <c r="T659" s="1225">
        <v>580.78104499999995</v>
      </c>
      <c r="U659" s="1047">
        <f>V659</f>
        <v>580.80303000000004</v>
      </c>
      <c r="V659" s="1364">
        <v>580.80303000000004</v>
      </c>
      <c r="W659" s="1225">
        <v>580.90202199999999</v>
      </c>
      <c r="X659" s="1225">
        <v>581.04828499999996</v>
      </c>
      <c r="Y659" s="1225">
        <v>581.63400899999999</v>
      </c>
      <c r="Z659" s="1047">
        <f>AA659</f>
        <v>582.27598899999998</v>
      </c>
      <c r="AA659" s="1364">
        <v>582.27598899999998</v>
      </c>
      <c r="AB659" s="1225">
        <v>582.37634400000002</v>
      </c>
      <c r="AC659" s="1225">
        <v>582.51218200000005</v>
      </c>
      <c r="AD659" s="1225">
        <v>583.14475300000004</v>
      </c>
      <c r="AE659" s="1047">
        <f>AF659</f>
        <v>583.89623200000005</v>
      </c>
      <c r="AF659" s="1364">
        <v>583.89623200000005</v>
      </c>
      <c r="AG659" s="1225">
        <v>583.98580400000003</v>
      </c>
      <c r="AH659" s="1225">
        <v>584.64753199999996</v>
      </c>
      <c r="AI659" s="1225">
        <v>584.630089</v>
      </c>
      <c r="AJ659" s="1047">
        <f>AK659</f>
        <v>585.25365899999997</v>
      </c>
      <c r="AK659" s="1364">
        <v>585.25365899999997</v>
      </c>
      <c r="AL659" s="1225">
        <v>585.29846599999996</v>
      </c>
      <c r="AM659" s="1225">
        <v>585.39690599999994</v>
      </c>
      <c r="AN659" s="1225">
        <v>585.59798799999999</v>
      </c>
      <c r="AO659" s="1047">
        <f>AP659</f>
        <v>585.74772800000005</v>
      </c>
      <c r="AP659" s="1364">
        <v>585.74772800000005</v>
      </c>
      <c r="AQ659" s="1225">
        <v>585.15328199999999</v>
      </c>
      <c r="AR659" s="1225">
        <v>585.16432599999996</v>
      </c>
      <c r="AS659" s="1225">
        <v>585.06363899999997</v>
      </c>
      <c r="AT659" s="1047">
        <f>AU659</f>
        <v>584.84853599999997</v>
      </c>
      <c r="AU659" s="1364">
        <v>584.84853599999997</v>
      </c>
      <c r="AV659" s="1225">
        <v>584.87749199999996</v>
      </c>
      <c r="AW659" s="1225">
        <v>584.91520500000001</v>
      </c>
      <c r="AX659" s="1225">
        <v>585.06971199999998</v>
      </c>
      <c r="AY659" s="1047">
        <f>AZ659</f>
        <v>585.34003600000005</v>
      </c>
      <c r="AZ659" s="1364">
        <v>585.34003600000005</v>
      </c>
      <c r="BA659" s="1225">
        <v>585.36644799999999</v>
      </c>
      <c r="BB659" s="1225">
        <v>585.33362999999997</v>
      </c>
      <c r="BC659" s="1225">
        <v>585.04090699999995</v>
      </c>
      <c r="BD659" s="1047">
        <f>BE659</f>
        <v>585.67746399999999</v>
      </c>
      <c r="BE659" s="1364">
        <v>585.67746399999999</v>
      </c>
      <c r="BF659" s="1225">
        <v>585.69838700000003</v>
      </c>
      <c r="BG659" s="1225">
        <v>585.66666499999997</v>
      </c>
      <c r="BH659" s="1226">
        <v>585.81150300000002</v>
      </c>
      <c r="BI659" s="1044"/>
      <c r="BJ659" s="1350"/>
      <c r="BK659" s="1044"/>
      <c r="BL659" s="1044"/>
      <c r="BM659" s="1044"/>
      <c r="BN659" s="1044"/>
      <c r="BO659" s="1350"/>
      <c r="BP659" s="1351"/>
      <c r="BQ659" s="1351"/>
      <c r="BR659" s="1350"/>
      <c r="BS659" s="648"/>
    </row>
    <row r="660" spans="1:71" s="665" customFormat="1" ht="15" customHeight="1" hidden="1" outlineLevel="1">
      <c r="A660" s="905" t="s">
        <v>739</v>
      </c>
      <c r="B660" s="321"/>
      <c r="C660" s="1449">
        <v>40209</v>
      </c>
      <c r="D660" s="1449">
        <v>40574</v>
      </c>
      <c r="E660" s="1449">
        <v>40939</v>
      </c>
      <c r="F660" s="1449">
        <v>41305</v>
      </c>
      <c r="G660" s="1449">
        <v>41670</v>
      </c>
      <c r="H660" s="1274">
        <v>41759</v>
      </c>
      <c r="I660" s="1274">
        <v>41820</v>
      </c>
      <c r="J660" s="1274">
        <v>41912</v>
      </c>
      <c r="K660" s="630">
        <f>L660</f>
        <v>42034</v>
      </c>
      <c r="L660" s="1449">
        <v>42034</v>
      </c>
      <c r="M660" s="1274">
        <v>42124</v>
      </c>
      <c r="N660" s="1274">
        <v>42185</v>
      </c>
      <c r="O660" s="1274">
        <v>42277</v>
      </c>
      <c r="P660" s="630">
        <f>Q660</f>
        <v>42400</v>
      </c>
      <c r="Q660" s="1449">
        <v>42400</v>
      </c>
      <c r="R660" s="1274">
        <v>42460</v>
      </c>
      <c r="S660" s="1274">
        <v>42551</v>
      </c>
      <c r="T660" s="1274">
        <v>42643</v>
      </c>
      <c r="U660" s="630">
        <f>V660</f>
        <v>42766</v>
      </c>
      <c r="V660" s="1449">
        <v>42766</v>
      </c>
      <c r="W660" s="1274">
        <v>42825</v>
      </c>
      <c r="X660" s="1274">
        <v>42916</v>
      </c>
      <c r="Y660" s="1274">
        <v>43008</v>
      </c>
      <c r="Z660" s="630">
        <f>AA660</f>
        <v>43131</v>
      </c>
      <c r="AA660" s="1449">
        <v>43131</v>
      </c>
      <c r="AB660" s="1274">
        <v>43190</v>
      </c>
      <c r="AC660" s="1274">
        <v>43281</v>
      </c>
      <c r="AD660" s="1274">
        <v>43373</v>
      </c>
      <c r="AE660" s="630">
        <f>AF660</f>
        <v>43496</v>
      </c>
      <c r="AF660" s="1449">
        <v>43496</v>
      </c>
      <c r="AG660" s="1274">
        <v>43555</v>
      </c>
      <c r="AH660" s="1274">
        <v>43677</v>
      </c>
      <c r="AI660" s="1274">
        <v>43769</v>
      </c>
      <c r="AJ660" s="630">
        <f>AK660</f>
        <v>43861</v>
      </c>
      <c r="AK660" s="1449">
        <v>43861</v>
      </c>
      <c r="AL660" s="1274">
        <v>43921</v>
      </c>
      <c r="AM660" s="1274">
        <v>44012</v>
      </c>
      <c r="AN660" s="1274">
        <v>44104</v>
      </c>
      <c r="AO660" s="630">
        <f>AP660</f>
        <v>44227</v>
      </c>
      <c r="AP660" s="1449">
        <v>44227</v>
      </c>
      <c r="AQ660" s="1274">
        <v>44286</v>
      </c>
      <c r="AR660" s="1274">
        <v>44377</v>
      </c>
      <c r="AS660" s="1274">
        <v>44469</v>
      </c>
      <c r="AT660" s="630">
        <f>AU660</f>
        <v>44592</v>
      </c>
      <c r="AU660" s="1449">
        <v>44592</v>
      </c>
      <c r="AV660" s="1274">
        <v>44651</v>
      </c>
      <c r="AW660" s="1274">
        <v>44742</v>
      </c>
      <c r="AX660" s="1274">
        <v>44834</v>
      </c>
      <c r="AY660" s="630">
        <f>AZ660</f>
        <v>44957</v>
      </c>
      <c r="AZ660" s="1449">
        <v>44957</v>
      </c>
      <c r="BA660" s="1274">
        <v>45016</v>
      </c>
      <c r="BB660" s="1274">
        <v>45107</v>
      </c>
      <c r="BC660" s="1274">
        <v>45199</v>
      </c>
      <c r="BD660" s="630">
        <f>BE660</f>
        <v>45322</v>
      </c>
      <c r="BE660" s="1449">
        <v>45322</v>
      </c>
      <c r="BF660" s="1274">
        <v>45382</v>
      </c>
      <c r="BG660" s="1274">
        <v>45473</v>
      </c>
      <c r="BH660" s="1275">
        <v>45568</v>
      </c>
      <c r="BI660" s="631"/>
      <c r="BJ660" s="1450"/>
      <c r="BK660" s="631"/>
      <c r="BL660" s="631"/>
      <c r="BM660" s="631"/>
      <c r="BN660" s="631"/>
      <c r="BO660" s="1450"/>
      <c r="BP660" s="1451"/>
      <c r="BQ660" s="1451"/>
      <c r="BR660" s="1450"/>
      <c r="BS660" s="648"/>
    </row>
    <row r="661" spans="1:71" s="665" customFormat="1" ht="15" customHeight="1" hidden="1" outlineLevel="1">
      <c r="A661" s="722"/>
      <c r="B661" s="545"/>
      <c r="C661" s="1451"/>
      <c r="D661" s="1451"/>
      <c r="E661" s="1451"/>
      <c r="F661" s="1451"/>
      <c r="G661" s="1451"/>
      <c r="H661" s="630"/>
      <c r="I661" s="630"/>
      <c r="J661" s="630"/>
      <c r="K661" s="630"/>
      <c r="L661" s="1451"/>
      <c r="M661" s="630"/>
      <c r="N661" s="630"/>
      <c r="O661" s="630"/>
      <c r="P661" s="630"/>
      <c r="Q661" s="1451"/>
      <c r="R661" s="630"/>
      <c r="S661" s="630"/>
      <c r="T661" s="630"/>
      <c r="U661" s="630"/>
      <c r="V661" s="1451"/>
      <c r="W661" s="630"/>
      <c r="X661" s="630"/>
      <c r="Y661" s="630"/>
      <c r="Z661" s="630"/>
      <c r="AA661" s="1451"/>
      <c r="AB661" s="630"/>
      <c r="AC661" s="630"/>
      <c r="AD661" s="630"/>
      <c r="AE661" s="630"/>
      <c r="AF661" s="1451"/>
      <c r="AG661" s="630"/>
      <c r="AH661" s="630"/>
      <c r="AI661" s="630"/>
      <c r="AJ661" s="630"/>
      <c r="AK661" s="1451"/>
      <c r="AL661" s="630"/>
      <c r="AM661" s="630"/>
      <c r="AN661" s="630"/>
      <c r="AO661" s="630"/>
      <c r="AP661" s="1451"/>
      <c r="AQ661" s="630"/>
      <c r="AR661" s="630"/>
      <c r="AS661" s="630"/>
      <c r="AT661" s="630"/>
      <c r="AU661" s="1451"/>
      <c r="AV661" s="630"/>
      <c r="AW661" s="630"/>
      <c r="AX661" s="630"/>
      <c r="AY661" s="630"/>
      <c r="AZ661" s="1451"/>
      <c r="BA661" s="630"/>
      <c r="BB661" s="630"/>
      <c r="BC661" s="630"/>
      <c r="BD661" s="630"/>
      <c r="BE661" s="1451"/>
      <c r="BF661" s="630"/>
      <c r="BG661" s="630"/>
      <c r="BH661" s="835"/>
      <c r="BI661" s="630"/>
      <c r="BJ661" s="1451"/>
      <c r="BK661" s="630"/>
      <c r="BL661" s="630"/>
      <c r="BM661" s="630"/>
      <c r="BN661" s="630"/>
      <c r="BO661" s="1451"/>
      <c r="BP661" s="1451"/>
      <c r="BQ661" s="1451"/>
      <c r="BR661" s="1451"/>
      <c r="BS661" s="648"/>
    </row>
    <row r="662" spans="1:71" s="665" customFormat="1" ht="15" customHeight="1" hidden="1" outlineLevel="1">
      <c r="A662" s="722" t="s">
        <v>740</v>
      </c>
      <c r="B662" s="545"/>
      <c r="C662" s="1351">
        <f>C647-C646</f>
        <v>5.4000000000000909</v>
      </c>
      <c r="D662" s="1351">
        <f t="shared" si="1339" ref="D662:K662">IF(D633&gt;0,(D647-D646),C662)</f>
        <v>5.3999999999999773</v>
      </c>
      <c r="E662" s="1351">
        <f t="shared" si="1339"/>
        <v>4.6000000000000227</v>
      </c>
      <c r="F662" s="1351">
        <f t="shared" si="1339"/>
        <v>4.50</v>
      </c>
      <c r="G662" s="1351">
        <f t="shared" si="1339"/>
        <v>4.50</v>
      </c>
      <c r="H662" s="1047">
        <f t="shared" si="1339"/>
        <v>3.8000000000000682</v>
      </c>
      <c r="I662" s="1047">
        <f t="shared" si="1339"/>
        <v>4.2999999999999545</v>
      </c>
      <c r="J662" s="1047">
        <f t="shared" si="1339"/>
        <v>3.9000000000000909</v>
      </c>
      <c r="K662" s="1047">
        <f t="shared" si="1339"/>
        <v>4.6000000000000227</v>
      </c>
      <c r="L662" s="1351">
        <f>K662</f>
        <v>4.6000000000000227</v>
      </c>
      <c r="M662" s="1047">
        <f>IF(M633&gt;0,(M647-M646),L662)</f>
        <v>3.3999999999999773</v>
      </c>
      <c r="N662" s="1047">
        <f>IF(N633&gt;0,(N647-N646),M662)</f>
        <v>3.7999999999999545</v>
      </c>
      <c r="O662" s="1047">
        <f>IF(O633&gt;0,(O647-O646),N662)</f>
        <v>3.8999999999999773</v>
      </c>
      <c r="P662" s="1047">
        <f>IF(P633&gt;0,(P647-P646),O662)</f>
        <v>3.7000000000000455</v>
      </c>
      <c r="Q662" s="1351">
        <f>P662</f>
        <v>3.7000000000000455</v>
      </c>
      <c r="R662" s="1047">
        <f>IF(R633&gt;0,(R647-R646),Q662)</f>
        <v>2.2999999999999545</v>
      </c>
      <c r="S662" s="1047">
        <f>IF(S633&gt;0,(S647-S646),R662)</f>
        <v>2.7000000000000455</v>
      </c>
      <c r="T662" s="1047">
        <f>IF(T633&gt;0,(T647-T646),S662)</f>
        <v>3.1000000000000227</v>
      </c>
      <c r="U662" s="1047">
        <f>IF(U633&gt;0,(U647-U646),T662)</f>
        <v>3.3999999999999773</v>
      </c>
      <c r="V662" s="1351">
        <f>U662</f>
        <v>3.3999999999999773</v>
      </c>
      <c r="W662" s="1047">
        <f>IF(W633&gt;0,(W647-W646),V662)</f>
        <v>3</v>
      </c>
      <c r="X662" s="1047">
        <f>IF(X633&gt;0,(X647-X646),W662)</f>
        <v>3.2999999999999545</v>
      </c>
      <c r="Y662" s="1047">
        <f>IF(Y633&gt;0,(Y647-Y646),X662)</f>
        <v>4.3000000000000682</v>
      </c>
      <c r="Z662" s="1047">
        <f>IF(Z633&gt;0,(Z647-Z646),Y662)</f>
        <v>4.6000000000000227</v>
      </c>
      <c r="AA662" s="1351">
        <f>Z662</f>
        <v>4.6000000000000227</v>
      </c>
      <c r="AB662" s="1047">
        <f>IF(AB633&gt;0,(AB647-AB646),AA662)</f>
        <v>3.6000000000000227</v>
      </c>
      <c r="AC662" s="1047">
        <f>IF(AC633&gt;0,(AC647-AC646),AB662)</f>
        <v>3.7999999999999545</v>
      </c>
      <c r="AD662" s="1047">
        <f>IF(AD633&gt;0,(AD647-AD646),AC662)</f>
        <v>3.8999999999999773</v>
      </c>
      <c r="AE662" s="1047">
        <f>IF(AE633&gt;0,(AE647-AE646),AD662)</f>
        <v>3.8999999999999773</v>
      </c>
      <c r="AF662" s="1351">
        <f>AE662</f>
        <v>3.8999999999999773</v>
      </c>
      <c r="AG662" s="1047">
        <f>IF(AG633&gt;0,(AG647-AG646),AF662)</f>
        <v>3.1000000000000227</v>
      </c>
      <c r="AH662" s="1047">
        <f>IF(AH633&gt;0,(AH647-AH646),AG662)</f>
        <v>3.2999999999999545</v>
      </c>
      <c r="AI662" s="1047">
        <f>IF(AI633&gt;0,(AI647-AI646),AH662)</f>
        <v>3</v>
      </c>
      <c r="AJ662" s="1047">
        <f>IF(AJ633&gt;0,(AJ647-AJ646),AI662)</f>
        <v>2.7999999999999545</v>
      </c>
      <c r="AK662" s="1351">
        <f>AJ662</f>
        <v>2.7999999999999545</v>
      </c>
      <c r="AL662" s="1047">
        <f>IF(AL633&gt;0,(AL647-AL646),AK662)</f>
        <v>2.1999999999999318</v>
      </c>
      <c r="AM662" s="1047">
        <f>IF(AM633&gt;0,(AM647-AM646),AL662)</f>
        <v>2.4000000000000909</v>
      </c>
      <c r="AN662" s="1047">
        <f>IF(AN633&gt;0,(AN647-AN646),AM662)</f>
        <v>3.8000000000004093</v>
      </c>
      <c r="AO662" s="1047">
        <f>IF(AO633&gt;0,(AO647-AO646),AN662)</f>
        <v>2.6999999999999318</v>
      </c>
      <c r="AP662" s="1351">
        <f>AO662</f>
        <v>2.6999999999999318</v>
      </c>
      <c r="AQ662" s="1047">
        <f>IF(AQ633&gt;0,(AQ647-AQ646),AP662)</f>
        <v>2</v>
      </c>
      <c r="AR662" s="1047">
        <f>IF(AR633&gt;0,(AR647-AR646),AQ662)</f>
        <v>2.0999999999999091</v>
      </c>
      <c r="AS662" s="1047">
        <f>IF(AS633&gt;0,(AS647-AS646),AR662)</f>
        <v>2.3999999999999773</v>
      </c>
      <c r="AT662" s="1047">
        <f>IF(AT633&gt;0,(AT647-AT646),AS662)</f>
        <v>2.6000000000001364</v>
      </c>
      <c r="AU662" s="1351">
        <f>AT662</f>
        <v>2.6000000000001364</v>
      </c>
      <c r="AV662" s="1047">
        <f>IF(AV633&gt;0,(AV647-AV646),AU662)</f>
        <v>1.9000000000000909</v>
      </c>
      <c r="AW662" s="1047">
        <f>IF(AW633&gt;0,(AW647-AW646),AV662)</f>
        <v>1.9000000000000909</v>
      </c>
      <c r="AX662" s="1047">
        <f>IF(AX633&gt;0,(AX647-AX646),AW662)</f>
        <v>2.6000000000000227</v>
      </c>
      <c r="AY662" s="1047">
        <f>IF(AY633&gt;0,(AY647-AY646),AX662)</f>
        <v>2.6000000000000227</v>
      </c>
      <c r="AZ662" s="1351">
        <f>AY662</f>
        <v>2.6000000000000227</v>
      </c>
      <c r="BA662" s="1047">
        <f>IF(BA633&gt;0,(BA647-BA646),AZ662)</f>
        <v>2.1000000000000227</v>
      </c>
      <c r="BB662" s="1047">
        <f>IF(BB633&gt;0,(BB647-BB646),BA662)</f>
        <v>2.2000000000000455</v>
      </c>
      <c r="BC662" s="1047">
        <f>IF(BC633&gt;0,(BC647-BC646),BB662)</f>
        <v>2.7000000000000455</v>
      </c>
      <c r="BD662" s="1047">
        <f>IF(BD633&gt;0,(BD647-BD646),BC662)</f>
        <v>2.5000000000002274</v>
      </c>
      <c r="BE662" s="1351">
        <f>BD662</f>
        <v>2.5000000000002274</v>
      </c>
      <c r="BF662" s="1047">
        <f>IF(BF633&gt;0,(BF647-BF646),BE662)</f>
        <v>1.8999999999999773</v>
      </c>
      <c r="BG662" s="1047">
        <f>IF(BG633&gt;0,(BG647-BG646),BF662)</f>
        <v>2</v>
      </c>
      <c r="BH662" s="1043">
        <f>IF(BH633&gt;0,(BH647-BH646),BG662)</f>
        <v>2</v>
      </c>
      <c r="BI662" s="1047">
        <f ca="1">BI651*BI663-BI651</f>
        <v>2.9289999999999736</v>
      </c>
      <c r="BJ662" s="1351">
        <f ca="1">BI662</f>
        <v>2.9289999999999736</v>
      </c>
      <c r="BK662" s="1047">
        <f ca="1">BK651*BK663-BK651</f>
        <v>2.9289999999999736</v>
      </c>
      <c r="BL662" s="1047">
        <f ca="1">BL651*BL663-BL651</f>
        <v>2.9289999999999736</v>
      </c>
      <c r="BM662" s="1047">
        <f ca="1">BM651*BM663-BM651</f>
        <v>2.9289999999999736</v>
      </c>
      <c r="BN662" s="1047">
        <f ca="1">BN651*BN663-BN651</f>
        <v>2.9289999999999736</v>
      </c>
      <c r="BO662" s="1351">
        <f ca="1">BN662</f>
        <v>2.9289999999999736</v>
      </c>
      <c r="BP662" s="1351">
        <f ca="1">BP651*BP663-BP651</f>
        <v>2.9289999999999736</v>
      </c>
      <c r="BQ662" s="1351">
        <f ca="1">BQ651*BQ663-BQ651</f>
        <v>2.9289999999999736</v>
      </c>
      <c r="BR662" s="1351">
        <f ca="1">BR651*BR663-BR651</f>
        <v>2.9289999999999736</v>
      </c>
      <c r="BS662" s="648"/>
    </row>
    <row r="663" spans="1:71" s="665" customFormat="1" ht="15" customHeight="1" hidden="1" outlineLevel="1">
      <c r="A663" s="735" t="s">
        <v>735</v>
      </c>
      <c r="B663" s="723"/>
      <c r="C663" s="1452">
        <f t="shared" si="1340" ref="C663:AH663">(C662+C651)/C651</f>
        <v>1.0080285459411242</v>
      </c>
      <c r="D663" s="1452">
        <f t="shared" si="1340"/>
        <v>1.0081521739130435</v>
      </c>
      <c r="E663" s="1452">
        <f t="shared" si="1340"/>
        <v>1.0075040783034259</v>
      </c>
      <c r="F663" s="1452">
        <f t="shared" si="1340"/>
        <v>1.0074429374793252</v>
      </c>
      <c r="G663" s="1452">
        <f t="shared" si="1340"/>
        <v>1.0075528700906344</v>
      </c>
      <c r="H663" s="737">
        <f t="shared" si="1340"/>
        <v>1.0064070139942676</v>
      </c>
      <c r="I663" s="737">
        <f t="shared" si="1340"/>
        <v>1.0072696534234995</v>
      </c>
      <c r="J663" s="737">
        <f t="shared" si="1340"/>
        <v>1.0066191446028514</v>
      </c>
      <c r="K663" s="737">
        <f t="shared" si="1340"/>
        <v>1.0078257910854032</v>
      </c>
      <c r="L663" s="1452">
        <f t="shared" si="1340"/>
        <v>1.0078257910854032</v>
      </c>
      <c r="M663" s="737">
        <f t="shared" si="1340"/>
        <v>1.0057892048356887</v>
      </c>
      <c r="N663" s="737">
        <f t="shared" si="1340"/>
        <v>1.0064857484212322</v>
      </c>
      <c r="O663" s="737">
        <f t="shared" si="1340"/>
        <v>1.0066712281902155</v>
      </c>
      <c r="P663" s="737">
        <f t="shared" si="1340"/>
        <v>1.0063399588759425</v>
      </c>
      <c r="Q663" s="1452">
        <f t="shared" si="1340"/>
        <v>1.0063399588759425</v>
      </c>
      <c r="R663" s="737">
        <f t="shared" si="1340"/>
        <v>1.0039451114922813</v>
      </c>
      <c r="S663" s="737">
        <f t="shared" si="1340"/>
        <v>1.0046399725038668</v>
      </c>
      <c r="T663" s="737">
        <f t="shared" si="1340"/>
        <v>1.0053374655647382</v>
      </c>
      <c r="U663" s="737">
        <f t="shared" si="1340"/>
        <v>1.0058630798413519</v>
      </c>
      <c r="V663" s="1452">
        <f t="shared" si="1340"/>
        <v>1.0058630798413519</v>
      </c>
      <c r="W663" s="737">
        <f t="shared" si="1340"/>
        <v>1.0051644000688587</v>
      </c>
      <c r="X663" s="737">
        <f t="shared" si="1340"/>
        <v>1.0056798623063683</v>
      </c>
      <c r="Y663" s="737">
        <f t="shared" si="1340"/>
        <v>1.0073933975240716</v>
      </c>
      <c r="Z663" s="737">
        <f t="shared" si="1340"/>
        <v>1.0079078562833075</v>
      </c>
      <c r="AA663" s="1452">
        <f t="shared" si="1340"/>
        <v>1.0079078562833075</v>
      </c>
      <c r="AB663" s="737">
        <f t="shared" si="1340"/>
        <v>1.0061813186813187</v>
      </c>
      <c r="AC663" s="737">
        <f t="shared" si="1340"/>
        <v>1.0065236051502144</v>
      </c>
      <c r="AD663" s="737">
        <f t="shared" si="1340"/>
        <v>1.0066883896415708</v>
      </c>
      <c r="AE663" s="737">
        <f t="shared" si="1340"/>
        <v>1.006687242798354</v>
      </c>
      <c r="AF663" s="1452">
        <f t="shared" si="1340"/>
        <v>1.006687242798354</v>
      </c>
      <c r="AG663" s="737">
        <f t="shared" si="1340"/>
        <v>1.0053228021978022</v>
      </c>
      <c r="AH663" s="737">
        <f t="shared" si="1340"/>
        <v>1.0056497175141241</v>
      </c>
      <c r="AI663" s="737">
        <f t="shared" si="1341" ref="AI663:BC663">(AI662+AI651)/AI651</f>
        <v>1.0051317139924736</v>
      </c>
      <c r="AJ663" s="737">
        <f t="shared" si="1341"/>
        <v>1.0047895997263085</v>
      </c>
      <c r="AK663" s="1452">
        <f t="shared" si="1341"/>
        <v>1.0047895997263085</v>
      </c>
      <c r="AL663" s="737">
        <f t="shared" si="1341"/>
        <v>1.0037587561934049</v>
      </c>
      <c r="AM663" s="737">
        <f t="shared" si="1341"/>
        <v>1.0040997608472841</v>
      </c>
      <c r="AN663" s="737">
        <f t="shared" si="1341"/>
        <v>1.0064890710382521</v>
      </c>
      <c r="AO663" s="737">
        <f t="shared" si="1341"/>
        <v>1.0046138072453861</v>
      </c>
      <c r="AP663" s="1452">
        <f t="shared" si="1341"/>
        <v>1.0046138072453861</v>
      </c>
      <c r="AQ663" s="737">
        <f t="shared" si="1341"/>
        <v>1.0034176349965824</v>
      </c>
      <c r="AR663" s="737">
        <f t="shared" si="1341"/>
        <v>1.0035885167464114</v>
      </c>
      <c r="AS663" s="737">
        <f t="shared" si="1341"/>
        <v>1.004102564102564</v>
      </c>
      <c r="AT663" s="737">
        <f t="shared" si="1341"/>
        <v>1.0044490075290899</v>
      </c>
      <c r="AU663" s="1452">
        <f t="shared" si="1341"/>
        <v>1.0044490075290899</v>
      </c>
      <c r="AV663" s="737">
        <f t="shared" si="1341"/>
        <v>1.0032484185330828</v>
      </c>
      <c r="AW663" s="737">
        <f t="shared" si="1341"/>
        <v>1.0032484185330828</v>
      </c>
      <c r="AX663" s="737">
        <f t="shared" si="1341"/>
        <v>1.0044436848401983</v>
      </c>
      <c r="AY663" s="737">
        <f t="shared" si="1341"/>
        <v>1.0044452043084289</v>
      </c>
      <c r="AZ663" s="1452">
        <f t="shared" si="1341"/>
        <v>1.0044452043084289</v>
      </c>
      <c r="BA663" s="737">
        <f t="shared" si="1341"/>
        <v>1.0035872907413734</v>
      </c>
      <c r="BB663" s="737">
        <f t="shared" si="1341"/>
        <v>1.0037587561934052</v>
      </c>
      <c r="BC663" s="737">
        <f t="shared" si="1341"/>
        <v>1.0046153846153847</v>
      </c>
      <c r="BD663" s="737">
        <f t="shared" si="1342" ref="BD663:BG663">(BD662+BD651)/BD651</f>
        <v>1.0042713138561425</v>
      </c>
      <c r="BE663" s="1452">
        <f t="shared" si="1342"/>
        <v>1.0042713138561425</v>
      </c>
      <c r="BF663" s="737">
        <f t="shared" si="1342"/>
        <v>1.0032439815605259</v>
      </c>
      <c r="BG663" s="737">
        <f t="shared" si="1342"/>
        <v>1.0034147174321324</v>
      </c>
      <c r="BH663" s="982">
        <f t="shared" si="1343" ref="BH663">(BH662+BH651)/BH651</f>
        <v>1.0034141345168999</v>
      </c>
      <c r="BI663" s="1276">
        <v>1.0049999999999999</v>
      </c>
      <c r="BJ663" s="1452">
        <f ca="1">(BJ662+BJ651)/BJ651</f>
        <v>1.0049999999999999</v>
      </c>
      <c r="BK663" s="1276">
        <v>1.0049999999999999</v>
      </c>
      <c r="BL663" s="1276">
        <v>1.0049999999999999</v>
      </c>
      <c r="BM663" s="1276">
        <v>1.0049999999999999</v>
      </c>
      <c r="BN663" s="1276">
        <v>1.0049999999999999</v>
      </c>
      <c r="BO663" s="1452">
        <f ca="1">(BO662+BO651)/BO651</f>
        <v>1.0049999999999999</v>
      </c>
      <c r="BP663" s="1453">
        <v>1.0049999999999999</v>
      </c>
      <c r="BQ663" s="1453">
        <v>1.0049999999999999</v>
      </c>
      <c r="BR663" s="1453">
        <v>1.0049999999999999</v>
      </c>
      <c r="BS663" s="648"/>
    </row>
    <row r="664" spans="1:71" s="665" customFormat="1" ht="15" customHeight="1" hidden="1" outlineLevel="1">
      <c r="A664" s="722"/>
      <c r="B664" s="545"/>
      <c r="C664" s="1451"/>
      <c r="D664" s="1451"/>
      <c r="E664" s="1451"/>
      <c r="F664" s="1451"/>
      <c r="G664" s="1451"/>
      <c r="H664" s="630"/>
      <c r="I664" s="630"/>
      <c r="J664" s="630"/>
      <c r="K664" s="630"/>
      <c r="L664" s="1451"/>
      <c r="M664" s="630"/>
      <c r="N664" s="630"/>
      <c r="O664" s="630"/>
      <c r="P664" s="630"/>
      <c r="Q664" s="1451"/>
      <c r="R664" s="630"/>
      <c r="S664" s="630"/>
      <c r="T664" s="630"/>
      <c r="U664" s="630"/>
      <c r="V664" s="1451"/>
      <c r="W664" s="630"/>
      <c r="X664" s="630"/>
      <c r="Y664" s="630"/>
      <c r="Z664" s="630"/>
      <c r="AA664" s="1451"/>
      <c r="AB664" s="630"/>
      <c r="AC664" s="630"/>
      <c r="AD664" s="630"/>
      <c r="AE664" s="630"/>
      <c r="AF664" s="1451"/>
      <c r="AG664" s="630"/>
      <c r="AH664" s="630"/>
      <c r="AI664" s="630"/>
      <c r="AJ664" s="630"/>
      <c r="AK664" s="1451"/>
      <c r="AL664" s="630"/>
      <c r="AM664" s="630"/>
      <c r="AN664" s="630"/>
      <c r="AO664" s="630"/>
      <c r="AP664" s="1451"/>
      <c r="AQ664" s="630"/>
      <c r="AR664" s="630"/>
      <c r="AS664" s="630"/>
      <c r="AT664" s="630"/>
      <c r="AU664" s="1451"/>
      <c r="AV664" s="630"/>
      <c r="AW664" s="630"/>
      <c r="AX664" s="630"/>
      <c r="AY664" s="630"/>
      <c r="AZ664" s="1451"/>
      <c r="BA664" s="630"/>
      <c r="BB664" s="630"/>
      <c r="BC664" s="630"/>
      <c r="BD664" s="630"/>
      <c r="BE664" s="1451"/>
      <c r="BF664" s="630"/>
      <c r="BG664" s="630"/>
      <c r="BH664" s="835"/>
      <c r="BI664" s="630"/>
      <c r="BJ664" s="1451"/>
      <c r="BK664" s="630"/>
      <c r="BL664" s="630"/>
      <c r="BM664" s="630"/>
      <c r="BN664" s="630"/>
      <c r="BO664" s="1451"/>
      <c r="BP664" s="1451"/>
      <c r="BQ664" s="1451"/>
      <c r="BR664" s="1451"/>
      <c r="BS664" s="648"/>
    </row>
    <row r="665" spans="1:71" s="665" customFormat="1" ht="15" customHeight="1" hidden="1" outlineLevel="1">
      <c r="A665" s="722" t="s">
        <v>741</v>
      </c>
      <c r="B665" s="545"/>
      <c r="C665" s="1351">
        <f t="shared" si="1344" ref="C665:AH665">C651+C662</f>
        <v>678.00000000000011</v>
      </c>
      <c r="D665" s="1351">
        <f t="shared" si="1344"/>
        <v>667.80</v>
      </c>
      <c r="E665" s="1351">
        <f t="shared" si="1344"/>
        <v>617.60</v>
      </c>
      <c r="F665" s="1351">
        <f t="shared" si="1344"/>
        <v>609.10</v>
      </c>
      <c r="G665" s="1351">
        <f t="shared" si="1344"/>
        <v>600.29999999999995</v>
      </c>
      <c r="H665" s="1047">
        <f t="shared" si="1344"/>
        <v>596.90000000000009</v>
      </c>
      <c r="I665" s="1047">
        <f t="shared" si="1344"/>
        <v>595.79999999999995</v>
      </c>
      <c r="J665" s="1047">
        <f t="shared" si="1344"/>
        <v>593.10000000000014</v>
      </c>
      <c r="K665" s="1047">
        <f t="shared" si="1344"/>
        <v>592.40</v>
      </c>
      <c r="L665" s="1351">
        <f t="shared" si="1344"/>
        <v>592.40</v>
      </c>
      <c r="M665" s="1047">
        <f t="shared" si="1344"/>
        <v>590.69999999999993</v>
      </c>
      <c r="N665" s="1047">
        <f t="shared" si="1344"/>
        <v>589.69999999999993</v>
      </c>
      <c r="O665" s="1047">
        <f t="shared" si="1344"/>
        <v>588.50</v>
      </c>
      <c r="P665" s="1047">
        <f t="shared" si="1344"/>
        <v>587.30000000000007</v>
      </c>
      <c r="Q665" s="1351">
        <f t="shared" si="1344"/>
        <v>587.30000000000007</v>
      </c>
      <c r="R665" s="1047">
        <f t="shared" si="1344"/>
        <v>585.29999999999995</v>
      </c>
      <c r="S665" s="1047">
        <f t="shared" si="1344"/>
        <v>584.60</v>
      </c>
      <c r="T665" s="1047">
        <f t="shared" si="1344"/>
        <v>583.90</v>
      </c>
      <c r="U665" s="1047">
        <f t="shared" si="1344"/>
        <v>583.29999999999995</v>
      </c>
      <c r="V665" s="1351">
        <f t="shared" si="1344"/>
        <v>583.29999999999995</v>
      </c>
      <c r="W665" s="1047">
        <f t="shared" si="1344"/>
        <v>583.90</v>
      </c>
      <c r="X665" s="1047">
        <f t="shared" si="1344"/>
        <v>584.29999999999995</v>
      </c>
      <c r="Y665" s="1047">
        <f t="shared" si="1344"/>
        <v>585.90000000000009</v>
      </c>
      <c r="Z665" s="1047">
        <f t="shared" si="1344"/>
        <v>586.30000000000007</v>
      </c>
      <c r="AA665" s="1351">
        <f t="shared" si="1344"/>
        <v>586.30000000000007</v>
      </c>
      <c r="AB665" s="1047">
        <f t="shared" si="1344"/>
        <v>586</v>
      </c>
      <c r="AC665" s="1047">
        <f t="shared" si="1344"/>
        <v>586.29999999999995</v>
      </c>
      <c r="AD665" s="1047">
        <f t="shared" si="1344"/>
        <v>587</v>
      </c>
      <c r="AE665" s="1047">
        <f t="shared" si="1344"/>
        <v>587.10</v>
      </c>
      <c r="AF665" s="1351">
        <f t="shared" si="1344"/>
        <v>587.10</v>
      </c>
      <c r="AG665" s="1047">
        <f t="shared" si="1344"/>
        <v>585.50</v>
      </c>
      <c r="AH665" s="1047">
        <f t="shared" si="1344"/>
        <v>587.40</v>
      </c>
      <c r="AI665" s="1047">
        <f t="shared" si="1345" ref="AI665:BJ665">AI651+AI662</f>
        <v>587.60</v>
      </c>
      <c r="AJ665" s="1047">
        <f t="shared" si="1345"/>
        <v>587.40</v>
      </c>
      <c r="AK665" s="1351">
        <f t="shared" si="1345"/>
        <v>587.40</v>
      </c>
      <c r="AL665" s="1047">
        <f t="shared" si="1345"/>
        <v>587.49999999999989</v>
      </c>
      <c r="AM665" s="1047">
        <f t="shared" si="1345"/>
        <v>587.80000000000007</v>
      </c>
      <c r="AN665" s="1047">
        <f t="shared" si="1345"/>
        <v>589.40000000000043</v>
      </c>
      <c r="AO665" s="1047">
        <f t="shared" si="1345"/>
        <v>587.90</v>
      </c>
      <c r="AP665" s="1351">
        <f t="shared" si="1345"/>
        <v>587.90</v>
      </c>
      <c r="AQ665" s="1047">
        <f t="shared" si="1345"/>
        <v>587.20000000000005</v>
      </c>
      <c r="AR665" s="1047">
        <f t="shared" si="1345"/>
        <v>587.29999999999995</v>
      </c>
      <c r="AS665" s="1047">
        <f t="shared" si="1345"/>
        <v>587.40</v>
      </c>
      <c r="AT665" s="1047">
        <f t="shared" si="1345"/>
        <v>587.00000000000011</v>
      </c>
      <c r="AU665" s="1351">
        <f t="shared" si="1345"/>
        <v>587.00000000000011</v>
      </c>
      <c r="AV665" s="1047">
        <f t="shared" si="1345"/>
        <v>586.80000000000007</v>
      </c>
      <c r="AW665" s="1047">
        <f t="shared" si="1345"/>
        <v>586.80000000000007</v>
      </c>
      <c r="AX665" s="1047">
        <f t="shared" si="1345"/>
        <v>587.70000000000005</v>
      </c>
      <c r="AY665" s="1047">
        <f t="shared" si="1345"/>
        <v>587.50</v>
      </c>
      <c r="AZ665" s="1351">
        <f t="shared" si="1345"/>
        <v>587.50</v>
      </c>
      <c r="BA665" s="1047">
        <f t="shared" si="1345"/>
        <v>587.50</v>
      </c>
      <c r="BB665" s="1047">
        <f t="shared" si="1345"/>
        <v>587.50</v>
      </c>
      <c r="BC665" s="1047">
        <f t="shared" si="1345"/>
        <v>587.70000000000005</v>
      </c>
      <c r="BD665" s="1042">
        <f t="shared" si="1346" ref="BD665:BE665">BD651+BD662</f>
        <v>587.80000000000018</v>
      </c>
      <c r="BE665" s="1349">
        <f t="shared" si="1346"/>
        <v>587.80000000000018</v>
      </c>
      <c r="BF665" s="1047">
        <f>BF651+BF662</f>
        <v>587.60</v>
      </c>
      <c r="BG665" s="1047">
        <f>BG651+BG662</f>
        <v>587.70000000000005</v>
      </c>
      <c r="BH665" s="1048">
        <f>BH651+BH662</f>
        <v>587.79999999999995</v>
      </c>
      <c r="BI665" s="1047">
        <f ca="1">BI651+BI662</f>
        <v>588.72899999999993</v>
      </c>
      <c r="BJ665" s="1351">
        <f t="shared" ca="1" si="1345"/>
        <v>588.72899999999993</v>
      </c>
      <c r="BK665" s="1047">
        <f ca="1" t="shared" si="1347" ref="BK665:BR665">BK651+BK662</f>
        <v>588.72899999999993</v>
      </c>
      <c r="BL665" s="1047">
        <f t="shared" ca="1" si="1347"/>
        <v>588.72899999999993</v>
      </c>
      <c r="BM665" s="1047">
        <f t="shared" ca="1" si="1347"/>
        <v>588.72899999999993</v>
      </c>
      <c r="BN665" s="1047">
        <f t="shared" ca="1" si="1347"/>
        <v>588.72899999999993</v>
      </c>
      <c r="BO665" s="1351">
        <f t="shared" ca="1" si="1347"/>
        <v>588.72899999999993</v>
      </c>
      <c r="BP665" s="1351">
        <f t="shared" ca="1" si="1347"/>
        <v>588.72899999999993</v>
      </c>
      <c r="BQ665" s="1351">
        <f t="shared" ca="1" si="1347"/>
        <v>588.72899999999993</v>
      </c>
      <c r="BR665" s="1351">
        <f t="shared" ca="1" si="1347"/>
        <v>588.72899999999993</v>
      </c>
      <c r="BS665" s="648"/>
    </row>
    <row r="666" spans="1:71" s="665" customFormat="1" ht="15" customHeight="1" collapsed="1">
      <c r="A666" s="905"/>
      <c r="B666" s="321"/>
      <c r="C666" s="1351"/>
      <c r="D666" s="1351"/>
      <c r="E666" s="1351"/>
      <c r="F666" s="1351"/>
      <c r="G666" s="1351"/>
      <c r="H666" s="1047"/>
      <c r="I666" s="1047"/>
      <c r="J666" s="1047"/>
      <c r="K666" s="1047"/>
      <c r="L666" s="1351"/>
      <c r="M666" s="1047"/>
      <c r="N666" s="1047"/>
      <c r="O666" s="1047"/>
      <c r="P666" s="1047"/>
      <c r="Q666" s="1351"/>
      <c r="R666" s="1047"/>
      <c r="S666" s="1047"/>
      <c r="T666" s="1047"/>
      <c r="U666" s="1047"/>
      <c r="V666" s="1351"/>
      <c r="W666" s="1047"/>
      <c r="X666" s="1047"/>
      <c r="Y666" s="1047"/>
      <c r="Z666" s="1047"/>
      <c r="AA666" s="1351"/>
      <c r="AB666" s="1047"/>
      <c r="AC666" s="1047"/>
      <c r="AD666" s="1047"/>
      <c r="AE666" s="1047"/>
      <c r="AF666" s="1351"/>
      <c r="AG666" s="1047"/>
      <c r="AH666" s="1047"/>
      <c r="AI666" s="1047"/>
      <c r="AJ666" s="1047"/>
      <c r="AK666" s="1351"/>
      <c r="AL666" s="1047"/>
      <c r="AM666" s="1047"/>
      <c r="AN666" s="1047"/>
      <c r="AO666" s="1047"/>
      <c r="AP666" s="1351"/>
      <c r="AQ666" s="1047"/>
      <c r="AR666" s="1047"/>
      <c r="AS666" s="1047"/>
      <c r="AT666" s="1047"/>
      <c r="AU666" s="1351"/>
      <c r="AV666" s="1047"/>
      <c r="AW666" s="1047"/>
      <c r="AX666" s="1047"/>
      <c r="AY666" s="1047"/>
      <c r="AZ666" s="1351"/>
      <c r="BA666" s="1047"/>
      <c r="BB666" s="1047"/>
      <c r="BC666" s="1047"/>
      <c r="BD666" s="1047"/>
      <c r="BE666" s="1351"/>
      <c r="BF666" s="1047"/>
      <c r="BG666" s="1047"/>
      <c r="BH666" s="1048"/>
      <c r="BI666" s="1044"/>
      <c r="BJ666" s="1350"/>
      <c r="BK666" s="1044"/>
      <c r="BL666" s="1044"/>
      <c r="BM666" s="1044"/>
      <c r="BN666" s="1044"/>
      <c r="BO666" s="1350"/>
      <c r="BP666" s="1351"/>
      <c r="BQ666" s="1351"/>
      <c r="BR666" s="1350"/>
      <c r="BS666" s="648"/>
    </row>
    <row r="667" spans="1:71" s="668" customFormat="1" ht="15">
      <c r="A667" s="991" t="s">
        <v>114</v>
      </c>
      <c r="B667" s="991"/>
      <c r="C667" s="1035"/>
      <c r="D667" s="1035"/>
      <c r="E667" s="1035"/>
      <c r="F667" s="1035"/>
      <c r="G667" s="1035"/>
      <c r="H667" s="1035"/>
      <c r="I667" s="1035"/>
      <c r="J667" s="1035"/>
      <c r="K667" s="1035"/>
      <c r="L667" s="1035"/>
      <c r="M667" s="1035"/>
      <c r="N667" s="1035"/>
      <c r="O667" s="1035"/>
      <c r="P667" s="1035"/>
      <c r="Q667" s="1035"/>
      <c r="R667" s="1035"/>
      <c r="S667" s="1035"/>
      <c r="T667" s="1035"/>
      <c r="U667" s="1035"/>
      <c r="V667" s="1035"/>
      <c r="W667" s="1035"/>
      <c r="X667" s="1035"/>
      <c r="Y667" s="1035"/>
      <c r="Z667" s="1035"/>
      <c r="AA667" s="1035"/>
      <c r="AB667" s="1035"/>
      <c r="AC667" s="1035"/>
      <c r="AD667" s="1035"/>
      <c r="AE667" s="1035"/>
      <c r="AF667" s="1035"/>
      <c r="AG667" s="1035"/>
      <c r="AH667" s="1035"/>
      <c r="AI667" s="1035"/>
      <c r="AJ667" s="1035"/>
      <c r="AK667" s="1035"/>
      <c r="AL667" s="1035"/>
      <c r="AM667" s="1035"/>
      <c r="AN667" s="1035"/>
      <c r="AO667" s="1035"/>
      <c r="AP667" s="1035"/>
      <c r="AQ667" s="1035"/>
      <c r="AR667" s="1035"/>
      <c r="AS667" s="1035"/>
      <c r="AT667" s="1035"/>
      <c r="AU667" s="1035"/>
      <c r="AV667" s="1035"/>
      <c r="AW667" s="1035"/>
      <c r="AX667" s="1035"/>
      <c r="AY667" s="1035"/>
      <c r="AZ667" s="1035"/>
      <c r="BA667" s="1035"/>
      <c r="BB667" s="1035"/>
      <c r="BC667" s="1035"/>
      <c r="BD667" s="1035"/>
      <c r="BE667" s="1035"/>
      <c r="BF667" s="1035"/>
      <c r="BG667" s="1035"/>
      <c r="BH667" s="1036"/>
      <c r="BI667" s="1037"/>
      <c r="BJ667" s="1037"/>
      <c r="BK667" s="1037"/>
      <c r="BL667" s="1037"/>
      <c r="BM667" s="1037"/>
      <c r="BN667" s="1037"/>
      <c r="BO667" s="1037"/>
      <c r="BP667" s="1035"/>
      <c r="BQ667" s="1035"/>
      <c r="BR667" s="1037"/>
      <c r="BS667" s="648"/>
    </row>
    <row r="668" spans="1:71" s="665" customFormat="1" ht="15">
      <c r="A668" s="26" t="s">
        <v>115</v>
      </c>
      <c r="B668" s="321"/>
      <c r="C668" s="1349">
        <f t="shared" si="1348" ref="C668:AN668">C851</f>
        <v>0</v>
      </c>
      <c r="D668" s="1349">
        <f t="shared" si="1348"/>
        <v>-763.70</v>
      </c>
      <c r="E668" s="1349">
        <f t="shared" si="1348"/>
        <v>-263.60000000000002</v>
      </c>
      <c r="F668" s="1349">
        <f t="shared" si="1348"/>
        <v>-853.70</v>
      </c>
      <c r="G668" s="1349">
        <f t="shared" si="1348"/>
        <v>-175.60</v>
      </c>
      <c r="H668" s="1042">
        <f t="shared" si="1348"/>
        <v>-892.60</v>
      </c>
      <c r="I668" s="1042">
        <f t="shared" si="1348"/>
        <v>0</v>
      </c>
      <c r="J668" s="1042">
        <f t="shared" si="1348"/>
        <v>0</v>
      </c>
      <c r="K668" s="1042">
        <f t="shared" si="1348"/>
        <v>0</v>
      </c>
      <c r="L668" s="1349">
        <f t="shared" si="1348"/>
        <v>-892.60</v>
      </c>
      <c r="M668" s="1042">
        <f t="shared" si="1348"/>
        <v>-403.60</v>
      </c>
      <c r="N668" s="1042">
        <f t="shared" si="1348"/>
        <v>0</v>
      </c>
      <c r="O668" s="1042">
        <f t="shared" si="1348"/>
        <v>0</v>
      </c>
      <c r="P668" s="1042">
        <f t="shared" si="1348"/>
        <v>0</v>
      </c>
      <c r="Q668" s="1349">
        <f t="shared" si="1348"/>
        <v>-403.60</v>
      </c>
      <c r="R668" s="1042">
        <f t="shared" si="1348"/>
        <v>-519</v>
      </c>
      <c r="S668" s="1042">
        <f t="shared" si="1348"/>
        <v>0</v>
      </c>
      <c r="T668" s="1042">
        <f t="shared" si="1348"/>
        <v>0</v>
      </c>
      <c r="U668" s="1042">
        <f t="shared" si="1348"/>
        <v>0</v>
      </c>
      <c r="V668" s="1349">
        <f t="shared" si="1348"/>
        <v>-519</v>
      </c>
      <c r="W668" s="1042">
        <f t="shared" si="1348"/>
        <v>-395.40</v>
      </c>
      <c r="X668" s="1042">
        <f t="shared" si="1348"/>
        <v>0</v>
      </c>
      <c r="Y668" s="1042">
        <f t="shared" si="1348"/>
        <v>0</v>
      </c>
      <c r="Z668" s="1042">
        <f t="shared" si="1348"/>
        <v>0</v>
      </c>
      <c r="AA668" s="1349">
        <f t="shared" si="1348"/>
        <v>-395.40</v>
      </c>
      <c r="AB668" s="1042">
        <f t="shared" si="1348"/>
        <v>-654.90</v>
      </c>
      <c r="AC668" s="1042">
        <f t="shared" si="1348"/>
        <v>0</v>
      </c>
      <c r="AD668" s="1042">
        <f t="shared" si="1348"/>
        <v>0</v>
      </c>
      <c r="AE668" s="1042">
        <f t="shared" si="1348"/>
        <v>0</v>
      </c>
      <c r="AF668" s="1349">
        <f t="shared" si="1348"/>
        <v>-654.90</v>
      </c>
      <c r="AG668" s="1042">
        <f t="shared" si="1348"/>
        <v>-1467.90</v>
      </c>
      <c r="AH668" s="1042">
        <f t="shared" si="1348"/>
        <v>-58.399999999999864</v>
      </c>
      <c r="AI668" s="1042">
        <f t="shared" si="1348"/>
        <v>-58.400000000000091</v>
      </c>
      <c r="AJ668" s="1042">
        <f t="shared" si="1348"/>
        <v>-58.50</v>
      </c>
      <c r="AK668" s="1349">
        <f t="shared" si="1348"/>
        <v>-1643.20</v>
      </c>
      <c r="AL668" s="1047">
        <f t="shared" si="1348"/>
        <v>-1375.40</v>
      </c>
      <c r="AM668" s="1047">
        <f t="shared" si="1348"/>
        <v>-58.50</v>
      </c>
      <c r="AN668" s="1047">
        <f t="shared" si="1348"/>
        <v>-58.50</v>
      </c>
      <c r="AO668" s="1042">
        <f>AO851</f>
        <v>-58.599999999999909</v>
      </c>
      <c r="AP668" s="1349">
        <f>AP851</f>
        <v>-1551</v>
      </c>
      <c r="AQ668" s="1042">
        <f>AQ851</f>
        <v>-2694.50</v>
      </c>
      <c r="AR668" s="1047">
        <f t="shared" si="1349" ref="AR668:AU668">AR851</f>
        <v>-58.50</v>
      </c>
      <c r="AS668" s="1047">
        <f t="shared" si="1349"/>
        <v>-58.50</v>
      </c>
      <c r="AT668" s="1047">
        <f t="shared" si="1349"/>
        <v>-935</v>
      </c>
      <c r="AU668" s="1351">
        <f t="shared" si="1349"/>
        <v>-3746.50</v>
      </c>
      <c r="AV668" s="1042">
        <f>AV851</f>
        <v>-58.50</v>
      </c>
      <c r="AW668" s="1047">
        <f t="shared" si="1350" ref="AW668:BH668">AW851</f>
        <v>-58.50</v>
      </c>
      <c r="AX668" s="1047">
        <f t="shared" si="1350"/>
        <v>-58.50</v>
      </c>
      <c r="AY668" s="1047">
        <f t="shared" si="1350"/>
        <v>-58.50</v>
      </c>
      <c r="AZ668" s="1351">
        <f t="shared" si="1350"/>
        <v>-234</v>
      </c>
      <c r="BA668" s="1047">
        <f>BA851</f>
        <v>-58.50</v>
      </c>
      <c r="BB668" s="1047">
        <f t="shared" si="1350"/>
        <v>-58.50</v>
      </c>
      <c r="BC668" s="1047">
        <f t="shared" si="1350"/>
        <v>-58.50</v>
      </c>
      <c r="BD668" s="1047">
        <f t="shared" si="1350"/>
        <v>-58.50</v>
      </c>
      <c r="BE668" s="1351">
        <f t="shared" si="1350"/>
        <v>-234</v>
      </c>
      <c r="BF668" s="1047">
        <f t="shared" si="1350"/>
        <v>-497.90</v>
      </c>
      <c r="BG668" s="1047">
        <f t="shared" si="1350"/>
        <v>-58.600000000000023</v>
      </c>
      <c r="BH668" s="1048">
        <f t="shared" si="1350"/>
        <v>-58.600000000000023</v>
      </c>
      <c r="BI668" s="1044">
        <f ca="1">-BI669*BI646</f>
        <v>-58.58</v>
      </c>
      <c r="BJ668" s="1350">
        <f ca="1">BJ851</f>
        <v>-673.68</v>
      </c>
      <c r="BK668" s="1044">
        <f ca="1">-BK669*BK646</f>
        <v>-58.58</v>
      </c>
      <c r="BL668" s="1044">
        <f ca="1">-BL669*BL646</f>
        <v>-58.58</v>
      </c>
      <c r="BM668" s="1044">
        <f ca="1">-BM669*BM646</f>
        <v>-58.58</v>
      </c>
      <c r="BN668" s="1044">
        <f ca="1">-BN669*BN646</f>
        <v>-58.58</v>
      </c>
      <c r="BO668" s="1350">
        <f ca="1">BO851</f>
        <v>-234.32</v>
      </c>
      <c r="BP668" s="1351">
        <f ca="1">-BP669*BP646</f>
        <v>-234.32</v>
      </c>
      <c r="BQ668" s="1351">
        <f ca="1">-BQ669*BQ646</f>
        <v>-234.32</v>
      </c>
      <c r="BR668" s="1350">
        <f ca="1">-BR669*BR646</f>
        <v>-234.32</v>
      </c>
      <c r="BS668" s="648"/>
    </row>
    <row r="669" spans="1:71" s="689" customFormat="1" ht="15">
      <c r="A669" s="474" t="s">
        <v>116</v>
      </c>
      <c r="B669" s="420"/>
      <c r="C669" s="1454"/>
      <c r="D669" s="1455">
        <v>0.1613</v>
      </c>
      <c r="E669" s="1455">
        <v>1.3987000000000001</v>
      </c>
      <c r="F669" s="1455">
        <v>0.40720000000000001</v>
      </c>
      <c r="G669" s="1455">
        <v>1.2845</v>
      </c>
      <c r="H669" s="1279">
        <v>1.4930000000000001</v>
      </c>
      <c r="I669" s="1279">
        <v>0</v>
      </c>
      <c r="J669" s="1279">
        <v>0</v>
      </c>
      <c r="K669" s="1279">
        <v>0</v>
      </c>
      <c r="L669" s="1455">
        <v>1.4928999999999999</v>
      </c>
      <c r="M669" s="1279">
        <v>0.68600000000000005</v>
      </c>
      <c r="N669" s="1279">
        <v>0</v>
      </c>
      <c r="O669" s="1279">
        <v>0</v>
      </c>
      <c r="P669" s="1279">
        <v>0</v>
      </c>
      <c r="Q669" s="1454">
        <f>SUM(M669,N669,O669,P669)</f>
        <v>0.68600000000000005</v>
      </c>
      <c r="R669" s="1279">
        <v>0.88800000000000001</v>
      </c>
      <c r="S669" s="1279">
        <v>0</v>
      </c>
      <c r="T669" s="1279">
        <v>0</v>
      </c>
      <c r="U669" s="1279">
        <v>0</v>
      </c>
      <c r="V669" s="1454">
        <f>SUM(R669,S669,T669,U669)</f>
        <v>0.88800000000000001</v>
      </c>
      <c r="W669" s="1279">
        <v>0.68100000000000005</v>
      </c>
      <c r="X669" s="1279">
        <v>0</v>
      </c>
      <c r="Y669" s="1279">
        <v>0</v>
      </c>
      <c r="Z669" s="1279">
        <v>0</v>
      </c>
      <c r="AA669" s="1454">
        <f>SUM(W669,X669,Y669,Z669)</f>
        <v>0.68100000000000005</v>
      </c>
      <c r="AB669" s="1279">
        <v>1.125</v>
      </c>
      <c r="AC669" s="1279">
        <v>0</v>
      </c>
      <c r="AD669" s="1279">
        <v>0</v>
      </c>
      <c r="AE669" s="1279">
        <v>0</v>
      </c>
      <c r="AF669" s="1454">
        <f>SUM(AB669,AC669,AD669,AE669)</f>
        <v>1.125</v>
      </c>
      <c r="AG669" s="1279">
        <v>2.5139999999999998</v>
      </c>
      <c r="AH669" s="1279">
        <v>0.10000000000000001</v>
      </c>
      <c r="AI669" s="1279">
        <v>0.10000000000000001</v>
      </c>
      <c r="AJ669" s="1279">
        <v>0.10000000000000001</v>
      </c>
      <c r="AK669" s="1454">
        <f>SUM(AG669,AH669,AI669,AJ669)</f>
        <v>2.8140000000000001</v>
      </c>
      <c r="AL669" s="1280">
        <v>2.35</v>
      </c>
      <c r="AM669" s="1280">
        <v>0.10000000000000001</v>
      </c>
      <c r="AN669" s="1280">
        <v>0.10000000000000001</v>
      </c>
      <c r="AO669" s="1279">
        <v>0.10000000000000001</v>
      </c>
      <c r="AP669" s="1454">
        <f>SUM(AL669,AM669,AN669,AO669)</f>
        <v>2.6500000000000004</v>
      </c>
      <c r="AQ669" s="1280">
        <v>4.5999999999999996</v>
      </c>
      <c r="AR669" s="1280">
        <v>0.10000000000000001</v>
      </c>
      <c r="AS669" s="1280">
        <v>0.10000000000000001</v>
      </c>
      <c r="AT669" s="1280">
        <v>1.60</v>
      </c>
      <c r="AU669" s="1456">
        <f>SUM(AQ669,AR669,AS669,AT669)</f>
        <v>6.3999999999999986</v>
      </c>
      <c r="AV669" s="1280">
        <v>0.10000000000000001</v>
      </c>
      <c r="AW669" s="1280">
        <v>0.10000000000000001</v>
      </c>
      <c r="AX669" s="1280">
        <v>0.10000000000000001</v>
      </c>
      <c r="AY669" s="1280">
        <v>0.10000000000000001</v>
      </c>
      <c r="AZ669" s="1456">
        <f>SUM(AV669,AW669,AX669,AY669)</f>
        <v>0.40</v>
      </c>
      <c r="BA669" s="1280">
        <v>0.10000000000000001</v>
      </c>
      <c r="BB669" s="1280">
        <v>0.10000000000000001</v>
      </c>
      <c r="BC669" s="1280">
        <v>0.10000000000000001</v>
      </c>
      <c r="BD669" s="1280">
        <v>0.10000000000000001</v>
      </c>
      <c r="BE669" s="1456">
        <f>SUM(BA669,BB669,BC669,BD669)</f>
        <v>0.40</v>
      </c>
      <c r="BF669" s="1280">
        <f>0.1+0.75</f>
        <v>0.85</v>
      </c>
      <c r="BG669" s="1280">
        <v>0.10000000000000001</v>
      </c>
      <c r="BH669" s="1281">
        <v>0.10000000000000001</v>
      </c>
      <c r="BI669" s="1282">
        <v>0.10000000000000001</v>
      </c>
      <c r="BJ669" s="1457">
        <f>SUM(BF669,BG669,BH669,BI669)</f>
        <v>1.1500000000000001</v>
      </c>
      <c r="BK669" s="1282">
        <v>0.10000000000000001</v>
      </c>
      <c r="BL669" s="1282">
        <v>0.10000000000000001</v>
      </c>
      <c r="BM669" s="1282">
        <v>0.10000000000000001</v>
      </c>
      <c r="BN669" s="1282">
        <v>0.10000000000000001</v>
      </c>
      <c r="BO669" s="1457">
        <f>SUM(BK669,BL669,BM669,BN669)</f>
        <v>0.40</v>
      </c>
      <c r="BP669" s="1458">
        <v>0.40</v>
      </c>
      <c r="BQ669" s="1458">
        <v>0.40</v>
      </c>
      <c r="BR669" s="1459">
        <v>0.40</v>
      </c>
      <c r="BS669" s="648"/>
    </row>
    <row r="670" spans="1:71" s="687" customFormat="1" ht="15">
      <c r="A670" s="421"/>
      <c r="B670" s="316"/>
      <c r="C670" s="1460"/>
      <c r="D670" s="1460"/>
      <c r="E670" s="1461"/>
      <c r="F670" s="1461"/>
      <c r="G670" s="1461"/>
      <c r="H670" s="422"/>
      <c r="I670" s="422"/>
      <c r="J670" s="422"/>
      <c r="K670" s="422"/>
      <c r="L670" s="1461"/>
      <c r="M670" s="422"/>
      <c r="N670" s="422"/>
      <c r="O670" s="422"/>
      <c r="P670" s="422"/>
      <c r="Q670" s="1461"/>
      <c r="R670" s="422"/>
      <c r="S670" s="422"/>
      <c r="T670" s="422"/>
      <c r="U670" s="422"/>
      <c r="V670" s="1461"/>
      <c r="W670" s="422"/>
      <c r="X670" s="422"/>
      <c r="Y670" s="422"/>
      <c r="Z670" s="422"/>
      <c r="AA670" s="1461"/>
      <c r="AB670" s="422"/>
      <c r="AC670" s="422"/>
      <c r="AD670" s="422"/>
      <c r="AE670" s="422"/>
      <c r="AF670" s="1461"/>
      <c r="AG670" s="422"/>
      <c r="AH670" s="422"/>
      <c r="AI670" s="422"/>
      <c r="AJ670" s="422"/>
      <c r="AK670" s="1461"/>
      <c r="AL670" s="422"/>
      <c r="AM670" s="422"/>
      <c r="AN670" s="422"/>
      <c r="AO670" s="422"/>
      <c r="AP670" s="1461"/>
      <c r="AQ670" s="422"/>
      <c r="AR670" s="422"/>
      <c r="AS670" s="422"/>
      <c r="AT670" s="422"/>
      <c r="AU670" s="1461"/>
      <c r="AV670" s="422"/>
      <c r="AW670" s="422"/>
      <c r="AX670" s="422"/>
      <c r="AY670" s="422"/>
      <c r="AZ670" s="1461"/>
      <c r="BA670" s="422"/>
      <c r="BB670" s="422"/>
      <c r="BC670" s="422"/>
      <c r="BD670" s="422"/>
      <c r="BE670" s="1461"/>
      <c r="BF670" s="422"/>
      <c r="BG670" s="422"/>
      <c r="BH670" s="836"/>
      <c r="BI670" s="423"/>
      <c r="BJ670" s="1462"/>
      <c r="BK670" s="423"/>
      <c r="BL670" s="423"/>
      <c r="BM670" s="423"/>
      <c r="BN670" s="423"/>
      <c r="BO670" s="1462"/>
      <c r="BP670" s="1461"/>
      <c r="BQ670" s="1461"/>
      <c r="BR670" s="1462"/>
      <c r="BS670" s="648"/>
    </row>
    <row r="671" spans="1:71" s="669" customFormat="1" ht="15">
      <c r="A671" s="30" t="s">
        <v>117</v>
      </c>
      <c r="B671" s="424"/>
      <c r="C671" s="1463">
        <f t="shared" si="1351" ref="C671:AH671">-C668/C631</f>
        <v>0</v>
      </c>
      <c r="D671" s="1463">
        <f t="shared" si="1351"/>
        <v>0.71487409903585097</v>
      </c>
      <c r="E671" s="1464">
        <f t="shared" si="1351"/>
        <v>0.25957656326932516</v>
      </c>
      <c r="F671" s="1464">
        <f t="shared" si="1351"/>
        <v>0.94613764823229785</v>
      </c>
      <c r="G671" s="1464">
        <f t="shared" si="1351"/>
        <v>0.15067787883988304</v>
      </c>
      <c r="H671" s="209">
        <f t="shared" si="1351"/>
        <v>2.7780890133831297</v>
      </c>
      <c r="I671" s="209">
        <f t="shared" si="1351"/>
        <v>0</v>
      </c>
      <c r="J671" s="209">
        <f t="shared" si="1351"/>
        <v>0</v>
      </c>
      <c r="K671" s="209">
        <f t="shared" si="1351"/>
        <v>0</v>
      </c>
      <c r="L671" s="1464">
        <f t="shared" si="1351"/>
        <v>0.69679937548789939</v>
      </c>
      <c r="M671" s="209">
        <f t="shared" si="1351"/>
        <v>1.3653585926928271</v>
      </c>
      <c r="N671" s="209">
        <f t="shared" si="1351"/>
        <v>0</v>
      </c>
      <c r="O671" s="209">
        <f t="shared" si="1351"/>
        <v>0</v>
      </c>
      <c r="P671" s="209">
        <f t="shared" si="1351"/>
        <v>0</v>
      </c>
      <c r="Q671" s="1464">
        <f t="shared" si="1351"/>
        <v>0.31839697065320305</v>
      </c>
      <c r="R671" s="209">
        <f t="shared" si="1351"/>
        <v>2.0100697134004712</v>
      </c>
      <c r="S671" s="209">
        <f t="shared" si="1351"/>
        <v>0</v>
      </c>
      <c r="T671" s="209">
        <f t="shared" si="1351"/>
        <v>0</v>
      </c>
      <c r="U671" s="209">
        <f t="shared" si="1351"/>
        <v>0</v>
      </c>
      <c r="V671" s="1464">
        <f t="shared" si="1351"/>
        <v>0.50339476236663272</v>
      </c>
      <c r="W671" s="209">
        <f t="shared" si="1351"/>
        <v>0.93188781522507802</v>
      </c>
      <c r="X671" s="209">
        <f t="shared" si="1351"/>
        <v>0</v>
      </c>
      <c r="Y671" s="209">
        <f t="shared" si="1351"/>
        <v>0</v>
      </c>
      <c r="Z671" s="209">
        <f t="shared" si="1351"/>
        <v>0</v>
      </c>
      <c r="AA671" s="1464">
        <f t="shared" si="1351"/>
        <v>0.24833563622660476</v>
      </c>
      <c r="AB671" s="209">
        <f t="shared" si="1351"/>
        <v>0.91364397321428548</v>
      </c>
      <c r="AC671" s="209">
        <f t="shared" si="1351"/>
        <v>0</v>
      </c>
      <c r="AD671" s="209">
        <f t="shared" si="1351"/>
        <v>0</v>
      </c>
      <c r="AE671" s="209">
        <f t="shared" si="1351"/>
        <v>0</v>
      </c>
      <c r="AF671" s="1464">
        <f t="shared" si="1351"/>
        <v>0.25247696518755547</v>
      </c>
      <c r="AG671" s="209">
        <f t="shared" si="1351"/>
        <v>1.3696930111038563</v>
      </c>
      <c r="AH671" s="209">
        <f t="shared" si="1351"/>
        <v>0.060039066515883574</v>
      </c>
      <c r="AI671" s="209">
        <f t="shared" si="1352" ref="AI671:BE671">-AI668/AI631</f>
        <v>0.069940119760479175</v>
      </c>
      <c r="AJ671" s="209">
        <f t="shared" si="1352"/>
        <v>0.054981203007518735</v>
      </c>
      <c r="AK671" s="1464">
        <f t="shared" si="1352"/>
        <v>0.41669625196530963</v>
      </c>
      <c r="AL671" s="323">
        <f t="shared" si="1352"/>
        <v>2.0049562682215698</v>
      </c>
      <c r="AM671" s="323">
        <f t="shared" si="1352"/>
        <v>0.032796995010371727</v>
      </c>
      <c r="AN671" s="323">
        <f t="shared" si="1352"/>
        <v>0.03838330818187783</v>
      </c>
      <c r="AO671" s="209">
        <f t="shared" si="1352"/>
        <v>0.034932935916542417</v>
      </c>
      <c r="AP671" s="1464">
        <f t="shared" si="1352"/>
        <v>0.27317399651267243</v>
      </c>
      <c r="AQ671" s="323">
        <f t="shared" si="1352"/>
        <v>1.8288875313921125</v>
      </c>
      <c r="AR671" s="323">
        <f t="shared" si="1352"/>
        <v>0.074674495787592568</v>
      </c>
      <c r="AS671" s="323">
        <f t="shared" si="1352"/>
        <v>0.52325581395349685</v>
      </c>
      <c r="AT671" s="323">
        <f t="shared" si="1352"/>
        <v>0.97854526425955735</v>
      </c>
      <c r="AU671" s="1465">
        <f t="shared" si="1352"/>
        <v>1.1271058965102305</v>
      </c>
      <c r="AV671" s="323">
        <f t="shared" si="1352"/>
        <v>0.19042968749999842</v>
      </c>
      <c r="AW671" s="323">
        <f t="shared" si="1352"/>
        <v>-0.10644104803493412</v>
      </c>
      <c r="AX671" s="323">
        <f>-AX668/AX631</f>
        <v>0.49829642248722511</v>
      </c>
      <c r="AY671" s="323">
        <f t="shared" si="1352"/>
        <v>0.071376281112738013</v>
      </c>
      <c r="AZ671" s="1465">
        <f t="shared" si="1352"/>
        <v>0.33688453786351485</v>
      </c>
      <c r="BA671" s="323">
        <f>-BA668/BA631</f>
        <v>0.13277349069450733</v>
      </c>
      <c r="BB671" s="323">
        <f>-BB668/BB631</f>
        <v>0.17415897588567941</v>
      </c>
      <c r="BC671" s="323">
        <f>-BC668/BC631</f>
        <v>0.052660005401026146</v>
      </c>
      <c r="BD671" s="323">
        <f t="shared" si="1352"/>
        <v>0.029584302619601408</v>
      </c>
      <c r="BE671" s="1465">
        <f t="shared" si="1352"/>
        <v>0.06054647070999792</v>
      </c>
      <c r="BF671" s="323">
        <f t="shared" si="1353" ref="BF671:BR671">-BF668/BF631</f>
        <v>0.21513135153819568</v>
      </c>
      <c r="BG671" s="323">
        <f t="shared" si="1353"/>
        <v>0.040172756564063959</v>
      </c>
      <c r="BH671" s="837">
        <f t="shared" si="1353"/>
        <v>0.025113568183766036</v>
      </c>
      <c r="BI671" s="116">
        <f t="shared" ca="1" si="1353"/>
        <v>0.035692500175152256</v>
      </c>
      <c r="BJ671" s="1466">
        <f t="shared" ca="1" si="1353"/>
        <v>0.086951794986393369</v>
      </c>
      <c r="BK671" s="116">
        <f t="shared" ca="1" si="1353"/>
        <v>0.028850899415292692</v>
      </c>
      <c r="BL671" s="116">
        <f t="shared" ca="1" si="1353"/>
        <v>0.041087263824806181</v>
      </c>
      <c r="BM671" s="116">
        <f t="shared" ca="1" si="1353"/>
        <v>0.047383935553108755</v>
      </c>
      <c r="BN671" s="116">
        <f t="shared" ca="1" si="1353"/>
        <v>0.026688695453976227</v>
      </c>
      <c r="BO671" s="1466">
        <f t="shared" ca="1" si="1353"/>
        <v>0.034021516815152898</v>
      </c>
      <c r="BP671" s="1465">
        <f t="shared" ca="1" si="1353"/>
        <v>0.031541255469667587</v>
      </c>
      <c r="BQ671" s="1465">
        <f t="shared" ca="1" si="1353"/>
        <v>0.029857203259988651</v>
      </c>
      <c r="BR671" s="1466">
        <f t="shared" ca="1" si="1353"/>
        <v>0.028269782368675819</v>
      </c>
      <c r="BS671" s="648"/>
    </row>
    <row r="672" spans="1:71" s="665" customFormat="1" ht="15">
      <c r="A672" s="992"/>
      <c r="B672" s="321"/>
      <c r="C672" s="1351"/>
      <c r="D672" s="1351"/>
      <c r="E672" s="1351"/>
      <c r="F672" s="1351"/>
      <c r="G672" s="1351"/>
      <c r="H672" s="1047"/>
      <c r="I672" s="1047"/>
      <c r="J672" s="1047"/>
      <c r="K672" s="1047"/>
      <c r="L672" s="1351"/>
      <c r="M672" s="1047"/>
      <c r="N672" s="1047"/>
      <c r="O672" s="1047"/>
      <c r="P672" s="1047"/>
      <c r="Q672" s="1351"/>
      <c r="R672" s="1047"/>
      <c r="S672" s="1047"/>
      <c r="T672" s="1047"/>
      <c r="U672" s="1047"/>
      <c r="V672" s="1351"/>
      <c r="W672" s="1047"/>
      <c r="X672" s="1047"/>
      <c r="Y672" s="1047"/>
      <c r="Z672" s="1047"/>
      <c r="AA672" s="1351"/>
      <c r="AB672" s="1047"/>
      <c r="AC672" s="1047"/>
      <c r="AD672" s="1047"/>
      <c r="AE672" s="1047"/>
      <c r="AF672" s="1351"/>
      <c r="AG672" s="1047"/>
      <c r="AH672" s="1047"/>
      <c r="AI672" s="1047"/>
      <c r="AJ672" s="1047"/>
      <c r="AK672" s="1351"/>
      <c r="AL672" s="1047"/>
      <c r="AM672" s="1047"/>
      <c r="AN672" s="1047"/>
      <c r="AO672" s="1047"/>
      <c r="AP672" s="1351"/>
      <c r="AQ672" s="1047"/>
      <c r="AR672" s="1047"/>
      <c r="AS672" s="1047"/>
      <c r="AT672" s="1047"/>
      <c r="AU672" s="1351"/>
      <c r="AV672" s="1047"/>
      <c r="AW672" s="1047"/>
      <c r="AX672" s="1047"/>
      <c r="AY672" s="1047"/>
      <c r="AZ672" s="1351"/>
      <c r="BA672" s="1047"/>
      <c r="BB672" s="1047"/>
      <c r="BC672" s="1047"/>
      <c r="BD672" s="1047"/>
      <c r="BE672" s="1351"/>
      <c r="BF672" s="1047"/>
      <c r="BG672" s="1047"/>
      <c r="BH672" s="1048"/>
      <c r="BI672" s="1044"/>
      <c r="BJ672" s="1350"/>
      <c r="BK672" s="1044"/>
      <c r="BL672" s="1044"/>
      <c r="BM672" s="1044"/>
      <c r="BN672" s="1044"/>
      <c r="BO672" s="1350"/>
      <c r="BP672" s="1351"/>
      <c r="BQ672" s="1351"/>
      <c r="BR672" s="1350"/>
      <c r="BS672" s="648"/>
    </row>
    <row r="673" spans="1:71" s="668" customFormat="1" ht="15">
      <c r="A673" s="991" t="s">
        <v>118</v>
      </c>
      <c r="B673" s="991"/>
      <c r="C673" s="1035"/>
      <c r="D673" s="1035"/>
      <c r="E673" s="1035"/>
      <c r="F673" s="1035"/>
      <c r="G673" s="1035"/>
      <c r="H673" s="1035"/>
      <c r="I673" s="1035"/>
      <c r="J673" s="1035"/>
      <c r="K673" s="1035"/>
      <c r="L673" s="1035"/>
      <c r="M673" s="1035"/>
      <c r="N673" s="1035"/>
      <c r="O673" s="1035"/>
      <c r="P673" s="1035"/>
      <c r="Q673" s="1035"/>
      <c r="R673" s="1035"/>
      <c r="S673" s="1035"/>
      <c r="T673" s="1035"/>
      <c r="U673" s="1035"/>
      <c r="V673" s="1035"/>
      <c r="W673" s="1035"/>
      <c r="X673" s="1035"/>
      <c r="Y673" s="1035"/>
      <c r="Z673" s="1035"/>
      <c r="AA673" s="1035"/>
      <c r="AB673" s="1035"/>
      <c r="AC673" s="1035"/>
      <c r="AD673" s="1035"/>
      <c r="AE673" s="1035"/>
      <c r="AF673" s="1035"/>
      <c r="AG673" s="1035"/>
      <c r="AH673" s="1035"/>
      <c r="AI673" s="1035"/>
      <c r="AJ673" s="1035"/>
      <c r="AK673" s="1035"/>
      <c r="AL673" s="1035"/>
      <c r="AM673" s="1035"/>
      <c r="AN673" s="1035"/>
      <c r="AO673" s="1035"/>
      <c r="AP673" s="1035"/>
      <c r="AQ673" s="1035"/>
      <c r="AR673" s="1035"/>
      <c r="AS673" s="1035"/>
      <c r="AT673" s="1035"/>
      <c r="AU673" s="1035"/>
      <c r="AV673" s="1035"/>
      <c r="AW673" s="1035"/>
      <c r="AX673" s="1035"/>
      <c r="AY673" s="1035"/>
      <c r="AZ673" s="1035"/>
      <c r="BA673" s="1035"/>
      <c r="BB673" s="1035"/>
      <c r="BC673" s="1035"/>
      <c r="BD673" s="1035"/>
      <c r="BE673" s="1035"/>
      <c r="BF673" s="1035"/>
      <c r="BG673" s="1035"/>
      <c r="BH673" s="1036"/>
      <c r="BI673" s="1037"/>
      <c r="BJ673" s="1037"/>
      <c r="BK673" s="1037"/>
      <c r="BL673" s="1037"/>
      <c r="BM673" s="1037"/>
      <c r="BN673" s="1037"/>
      <c r="BO673" s="1037"/>
      <c r="BP673" s="1035"/>
      <c r="BQ673" s="1035"/>
      <c r="BR673" s="1037"/>
      <c r="BS673" s="648"/>
    </row>
    <row r="674" spans="1:71" s="665" customFormat="1" ht="15">
      <c r="A674" s="371" t="s">
        <v>119</v>
      </c>
      <c r="B674" s="321"/>
      <c r="C674" s="1349">
        <f t="shared" si="1354" ref="C674:AQ674">INDEX(MO_UPR_NUPR,0,COLUMN())</f>
        <v>4103.5999999999995</v>
      </c>
      <c r="D674" s="1349">
        <f t="shared" si="1354"/>
        <v>4265.70</v>
      </c>
      <c r="E674" s="1349">
        <f t="shared" si="1354"/>
        <v>4509.5999999999995</v>
      </c>
      <c r="F674" s="1349">
        <f t="shared" si="1354"/>
        <v>4864.3999999999996</v>
      </c>
      <c r="G674" s="1349">
        <f t="shared" si="1354"/>
        <v>5099.6000000000004</v>
      </c>
      <c r="H674" s="1042">
        <f t="shared" si="1354"/>
        <v>5378.30</v>
      </c>
      <c r="I674" s="1042">
        <f t="shared" si="1354"/>
        <v>5492.80</v>
      </c>
      <c r="J674" s="1042">
        <f t="shared" si="1354"/>
        <v>5684.70</v>
      </c>
      <c r="K674" s="1042">
        <f t="shared" si="1354"/>
        <v>5354.80</v>
      </c>
      <c r="L674" s="1349">
        <f t="shared" si="1354"/>
        <v>5354.80</v>
      </c>
      <c r="M674" s="1042">
        <f t="shared" si="1354"/>
        <v>5754.70</v>
      </c>
      <c r="N674" s="1042">
        <f t="shared" si="1354"/>
        <v>6408.90</v>
      </c>
      <c r="O674" s="1042">
        <f t="shared" si="1354"/>
        <v>6750.20</v>
      </c>
      <c r="P674" s="1042">
        <f t="shared" si="1354"/>
        <v>6422.50</v>
      </c>
      <c r="Q674" s="1349">
        <f t="shared" si="1354"/>
        <v>6422.50</v>
      </c>
      <c r="R674" s="1042">
        <f t="shared" si="1354"/>
        <v>6924</v>
      </c>
      <c r="S674" s="1143">
        <f t="shared" si="1354"/>
        <v>7292.10</v>
      </c>
      <c r="T674" s="1143">
        <f t="shared" si="1354"/>
        <v>7618</v>
      </c>
      <c r="U674" s="1042">
        <f t="shared" si="1354"/>
        <v>7297.80</v>
      </c>
      <c r="V674" s="1349">
        <f t="shared" si="1354"/>
        <v>7297.80</v>
      </c>
      <c r="W674" s="1042">
        <f t="shared" si="1354"/>
        <v>7762.30</v>
      </c>
      <c r="X674" s="1143">
        <f t="shared" si="1354"/>
        <v>8195.10</v>
      </c>
      <c r="Y674" s="1143">
        <f t="shared" si="1354"/>
        <v>8793.5999999999985</v>
      </c>
      <c r="Z674" s="1042">
        <f t="shared" si="1354"/>
        <v>8700.2000000000007</v>
      </c>
      <c r="AA674" s="1349">
        <f t="shared" si="1354"/>
        <v>8700.2000000000007</v>
      </c>
      <c r="AB674" s="1042">
        <f t="shared" si="1354"/>
        <v>9495</v>
      </c>
      <c r="AC674" s="1143">
        <f t="shared" si="1354"/>
        <v>9956.10</v>
      </c>
      <c r="AD674" s="1143">
        <f t="shared" si="1354"/>
        <v>10629.60</v>
      </c>
      <c r="AE674" s="1042">
        <f t="shared" si="1354"/>
        <v>10376.799999999999</v>
      </c>
      <c r="AF674" s="1349">
        <f t="shared" si="1354"/>
        <v>10376.799999999999</v>
      </c>
      <c r="AG674" s="1042">
        <f t="shared" si="1354"/>
        <v>11156.90</v>
      </c>
      <c r="AH674" s="1143">
        <f t="shared" si="1354"/>
        <v>11458.700000000001</v>
      </c>
      <c r="AI674" s="1143">
        <f t="shared" si="1354"/>
        <v>12067.700000000001</v>
      </c>
      <c r="AJ674" s="1042">
        <f t="shared" si="1354"/>
        <v>11762.299999999999</v>
      </c>
      <c r="AK674" s="1349">
        <f t="shared" si="1354"/>
        <v>11762.299999999999</v>
      </c>
      <c r="AL674" s="1042">
        <f t="shared" si="1354"/>
        <v>12202.90</v>
      </c>
      <c r="AM674" s="1143">
        <f t="shared" si="1354"/>
        <v>12694.300000000001</v>
      </c>
      <c r="AN674" s="1143">
        <f t="shared" si="1354"/>
        <v>13735.90</v>
      </c>
      <c r="AO674" s="1042">
        <f>INDEX(MO_UPR_NUPR,0,COLUMN())</f>
        <v>13069.40</v>
      </c>
      <c r="AP674" s="1349">
        <f>INDEX(MO_UPR_NUPR,0,COLUMN())</f>
        <v>13069.40</v>
      </c>
      <c r="AQ674" s="1042">
        <f t="shared" si="1354"/>
        <v>14378.299999999999</v>
      </c>
      <c r="AR674" s="1143">
        <f t="shared" si="1355" ref="AR674:AU674">INDEX(MO_UPR_NUPR,0,COLUMN())</f>
        <v>14935.90</v>
      </c>
      <c r="AS674" s="1143">
        <f t="shared" si="1355"/>
        <v>16010.300000000001</v>
      </c>
      <c r="AT674" s="1042">
        <f t="shared" si="1355"/>
        <v>15158.20</v>
      </c>
      <c r="AU674" s="1349">
        <f t="shared" si="1355"/>
        <v>15158.20</v>
      </c>
      <c r="AV674" s="1042">
        <f t="shared" si="1356" ref="AV674:BJ674">INDEX(MO_UPR_NUPR,0,COLUMN())</f>
        <v>16536.300000000003</v>
      </c>
      <c r="AW674" s="1143">
        <f t="shared" si="1356"/>
        <v>16810.50</v>
      </c>
      <c r="AX674" s="1143">
        <f t="shared" si="1356"/>
        <v>17429.40</v>
      </c>
      <c r="AY674" s="1042">
        <f t="shared" si="1356"/>
        <v>16998.099999999999</v>
      </c>
      <c r="AZ674" s="1349">
        <f t="shared" si="1356"/>
        <v>16998.099999999999</v>
      </c>
      <c r="BA674" s="1042">
        <f t="shared" si="1357" ref="BA674:BI674">INDEX(MO_UPR_NUPR,0,COLUMN())</f>
        <v>19574.700000000001</v>
      </c>
      <c r="BB674" s="1143">
        <f t="shared" si="1357"/>
        <v>19827.199999999997</v>
      </c>
      <c r="BC674" s="1143">
        <f t="shared" si="1357"/>
        <v>20526.700000000001</v>
      </c>
      <c r="BD674" s="1042">
        <f t="shared" si="1357"/>
        <v>19883.900000000001</v>
      </c>
      <c r="BE674" s="1349">
        <f t="shared" si="1357"/>
        <v>19883.900000000001</v>
      </c>
      <c r="BF674" s="1042">
        <f>INDEX(MO_UPR_NUPR,0,COLUMN())</f>
        <v>22697.50</v>
      </c>
      <c r="BG674" s="1143">
        <f>INDEX(MO_UPR_NUPR,0,COLUMN())</f>
        <v>23389.60</v>
      </c>
      <c r="BH674" s="1144">
        <f>INDEX(MO_UPR_NUPR,0,COLUMN())</f>
        <v>24548.50</v>
      </c>
      <c r="BI674" s="1145">
        <f t="shared" si="1357"/>
        <v>24837.545198958614</v>
      </c>
      <c r="BJ674" s="1371">
        <f t="shared" si="1356"/>
        <v>24837.545198958614</v>
      </c>
      <c r="BK674" s="1145">
        <f t="shared" si="1358" ref="BK674:BR674">INDEX(MO_UPR_NUPR,0,COLUMN())</f>
        <v>25244.062916932107</v>
      </c>
      <c r="BL674" s="1145">
        <f t="shared" si="1358"/>
        <v>26177.393667955192</v>
      </c>
      <c r="BM674" s="1145">
        <f t="shared" si="1358"/>
        <v>27092.044140546412</v>
      </c>
      <c r="BN674" s="1145">
        <f t="shared" si="1358"/>
        <v>27414.476540241569</v>
      </c>
      <c r="BO674" s="1371">
        <f t="shared" si="1358"/>
        <v>27414.476540241569</v>
      </c>
      <c r="BP674" s="1372">
        <f t="shared" si="1358"/>
        <v>30191.431148958512</v>
      </c>
      <c r="BQ674" s="1372">
        <f t="shared" si="1358"/>
        <v>33080.574723867612</v>
      </c>
      <c r="BR674" s="1371">
        <f t="shared" si="1358"/>
        <v>36086.439699203038</v>
      </c>
      <c r="BS674" s="648"/>
    </row>
    <row r="675" spans="1:71" s="665" customFormat="1" ht="15">
      <c r="A675" s="1000" t="s">
        <v>120</v>
      </c>
      <c r="B675" s="261"/>
      <c r="C675" s="1323">
        <f t="shared" si="1359" ref="C675:AQ675">INDEX(MO_LR_NLR,0,COLUMN())</f>
        <v>6123.60</v>
      </c>
      <c r="D675" s="1323">
        <f t="shared" si="1359"/>
        <v>6366.90</v>
      </c>
      <c r="E675" s="1323">
        <f t="shared" si="1359"/>
        <v>6460.10</v>
      </c>
      <c r="F675" s="1323">
        <f t="shared" si="1359"/>
        <v>6976.2999999999993</v>
      </c>
      <c r="G675" s="1323">
        <f t="shared" si="1359"/>
        <v>7433.8000000000011</v>
      </c>
      <c r="H675" s="1027">
        <f t="shared" si="1359"/>
        <v>7515.60</v>
      </c>
      <c r="I675" s="1027">
        <f t="shared" si="1359"/>
        <v>7540</v>
      </c>
      <c r="J675" s="1027">
        <f t="shared" si="1359"/>
        <v>7601.90</v>
      </c>
      <c r="K675" s="1027">
        <f t="shared" si="1359"/>
        <v>7671.50</v>
      </c>
      <c r="L675" s="1323">
        <f t="shared" si="1359"/>
        <v>7671.50</v>
      </c>
      <c r="M675" s="1027">
        <f t="shared" si="1359"/>
        <v>7795.2000000000007</v>
      </c>
      <c r="N675" s="1027">
        <f t="shared" si="1359"/>
        <v>8345.10</v>
      </c>
      <c r="O675" s="1027">
        <f t="shared" si="1359"/>
        <v>8458.3000000000011</v>
      </c>
      <c r="P675" s="1027">
        <f t="shared" si="1359"/>
        <v>8596.2999999999993</v>
      </c>
      <c r="Q675" s="1323">
        <f t="shared" si="1359"/>
        <v>8596.2999999999993</v>
      </c>
      <c r="R675" s="1027">
        <f t="shared" si="1359"/>
        <v>8778</v>
      </c>
      <c r="S675" s="1146">
        <f t="shared" si="1359"/>
        <v>9078.90</v>
      </c>
      <c r="T675" s="1146">
        <f t="shared" si="1359"/>
        <v>9394</v>
      </c>
      <c r="U675" s="1027">
        <f t="shared" si="1359"/>
        <v>9567</v>
      </c>
      <c r="V675" s="1323">
        <f t="shared" si="1359"/>
        <v>9567</v>
      </c>
      <c r="W675" s="1027">
        <f t="shared" si="1359"/>
        <v>9778.50</v>
      </c>
      <c r="X675" s="1146">
        <f t="shared" si="1359"/>
        <v>10112.50</v>
      </c>
      <c r="Y675" s="1146">
        <f t="shared" si="1359"/>
        <v>10728.60</v>
      </c>
      <c r="Z675" s="1027">
        <f t="shared" si="1359"/>
        <v>10916.80</v>
      </c>
      <c r="AA675" s="1323">
        <f t="shared" si="1359"/>
        <v>10916.80</v>
      </c>
      <c r="AB675" s="1027">
        <f t="shared" si="1359"/>
        <v>11192</v>
      </c>
      <c r="AC675" s="1146">
        <f t="shared" si="1359"/>
        <v>11777.699999999999</v>
      </c>
      <c r="AD675" s="1146">
        <f t="shared" si="1359"/>
        <v>12244.40</v>
      </c>
      <c r="AE675" s="1027">
        <f t="shared" si="1359"/>
        <v>12828.099999999999</v>
      </c>
      <c r="AF675" s="1323">
        <f t="shared" si="1359"/>
        <v>12828.099999999999</v>
      </c>
      <c r="AG675" s="1027">
        <f t="shared" si="1359"/>
        <v>13168.20</v>
      </c>
      <c r="AH675" s="1146">
        <f t="shared" si="1359"/>
        <v>13653.60</v>
      </c>
      <c r="AI675" s="1146">
        <f t="shared" si="1359"/>
        <v>14224.90</v>
      </c>
      <c r="AJ675" s="1027">
        <f t="shared" si="1359"/>
        <v>14893.20</v>
      </c>
      <c r="AK675" s="1323">
        <f t="shared" si="1359"/>
        <v>14893.20</v>
      </c>
      <c r="AL675" s="1027">
        <f t="shared" si="1359"/>
        <v>14862.80</v>
      </c>
      <c r="AM675" s="1146">
        <f t="shared" si="1359"/>
        <v>15009.299999999999</v>
      </c>
      <c r="AN675" s="1146">
        <f t="shared" si="1359"/>
        <v>15784.900000000001</v>
      </c>
      <c r="AO675" s="1027">
        <f>INDEX(MO_LR_NLR,0,COLUMN())</f>
        <v>16467.60</v>
      </c>
      <c r="AP675" s="1323">
        <f>INDEX(MO_LR_NLR,0,COLUMN())</f>
        <v>16467.60</v>
      </c>
      <c r="AQ675" s="1027">
        <f t="shared" si="1359"/>
        <v>17095.100000000002</v>
      </c>
      <c r="AR675" s="1146">
        <f t="shared" si="1360" ref="AR675:AU675">INDEX(MO_LR_NLR,0,COLUMN())</f>
        <v>19430.699999999997</v>
      </c>
      <c r="AS675" s="1146">
        <f t="shared" si="1360"/>
        <v>21103.799999999999</v>
      </c>
      <c r="AT675" s="1027">
        <f t="shared" si="1360"/>
        <v>21430.50</v>
      </c>
      <c r="AU675" s="1323">
        <f t="shared" si="1360"/>
        <v>21430.50</v>
      </c>
      <c r="AV675" s="1027">
        <f t="shared" si="1361" ref="AV675:BJ675">INDEX(MO_LR_NLR,0,COLUMN())</f>
        <v>21995.800000000003</v>
      </c>
      <c r="AW675" s="1146">
        <f t="shared" si="1361"/>
        <v>23127.400000000001</v>
      </c>
      <c r="AX675" s="1146">
        <f t="shared" si="1361"/>
        <v>24597.799999999999</v>
      </c>
      <c r="AY675" s="1027">
        <f t="shared" si="1361"/>
        <v>24800.099999999999</v>
      </c>
      <c r="AZ675" s="1323">
        <f t="shared" si="1361"/>
        <v>24800.099999999999</v>
      </c>
      <c r="BA675" s="1027">
        <f t="shared" si="1362" ref="BA675:BI675">INDEX(MO_LR_NLR,0,COLUMN())</f>
        <v>25725.300000000003</v>
      </c>
      <c r="BB675" s="1146">
        <f t="shared" si="1362"/>
        <v>27688.900000000001</v>
      </c>
      <c r="BC675" s="1146">
        <f t="shared" si="1362"/>
        <v>28636.100000000002</v>
      </c>
      <c r="BD675" s="1027">
        <f t="shared" si="1362"/>
        <v>29600.199999999997</v>
      </c>
      <c r="BE675" s="1323">
        <f t="shared" si="1362"/>
        <v>29600.199999999997</v>
      </c>
      <c r="BF675" s="1027">
        <f>INDEX(MO_LR_NLR,0,COLUMN())</f>
        <v>30179.099999999999</v>
      </c>
      <c r="BG675" s="1146">
        <f>INDEX(MO_LR_NLR,0,COLUMN())</f>
        <v>32090.199999999997</v>
      </c>
      <c r="BH675" s="1147">
        <f>INDEX(MO_LR_NLR,0,COLUMN())</f>
        <v>33515.50</v>
      </c>
      <c r="BI675" s="1148">
        <f t="shared" si="1362"/>
        <v>34600.566800194698</v>
      </c>
      <c r="BJ675" s="1375">
        <f t="shared" si="1361"/>
        <v>34600.566800194698</v>
      </c>
      <c r="BK675" s="1148">
        <f t="shared" si="1363" ref="BK675:BR675">INDEX(MO_LR_NLR,0,COLUMN())</f>
        <v>35887.459661451161</v>
      </c>
      <c r="BL675" s="1148">
        <f t="shared" si="1363"/>
        <v>37088.441083697166</v>
      </c>
      <c r="BM675" s="1148">
        <f t="shared" si="1363"/>
        <v>38331.263728817496</v>
      </c>
      <c r="BN675" s="1148">
        <f t="shared" si="1363"/>
        <v>39520.426434808862</v>
      </c>
      <c r="BO675" s="1375">
        <f t="shared" si="1363"/>
        <v>39520.426434808862</v>
      </c>
      <c r="BP675" s="1375">
        <f t="shared" si="1363"/>
        <v>44794.498960805839</v>
      </c>
      <c r="BQ675" s="1375">
        <f t="shared" si="1363"/>
        <v>50281.644016853097</v>
      </c>
      <c r="BR675" s="1375">
        <f t="shared" si="1363"/>
        <v>55990.46973316466</v>
      </c>
      <c r="BS675" s="648"/>
    </row>
    <row r="676" spans="1:71" s="668" customFormat="1" ht="15">
      <c r="A676" s="25" t="s">
        <v>121</v>
      </c>
      <c r="B676" s="367"/>
      <c r="C676" s="1320">
        <f t="shared" si="1364" ref="C676:AQ676">ROUND(INDEX(MO_BSS_NUPR,0,COLUMN())+INDEX(MO_BSS_NLR,0,COLUMN()),6)</f>
        <v>10227.200000000001</v>
      </c>
      <c r="D676" s="1320">
        <f t="shared" si="1364"/>
        <v>10632.60</v>
      </c>
      <c r="E676" s="1320">
        <f t="shared" si="1364"/>
        <v>10969.700000000001</v>
      </c>
      <c r="F676" s="1320">
        <f t="shared" si="1364"/>
        <v>11840.700000000001</v>
      </c>
      <c r="G676" s="1320">
        <f t="shared" si="1364"/>
        <v>12533.40</v>
      </c>
      <c r="H676" s="1021">
        <f t="shared" si="1364"/>
        <v>12893.90</v>
      </c>
      <c r="I676" s="1021">
        <f t="shared" si="1364"/>
        <v>13032.80</v>
      </c>
      <c r="J676" s="1021">
        <f t="shared" si="1364"/>
        <v>13286.60</v>
      </c>
      <c r="K676" s="1021">
        <f t="shared" si="1364"/>
        <v>13026.299999999999</v>
      </c>
      <c r="L676" s="1320">
        <f t="shared" si="1364"/>
        <v>13026.299999999999</v>
      </c>
      <c r="M676" s="1021">
        <f t="shared" si="1364"/>
        <v>13549.90</v>
      </c>
      <c r="N676" s="1021">
        <f t="shared" si="1364"/>
        <v>14754</v>
      </c>
      <c r="O676" s="1021">
        <f t="shared" si="1364"/>
        <v>15208.50</v>
      </c>
      <c r="P676" s="1021">
        <f t="shared" si="1364"/>
        <v>15018.80</v>
      </c>
      <c r="Q676" s="1320">
        <f t="shared" si="1364"/>
        <v>15018.80</v>
      </c>
      <c r="R676" s="1021">
        <f t="shared" si="1364"/>
        <v>15702</v>
      </c>
      <c r="S676" s="1149">
        <f t="shared" si="1364"/>
        <v>16371</v>
      </c>
      <c r="T676" s="1149">
        <f t="shared" si="1364"/>
        <v>17012</v>
      </c>
      <c r="U676" s="1021">
        <f t="shared" si="1364"/>
        <v>16864.80</v>
      </c>
      <c r="V676" s="1320">
        <f t="shared" si="1364"/>
        <v>16864.80</v>
      </c>
      <c r="W676" s="1021">
        <f t="shared" si="1364"/>
        <v>17540.80</v>
      </c>
      <c r="X676" s="1149">
        <f t="shared" si="1364"/>
        <v>18307.60</v>
      </c>
      <c r="Y676" s="1149">
        <f t="shared" si="1364"/>
        <v>19522.20</v>
      </c>
      <c r="Z676" s="1021">
        <f t="shared" si="1364"/>
        <v>19617</v>
      </c>
      <c r="AA676" s="1320">
        <f t="shared" si="1364"/>
        <v>19617</v>
      </c>
      <c r="AB676" s="1021">
        <f t="shared" si="1364"/>
        <v>20687</v>
      </c>
      <c r="AC676" s="1149">
        <f t="shared" si="1364"/>
        <v>21733.799999999999</v>
      </c>
      <c r="AD676" s="1149">
        <f t="shared" si="1364"/>
        <v>22874</v>
      </c>
      <c r="AE676" s="1021">
        <f t="shared" si="1364"/>
        <v>23204.900000000001</v>
      </c>
      <c r="AF676" s="1320">
        <f t="shared" si="1364"/>
        <v>23204.900000000001</v>
      </c>
      <c r="AG676" s="1021">
        <f t="shared" si="1364"/>
        <v>24325.099999999999</v>
      </c>
      <c r="AH676" s="1149">
        <f t="shared" si="1364"/>
        <v>25112.299999999999</v>
      </c>
      <c r="AI676" s="1149">
        <f t="shared" si="1364"/>
        <v>26292.599999999999</v>
      </c>
      <c r="AJ676" s="1021">
        <f t="shared" si="1364"/>
        <v>26655.50</v>
      </c>
      <c r="AK676" s="1320">
        <f t="shared" si="1364"/>
        <v>26655.50</v>
      </c>
      <c r="AL676" s="1021">
        <f t="shared" si="1364"/>
        <v>27065.700000000001</v>
      </c>
      <c r="AM676" s="1149">
        <f t="shared" si="1364"/>
        <v>27703.60</v>
      </c>
      <c r="AN676" s="1149">
        <f t="shared" si="1364"/>
        <v>29520.80</v>
      </c>
      <c r="AO676" s="1021">
        <f>ROUND(INDEX(MO_BSS_NUPR,0,COLUMN())+INDEX(MO_BSS_NLR,0,COLUMN()),6)</f>
        <v>29537</v>
      </c>
      <c r="AP676" s="1320">
        <f>ROUND(INDEX(MO_BSS_NUPR,0,COLUMN())+INDEX(MO_BSS_NLR,0,COLUMN()),6)</f>
        <v>29537</v>
      </c>
      <c r="AQ676" s="1021">
        <f t="shared" si="1364"/>
        <v>31473.400000000001</v>
      </c>
      <c r="AR676" s="1149">
        <f t="shared" si="1365" ref="AR676:AU676">ROUND(INDEX(MO_BSS_NUPR,0,COLUMN())+INDEX(MO_BSS_NLR,0,COLUMN()),6)</f>
        <v>34366.599999999999</v>
      </c>
      <c r="AS676" s="1149">
        <f t="shared" si="1365"/>
        <v>37114.099999999999</v>
      </c>
      <c r="AT676" s="1021">
        <f t="shared" si="1365"/>
        <v>36588.699999999997</v>
      </c>
      <c r="AU676" s="1320">
        <f t="shared" si="1365"/>
        <v>36588.699999999997</v>
      </c>
      <c r="AV676" s="1021">
        <f t="shared" si="1366" ref="AV676:BJ676">ROUND(INDEX(MO_BSS_NUPR,0,COLUMN())+INDEX(MO_BSS_NLR,0,COLUMN()),6)</f>
        <v>38532.099999999999</v>
      </c>
      <c r="AW676" s="1149">
        <f t="shared" si="1366"/>
        <v>39937.900000000001</v>
      </c>
      <c r="AX676" s="1149">
        <f t="shared" si="1366"/>
        <v>42027.20</v>
      </c>
      <c r="AY676" s="1021">
        <f t="shared" si="1366"/>
        <v>41798.199999999997</v>
      </c>
      <c r="AZ676" s="1320">
        <f t="shared" si="1366"/>
        <v>41798.199999999997</v>
      </c>
      <c r="BA676" s="1021">
        <f t="shared" si="1367" ref="BA676:BI676">ROUND(INDEX(MO_BSS_NUPR,0,COLUMN())+INDEX(MO_BSS_NLR,0,COLUMN()),6)</f>
        <v>45300</v>
      </c>
      <c r="BB676" s="1149">
        <f t="shared" si="1367"/>
        <v>47516.099999999999</v>
      </c>
      <c r="BC676" s="1149">
        <f t="shared" si="1367"/>
        <v>49162.800000000003</v>
      </c>
      <c r="BD676" s="1021">
        <f t="shared" si="1367"/>
        <v>49484.099999999999</v>
      </c>
      <c r="BE676" s="1320">
        <f t="shared" si="1367"/>
        <v>49484.099999999999</v>
      </c>
      <c r="BF676" s="1021">
        <f>ROUND(INDEX(MO_BSS_NUPR,0,COLUMN())+INDEX(MO_BSS_NLR,0,COLUMN()),6)</f>
        <v>52876.599999999999</v>
      </c>
      <c r="BG676" s="1149">
        <f>ROUND(INDEX(MO_BSS_NUPR,0,COLUMN())+INDEX(MO_BSS_NLR,0,COLUMN()),6)</f>
        <v>55479.800000000003</v>
      </c>
      <c r="BH676" s="1150">
        <f>ROUND(INDEX(MO_BSS_NUPR,0,COLUMN())+INDEX(MO_BSS_NLR,0,COLUMN()),6)</f>
        <v>58064</v>
      </c>
      <c r="BI676" s="1151">
        <f t="shared" si="1367"/>
        <v>59438.111999000001</v>
      </c>
      <c r="BJ676" s="1393">
        <f t="shared" si="1366"/>
        <v>59438.111999000001</v>
      </c>
      <c r="BK676" s="1151">
        <f t="shared" si="1368" ref="BK676:BR676">ROUND(INDEX(MO_BSS_NUPR,0,COLUMN())+INDEX(MO_BSS_NLR,0,COLUMN()),6)</f>
        <v>61131.522577999996</v>
      </c>
      <c r="BL676" s="1151">
        <f t="shared" si="1368"/>
        <v>63265.834752000002</v>
      </c>
      <c r="BM676" s="1151">
        <f t="shared" si="1368"/>
        <v>65423.307868999997</v>
      </c>
      <c r="BN676" s="1151">
        <f t="shared" si="1368"/>
        <v>66934.902975000005</v>
      </c>
      <c r="BO676" s="1393">
        <f t="shared" si="1368"/>
        <v>66934.902975000005</v>
      </c>
      <c r="BP676" s="1363">
        <f t="shared" si="1368"/>
        <v>74985.930110000001</v>
      </c>
      <c r="BQ676" s="1363">
        <f t="shared" si="1368"/>
        <v>83362.218741000004</v>
      </c>
      <c r="BR676" s="1393">
        <f t="shared" si="1368"/>
        <v>92076.909432</v>
      </c>
      <c r="BS676" s="648"/>
    </row>
    <row r="677" spans="1:71" s="669" customFormat="1" ht="15">
      <c r="A677" s="424"/>
      <c r="B677" s="424"/>
      <c r="C677" s="1325"/>
      <c r="D677" s="1325"/>
      <c r="E677" s="1325"/>
      <c r="F677" s="1325"/>
      <c r="G677" s="1325"/>
      <c r="H677" s="726"/>
      <c r="I677" s="726"/>
      <c r="J677" s="726"/>
      <c r="K677" s="726"/>
      <c r="L677" s="1325"/>
      <c r="M677" s="726"/>
      <c r="N677" s="726"/>
      <c r="O677" s="726"/>
      <c r="P677" s="726"/>
      <c r="Q677" s="1325"/>
      <c r="R677" s="726"/>
      <c r="S677" s="425"/>
      <c r="T677" s="425"/>
      <c r="U677" s="726"/>
      <c r="V677" s="1325"/>
      <c r="W677" s="726"/>
      <c r="X677" s="425"/>
      <c r="Y677" s="425"/>
      <c r="Z677" s="726"/>
      <c r="AA677" s="1325"/>
      <c r="AB677" s="726"/>
      <c r="AC677" s="425"/>
      <c r="AD677" s="425"/>
      <c r="AE677" s="726"/>
      <c r="AF677" s="1325"/>
      <c r="AG677" s="726"/>
      <c r="AH677" s="425"/>
      <c r="AI677" s="425"/>
      <c r="AJ677" s="726"/>
      <c r="AK677" s="1325"/>
      <c r="AL677" s="726"/>
      <c r="AM677" s="425"/>
      <c r="AN677" s="425"/>
      <c r="AO677" s="726"/>
      <c r="AP677" s="1325"/>
      <c r="AQ677" s="726"/>
      <c r="AR677" s="425"/>
      <c r="AS677" s="425"/>
      <c r="AT677" s="726"/>
      <c r="AU677" s="1325"/>
      <c r="AV677" s="726"/>
      <c r="AW677" s="425"/>
      <c r="AX677" s="425"/>
      <c r="AY677" s="726"/>
      <c r="AZ677" s="1325"/>
      <c r="BA677" s="726"/>
      <c r="BB677" s="425"/>
      <c r="BC677" s="425"/>
      <c r="BD677" s="726"/>
      <c r="BE677" s="1325"/>
      <c r="BF677" s="726"/>
      <c r="BG677" s="425"/>
      <c r="BH677" s="865"/>
      <c r="BI677" s="50"/>
      <c r="BJ677" s="1332"/>
      <c r="BK677" s="50"/>
      <c r="BL677" s="50"/>
      <c r="BM677" s="50"/>
      <c r="BN677" s="50"/>
      <c r="BO677" s="1332"/>
      <c r="BP677" s="1333"/>
      <c r="BQ677" s="1333"/>
      <c r="BR677" s="1332"/>
      <c r="BS677" s="648"/>
    </row>
    <row r="678" spans="1:71" s="669" customFormat="1" ht="15">
      <c r="A678" s="22" t="s">
        <v>321</v>
      </c>
      <c r="B678" s="424"/>
      <c r="C678" s="1327">
        <f>INDEX(MO_BSS_NTR,0,COLUMN())/INDEX(MO_UI_NWP,0,COLUMN())/(C$3/C$3)</f>
        <v>0.73036299623649403</v>
      </c>
      <c r="D678" s="1327">
        <f>INDEX(MO_BSS_NTR,0,COLUMN())/INDEX(MO_UI_NWP,0,COLUMN())/(D$3/D$3)</f>
        <v>0.73445789124668437</v>
      </c>
      <c r="E678" s="1327">
        <f>INDEX(MO_BSS_NTR,0,COLUMN())/INDEX(MO_UI_NWP,0,COLUMN())/(E$3/E$3)</f>
        <v>0.72423514188002591</v>
      </c>
      <c r="F678" s="1327">
        <f>INDEX(MO_BSS_NTR,0,COLUMN())/INDEX(MO_UI_NWP,0,COLUMN())/(F$3/F$3)</f>
        <v>0.72319776212842113</v>
      </c>
      <c r="G678" s="1327">
        <f>INDEX(MO_BSS_NTR,0,COLUMN())/INDEX(MO_UI_NWP,0,COLUMN())/(G$3/G$3)</f>
        <v>0.72281527362065079</v>
      </c>
      <c r="H678" s="725">
        <f>INDEX(MO_BSS_NTR,0,COLUMN())/INDEX(MO_UI_NWP,0,COLUMN())/(L$3/H$3)</f>
        <v>0.67919628460140535</v>
      </c>
      <c r="I678" s="725">
        <f>INDEX(MO_BSS_NTR,0,COLUMN())/INDEX(MO_UI_NWP,0,COLUMN())/(L$3/I$3)</f>
        <v>0.70213570988990948</v>
      </c>
      <c r="J678" s="725">
        <f>INDEX(MO_BSS_NTR,0,COLUMN())/INDEX(MO_UI_NWP,0,COLUMN())/(L$3/J$3)</f>
        <v>0.70767940174475685</v>
      </c>
      <c r="K678" s="725">
        <f>INDEX(MO_BSS_NTR,0,COLUMN())/INDEX(MO_UI_NWP,0,COLUMN())/(L$3/K$3)</f>
        <v>0.71166580758258513</v>
      </c>
      <c r="L678" s="1327">
        <f>INDEX(MO_BSS_NTR,0,COLUMN())/INDEX(MO_UI_NWP,0,COLUMN())/(L$3/L$3)</f>
        <v>0.69828889389212312</v>
      </c>
      <c r="M678" s="725">
        <f>INDEX(MO_BSS_NTR,0,COLUMN())/INDEX(MO_UI_NWP,0,COLUMN())/(Q$3/M$3)</f>
        <v>0.65940460110458521</v>
      </c>
      <c r="N678" s="725">
        <f>INDEX(MO_BSS_NTR,0,COLUMN())/INDEX(MO_UI_NWP,0,COLUMN())/(Q$3/N$3)</f>
        <v>0.70116744258552921</v>
      </c>
      <c r="O678" s="725">
        <f>INDEX(MO_BSS_NTR,0,COLUMN())/INDEX(MO_UI_NWP,0,COLUMN())/(Q$3/O$3)</f>
        <v>0.70823178185451596</v>
      </c>
      <c r="P678" s="725">
        <f>INDEX(MO_BSS_NTR,0,COLUMN())/INDEX(MO_UI_NWP,0,COLUMN())/(Q$3/P$3)</f>
        <v>0.78238308317561323</v>
      </c>
      <c r="Q678" s="1327">
        <f>INDEX(MO_BSS_NTR,0,COLUMN())/INDEX(MO_UI_NWP,0,COLUMN())/(Q$3/Q$3)</f>
        <v>0.73034429099397014</v>
      </c>
      <c r="R678" s="725">
        <f>INDEX(MO_BSS_NTR,0,COLUMN())/INDEX(MO_UI_NWP,0,COLUMN())/(V$3/R$3)</f>
        <v>0.67098329099544018</v>
      </c>
      <c r="S678" s="725">
        <f>INDEX(MO_BSS_NTR,0,COLUMN())/INDEX(MO_UI_NWP,0,COLUMN())/(V$3/S$3)</f>
        <v>0.68587356281832623</v>
      </c>
      <c r="T678" s="725">
        <f>INDEX(MO_BSS_NTR,0,COLUMN())/INDEX(MO_UI_NWP,0,COLUMN())/(V$3/T$3)</f>
        <v>0.70693344968729865</v>
      </c>
      <c r="U678" s="725">
        <f>INDEX(MO_BSS_NTR,0,COLUMN())/INDEX(MO_UI_NWP,0,COLUMN())/(V$3/U$3)</f>
        <v>0.76362052495042687</v>
      </c>
      <c r="V678" s="1327">
        <f>INDEX(MO_BSS_NTR,0,COLUMN())/INDEX(MO_UI_NWP,0,COLUMN())/(V$3/V$3)</f>
        <v>0.72215299633887853</v>
      </c>
      <c r="W678" s="725">
        <f>INDEX(MO_BSS_NTR,0,COLUMN())/INDEX(MO_UI_NWP,0,COLUMN())/(AA$3/W$3)</f>
        <v>0.66632703237148183</v>
      </c>
      <c r="X678" s="725">
        <f>INDEX(MO_BSS_NTR,0,COLUMN())/INDEX(MO_UI_NWP,0,COLUMN())/(AA$3/X$3)</f>
        <v>0.67659248275969897</v>
      </c>
      <c r="Y678" s="725">
        <f>INDEX(MO_BSS_NTR,0,COLUMN())/INDEX(MO_UI_NWP,0,COLUMN())/(AA$3/Y$3)</f>
        <v>0.68893706731477389</v>
      </c>
      <c r="Z678" s="725">
        <f>INDEX(MO_BSS_NTR,0,COLUMN())/INDEX(MO_UI_NWP,0,COLUMN())/(AA$3/Z$3)</f>
        <v>0.73224519505221541</v>
      </c>
      <c r="AA678" s="1327">
        <f>INDEX(MO_BSS_NTR,0,COLUMN())/INDEX(MO_UI_NWP,0,COLUMN())/(AA$3/AA$3)</f>
        <v>0.72301812244536912</v>
      </c>
      <c r="AB678" s="725">
        <f>INDEX(MO_BSS_NTR,0,COLUMN())/INDEX(MO_UI_NWP,0,COLUMN())/(AF$3/AB$3)</f>
        <v>0.64010944051664509</v>
      </c>
      <c r="AC678" s="725">
        <f>INDEX(MO_BSS_NTR,0,COLUMN())/INDEX(MO_UI_NWP,0,COLUMN())/(AF$3/AC$3)</f>
        <v>0.66934688468820658</v>
      </c>
      <c r="AD678" s="725">
        <f>INDEX(MO_BSS_NTR,0,COLUMN())/INDEX(MO_UI_NWP,0,COLUMN())/(AF$3/AD$3)</f>
        <v>0.67009546372187512</v>
      </c>
      <c r="AE678" s="725">
        <f>INDEX(MO_BSS_NTR,0,COLUMN())/INDEX(MO_UI_NWP,0,COLUMN())/(AF$3/AE$3)</f>
        <v>0.73647111503309892</v>
      </c>
      <c r="AF678" s="1327">
        <f>INDEX(MO_BSS_NTR,0,COLUMN())/INDEX(MO_UI_NWP,0,COLUMN())/(AF$3/AF$3)</f>
        <v>0.71159065191858917</v>
      </c>
      <c r="AG678" s="725">
        <f>INDEX(MO_BSS_NTR,0,COLUMN())/INDEX(MO_UI_NWP,0,COLUMN())/(AK$3/AG$3)</f>
        <v>0.64913796285822323</v>
      </c>
      <c r="AH678" s="725">
        <f>INDEX(MO_BSS_NTR,0,COLUMN())/INDEX(MO_UI_NWP,0,COLUMN())/(AK$3/AH$3)</f>
        <v>0.68601049630422928</v>
      </c>
      <c r="AI678" s="725">
        <f>INDEX(MO_BSS_NTR,0,COLUMN())/INDEX(MO_UI_NWP,0,COLUMN())/(AK$3/AI$3)</f>
        <v>0.68880970049587975</v>
      </c>
      <c r="AJ678" s="725">
        <f>INDEX(MO_BSS_NTR,0,COLUMN())/INDEX(MO_UI_NWP,0,COLUMN())/(AK$3/AJ$3)</f>
        <v>0.70056688271925438</v>
      </c>
      <c r="AK678" s="1327">
        <f>INDEX(MO_BSS_NTR,0,COLUMN())/INDEX(MO_UI_NWP,0,COLUMN())/(AK$3/AK$3)</f>
        <v>0.70933979812602621</v>
      </c>
      <c r="AL678" s="725">
        <f>INDEX(MO_BSS_NTR,0,COLUMN())/INDEX(MO_UI_NWP,0,COLUMN())/(AP$3/AL$3)</f>
        <v>0.68171871992544053</v>
      </c>
      <c r="AM678" s="725">
        <f>INDEX(MO_BSS_NTR,0,COLUMN())/INDEX(MO_UI_NWP,0,COLUMN())/(AP$3/AM$3)</f>
        <v>0.67929522208210724</v>
      </c>
      <c r="AN678" s="725">
        <f>INDEX(MO_BSS_NTR,0,COLUMN())/INDEX(MO_UI_NWP,0,COLUMN())/(AP$3/AN$3)</f>
        <v>0.67366877847215489</v>
      </c>
      <c r="AO678" s="725">
        <f>INDEX(MO_BSS_NTR,0,COLUMN())/INDEX(MO_UI_NWP,0,COLUMN())/(AP$3/AO$3)</f>
        <v>0.77807248702054799</v>
      </c>
      <c r="AP678" s="1327">
        <f>INDEX(MO_BSS_NTR,0,COLUMN())/INDEX(MO_UI_NWP,0,COLUMN())/(AP$3/AP$3)</f>
        <v>0.72807361340146459</v>
      </c>
      <c r="AQ678" s="725">
        <f>INDEX(MO_BSS_NTR,0,COLUMN())/INDEX(MO_UI_NWP,0,COLUMN())/(AU$3/AQ$3)</f>
        <v>0.66165045771300812</v>
      </c>
      <c r="AR678" s="725">
        <f>INDEX(MO_BSS_NTR,0,COLUMN())/INDEX(MO_UI_NWP,0,COLUMN())/(AU$3/AR$3)</f>
        <v>0.74633164924929773</v>
      </c>
      <c r="AS678" s="725">
        <f>INDEX(MO_BSS_NTR,0,COLUMN())/INDEX(MO_UI_NWP,0,COLUMN())/(AU$3/AS$3)</f>
        <v>0.75159979506809704</v>
      </c>
      <c r="AT678" s="725">
        <f>INDEX(MO_BSS_NTR,0,COLUMN())/INDEX(MO_UI_NWP,0,COLUMN())/(AU$3/AT$3)</f>
        <v>0.85794956511344622</v>
      </c>
      <c r="AU678" s="1327">
        <f>INDEX(MO_BSS_NTR,0,COLUMN())/INDEX(MO_UI_NWP,0,COLUMN())/(AU$3/AU$3)</f>
        <v>0.78846120693370558</v>
      </c>
      <c r="AV678" s="725">
        <f>INDEX(MO_BSS_NTR,0,COLUMN())/INDEX(MO_UI_NWP,0,COLUMN())/(AZ$3/AV$3)</f>
        <v>0.72081524568884447</v>
      </c>
      <c r="AW678" s="725">
        <f>INDEX(MO_BSS_NTR,0,COLUMN())/INDEX(MO_UI_NWP,0,COLUMN())/(AZ$3/AW$3)</f>
        <v>0.80156497484101752</v>
      </c>
      <c r="AX678" s="725">
        <f>INDEX(MO_BSS_NTR,0,COLUMN())/INDEX(MO_UI_NWP,0,COLUMN())/(AZ$3/AX$3)</f>
        <v>0.81374404740232387</v>
      </c>
      <c r="AY678" s="725">
        <f>INDEX(MO_BSS_NTR,0,COLUMN())/INDEX(MO_UI_NWP,0,COLUMN())/(AZ$3/AY$3)</f>
        <v>0.8455270952576015</v>
      </c>
      <c r="AZ678" s="1327">
        <f>INDEX(MO_BSS_NTR,0,COLUMN())/INDEX(MO_UI_NWP,0,COLUMN())/(AZ$3/AZ$3)</f>
        <v>0.81827133714818201</v>
      </c>
      <c r="BA678" s="725">
        <f>INDEX(MO_BSS_NTR,0,COLUMN())/INDEX(MO_UI_NWP,0,COLUMN())/(BE$3/BA$3)</f>
        <v>0.69336257122718803</v>
      </c>
      <c r="BB678" s="725">
        <f>INDEX(MO_BSS_NTR,0,COLUMN())/INDEX(MO_UI_NWP,0,COLUMN())/(BE$3/BB$3)</f>
        <v>0.80495754717551915</v>
      </c>
      <c r="BC678" s="725">
        <f>INDEX(MO_BSS_NTR,0,COLUMN())/INDEX(MO_UI_NWP,0,COLUMN())/(BE$3/BC$3)</f>
        <v>0.79465681566101876</v>
      </c>
      <c r="BD678" s="725">
        <f>INDEX(MO_BSS_NTR,0,COLUMN())/INDEX(MO_UI_NWP,0,COLUMN())/(BE$3/BD$3)</f>
        <v>0.82438000882590945</v>
      </c>
      <c r="BE678" s="1327">
        <f>INDEX(MO_BSS_NTR,0,COLUMN())/INDEX(MO_UI_NWP,0,COLUMN())/(BE$3/BE$3)</f>
        <v>0.80396326900643689</v>
      </c>
      <c r="BF678" s="725">
        <f>INDEX(MO_BSS_NTR,0,COLUMN())/INDEX(MO_UI_NWP,0,COLUMN())/(BJ$3/BF$3)</f>
        <v>0.69332219930441985</v>
      </c>
      <c r="BG678" s="725">
        <f>INDEX(MO_BSS_NTR,0,COLUMN())/INDEX(MO_UI_NWP,0,COLUMN())/(BJ$3/BG$3)</f>
        <v>0.77055447130408838</v>
      </c>
      <c r="BH678" s="809">
        <f>INDEX(MO_BSS_NTR,0,COLUMN())/INDEX(MO_UI_NWP,0,COLUMN())/(BJ$3/BH$3)</f>
        <v>0.75018618826310124</v>
      </c>
      <c r="BI678" s="50">
        <f>INDEX(MO_BSS_NTR,0,COLUMN())/INDEX(MO_UI_NWP,0,COLUMN())/(BJ$3/BI$3)</f>
        <v>0.83709308283921113</v>
      </c>
      <c r="BJ678" s="1326">
        <f>INDEX(MO_BSS_NTR,0,COLUMN())/INDEX(MO_UI_NWP,0,COLUMN())/(BJ$3/BJ$3)</f>
        <v>0.80140107529031779</v>
      </c>
      <c r="BK678" s="50">
        <f>INDEX(MO_BSS_NTR,0,COLUMN())/INDEX(MO_UI_NWP,0,COLUMN())/(BO$3/BK$3)</f>
        <v>0.68990930464977751</v>
      </c>
      <c r="BL678" s="50">
        <f>INDEX(MO_BSS_NTR,0,COLUMN())/INDEX(MO_UI_NWP,0,COLUMN())/(BO$3/BL$3)</f>
        <v>0.76505616622450034</v>
      </c>
      <c r="BM678" s="50">
        <f>INDEX(MO_BSS_NTR,0,COLUMN())/INDEX(MO_UI_NWP,0,COLUMN())/(BO$3/BM$3)</f>
        <v>0.752021139828984</v>
      </c>
      <c r="BN678" s="50">
        <f>INDEX(MO_BSS_NTR,0,COLUMN())/INDEX(MO_UI_NWP,0,COLUMN())/(BO$3/BN$3)</f>
        <v>0.83929157720380299</v>
      </c>
      <c r="BO678" s="1326">
        <f>INDEX(MO_BSS_NTR,0,COLUMN())/INDEX(MO_UI_NWP,0,COLUMN())/(BO$3/BO$3)</f>
        <v>0.79217381903729922</v>
      </c>
      <c r="BP678" s="1325">
        <f>INDEX(MO_BSS_NTR,0,COLUMN())/INDEX(MO_UI_NWP,0,COLUMN())/(BP3/BP3)</f>
        <v>0.8283915887291311</v>
      </c>
      <c r="BQ678" s="1325">
        <f>INDEX(MO_BSS_NTR,0,COLUMN())/INDEX(MO_UI_NWP,0,COLUMN())/(BQ3/BQ3)</f>
        <v>0.88516619458090207</v>
      </c>
      <c r="BR678" s="1326">
        <f>INDEX(MO_BSS_NTR,0,COLUMN())/INDEX(MO_UI_NWP,0,COLUMN())/(BR3/BR3)</f>
        <v>0.93973617328564918</v>
      </c>
      <c r="BS678" s="648"/>
    </row>
    <row r="679" spans="1:71" s="669" customFormat="1" ht="15">
      <c r="A679" s="22" t="s">
        <v>322</v>
      </c>
      <c r="B679" s="424"/>
      <c r="C679" s="1327">
        <f>C714/C220</f>
        <v>0.35375529354633689</v>
      </c>
      <c r="D679" s="1327">
        <f>D714/D220</f>
        <v>0.3504227453580902</v>
      </c>
      <c r="E679" s="1327">
        <f>E714/E220</f>
        <v>0.34788005228896252</v>
      </c>
      <c r="F679" s="1327">
        <f>F714/F220</f>
        <v>0.34235037593066509</v>
      </c>
      <c r="G679" s="1327">
        <f>G714/G220</f>
        <v>0.34550770774580875</v>
      </c>
      <c r="H679" s="726"/>
      <c r="I679" s="726"/>
      <c r="J679" s="726"/>
      <c r="K679" s="726"/>
      <c r="L679" s="1327">
        <f>L714/L220</f>
        <v>0.34537325914251715</v>
      </c>
      <c r="M679" s="726"/>
      <c r="N679" s="726"/>
      <c r="O679" s="726"/>
      <c r="P679" s="726"/>
      <c r="Q679" s="1327">
        <f>Q714/Q220</f>
        <v>0.36838650068080148</v>
      </c>
      <c r="R679" s="726"/>
      <c r="S679" s="425"/>
      <c r="T679" s="425"/>
      <c r="U679" s="726"/>
      <c r="V679" s="1327">
        <f>V714/V220</f>
        <v>0.36654034727128698</v>
      </c>
      <c r="W679" s="726"/>
      <c r="X679" s="425"/>
      <c r="Y679" s="425"/>
      <c r="Z679" s="726"/>
      <c r="AA679" s="1327">
        <f>AA714/AA220</f>
        <v>0.35619800900040904</v>
      </c>
      <c r="AB679" s="726"/>
      <c r="AC679" s="425"/>
      <c r="AD679" s="425"/>
      <c r="AE679" s="726"/>
      <c r="AF679" s="1327">
        <f>AF714/AF220</f>
        <v>0.3597435134729024</v>
      </c>
      <c r="AG679" s="726"/>
      <c r="AH679" s="425"/>
      <c r="AI679" s="425"/>
      <c r="AJ679" s="726"/>
      <c r="AK679" s="1327">
        <f>AK714/AK220</f>
        <v>0.36380691842811863</v>
      </c>
      <c r="AL679" s="726"/>
      <c r="AM679" s="425"/>
      <c r="AN679" s="425"/>
      <c r="AO679" s="726"/>
      <c r="AP679" s="1327">
        <f>AP714/AP220</f>
        <v>0.3745399778647085</v>
      </c>
      <c r="AQ679" s="726"/>
      <c r="AR679" s="425"/>
      <c r="AS679" s="425"/>
      <c r="AT679" s="726"/>
      <c r="AU679" s="1327">
        <f>AU714/AU220</f>
        <v>0.35391938834440967</v>
      </c>
      <c r="AV679" s="726"/>
      <c r="AW679" s="425"/>
      <c r="AX679" s="425"/>
      <c r="AY679" s="726"/>
      <c r="AZ679" s="1327">
        <f>AZ714/AZ220</f>
        <v>0.35002965871917407</v>
      </c>
      <c r="BA679" s="726"/>
      <c r="BB679" s="425"/>
      <c r="BC679" s="425"/>
      <c r="BD679" s="726"/>
      <c r="BE679" s="1327">
        <f>BE714/BE220</f>
        <v>0.36148704634590945</v>
      </c>
      <c r="BF679" s="726"/>
      <c r="BG679" s="425"/>
      <c r="BH679" s="865"/>
      <c r="BI679" s="50"/>
      <c r="BJ679" s="1332"/>
      <c r="BK679" s="50"/>
      <c r="BL679" s="50"/>
      <c r="BM679" s="50"/>
      <c r="BN679" s="50"/>
      <c r="BO679" s="1332"/>
      <c r="BP679" s="1333"/>
      <c r="BQ679" s="1333"/>
      <c r="BR679" s="1332"/>
      <c r="BS679" s="648"/>
    </row>
    <row r="680" spans="1:71" s="669" customFormat="1" ht="15">
      <c r="A680" s="107"/>
      <c r="B680" s="424"/>
      <c r="C680" s="1325"/>
      <c r="D680" s="1325"/>
      <c r="E680" s="1325"/>
      <c r="F680" s="1325"/>
      <c r="G680" s="1325"/>
      <c r="H680" s="726"/>
      <c r="I680" s="726"/>
      <c r="J680" s="726"/>
      <c r="K680" s="726"/>
      <c r="L680" s="1325"/>
      <c r="M680" s="726"/>
      <c r="N680" s="726"/>
      <c r="O680" s="726"/>
      <c r="P680" s="726"/>
      <c r="Q680" s="1325"/>
      <c r="R680" s="726"/>
      <c r="S680" s="726"/>
      <c r="T680" s="726"/>
      <c r="U680" s="726"/>
      <c r="V680" s="1325"/>
      <c r="W680" s="726"/>
      <c r="X680" s="726"/>
      <c r="Y680" s="726"/>
      <c r="Z680" s="726"/>
      <c r="AA680" s="1325"/>
      <c r="AB680" s="726"/>
      <c r="AC680" s="726"/>
      <c r="AD680" s="726"/>
      <c r="AE680" s="726"/>
      <c r="AF680" s="1325"/>
      <c r="AG680" s="726"/>
      <c r="AH680" s="726"/>
      <c r="AI680" s="726"/>
      <c r="AJ680" s="726"/>
      <c r="AK680" s="1325"/>
      <c r="AL680" s="726"/>
      <c r="AM680" s="726"/>
      <c r="AN680" s="726"/>
      <c r="AO680" s="726"/>
      <c r="AP680" s="1325"/>
      <c r="AQ680" s="726"/>
      <c r="AR680" s="726"/>
      <c r="AS680" s="726"/>
      <c r="AT680" s="726"/>
      <c r="AU680" s="1325"/>
      <c r="AV680" s="726"/>
      <c r="AW680" s="726"/>
      <c r="AX680" s="726"/>
      <c r="AY680" s="726"/>
      <c r="AZ680" s="1325"/>
      <c r="BA680" s="726"/>
      <c r="BB680" s="726"/>
      <c r="BC680" s="726"/>
      <c r="BD680" s="726"/>
      <c r="BE680" s="1325"/>
      <c r="BF680" s="726"/>
      <c r="BG680" s="726"/>
      <c r="BH680" s="808"/>
      <c r="BI680" s="98"/>
      <c r="BJ680" s="1326"/>
      <c r="BK680" s="98"/>
      <c r="BL680" s="98"/>
      <c r="BM680" s="98"/>
      <c r="BN680" s="98"/>
      <c r="BO680" s="1326"/>
      <c r="BP680" s="1325"/>
      <c r="BQ680" s="1325"/>
      <c r="BR680" s="1326"/>
      <c r="BS680" s="648"/>
    </row>
    <row r="681" spans="1:71" s="668" customFormat="1" ht="15">
      <c r="A681" s="648" t="s">
        <v>122</v>
      </c>
      <c r="B681" s="367"/>
      <c r="C681" s="1320">
        <f t="shared" si="1369" ref="C681:AM681">C929</f>
        <v>5748.60</v>
      </c>
      <c r="D681" s="1320">
        <f t="shared" si="1369"/>
        <v>6048.90</v>
      </c>
      <c r="E681" s="1320">
        <f t="shared" si="1369"/>
        <v>5806.70</v>
      </c>
      <c r="F681" s="1320">
        <f t="shared" si="1369"/>
        <v>6007</v>
      </c>
      <c r="G681" s="1320">
        <f t="shared" si="1369"/>
        <v>6189.50</v>
      </c>
      <c r="H681" s="1021">
        <f t="shared" si="1369"/>
        <v>6438.60</v>
      </c>
      <c r="I681" s="1021">
        <f t="shared" si="1369"/>
        <v>6789.2000000000007</v>
      </c>
      <c r="J681" s="1021">
        <f t="shared" si="1369"/>
        <v>6935.30</v>
      </c>
      <c r="K681" s="1021">
        <f t="shared" si="1369"/>
        <v>6928.60</v>
      </c>
      <c r="L681" s="1320">
        <f t="shared" si="1369"/>
        <v>6928.60</v>
      </c>
      <c r="M681" s="1021">
        <f t="shared" si="1369"/>
        <v>7201.90</v>
      </c>
      <c r="N681" s="1021">
        <f t="shared" si="1369"/>
        <v>7359.7999999999993</v>
      </c>
      <c r="O681" s="1021">
        <f t="shared" si="1369"/>
        <v>7461.9999999999991</v>
      </c>
      <c r="P681" s="1021">
        <f t="shared" si="1369"/>
        <v>7289.40</v>
      </c>
      <c r="Q681" s="1320">
        <f t="shared" si="1369"/>
        <v>7289.40</v>
      </c>
      <c r="R681" s="1021">
        <f t="shared" si="1369"/>
        <v>7559.90</v>
      </c>
      <c r="S681" s="1021">
        <f t="shared" si="1369"/>
        <v>7835.50</v>
      </c>
      <c r="T681" s="1021">
        <f t="shared" si="1369"/>
        <v>8094.7000000000007</v>
      </c>
      <c r="U681" s="1021">
        <f t="shared" si="1369"/>
        <v>7957.10</v>
      </c>
      <c r="V681" s="1320">
        <f t="shared" si="1369"/>
        <v>7957.10</v>
      </c>
      <c r="W681" s="1021">
        <f t="shared" si="1369"/>
        <v>8522.90</v>
      </c>
      <c r="X681" s="1021">
        <f t="shared" si="1369"/>
        <v>8991.50</v>
      </c>
      <c r="Y681" s="1021">
        <f t="shared" si="1369"/>
        <v>9289.40</v>
      </c>
      <c r="Z681" s="1021">
        <f t="shared" si="1369"/>
        <v>9284.8000000000011</v>
      </c>
      <c r="AA681" s="1320">
        <f t="shared" si="1369"/>
        <v>9284.8000000000011</v>
      </c>
      <c r="AB681" s="1021">
        <f t="shared" si="1369"/>
        <v>10323.199999999999</v>
      </c>
      <c r="AC681" s="1021">
        <f t="shared" si="1369"/>
        <v>11000.80</v>
      </c>
      <c r="AD681" s="1021">
        <f t="shared" si="1369"/>
        <v>11858.80</v>
      </c>
      <c r="AE681" s="1021">
        <f t="shared" si="1369"/>
        <v>10821.80</v>
      </c>
      <c r="AF681" s="1320">
        <f t="shared" si="1369"/>
        <v>10821.80</v>
      </c>
      <c r="AG681" s="1021">
        <f t="shared" si="1369"/>
        <v>12110.700000000001</v>
      </c>
      <c r="AH681" s="1021">
        <f t="shared" si="1369"/>
        <v>13330.80</v>
      </c>
      <c r="AI681" s="1021">
        <f t="shared" si="1369"/>
        <v>14123.300000000001</v>
      </c>
      <c r="AJ681" s="1021">
        <f t="shared" si="1369"/>
        <v>13673.20</v>
      </c>
      <c r="AK681" s="1320">
        <f t="shared" si="1369"/>
        <v>13673.20</v>
      </c>
      <c r="AL681" s="1021">
        <f t="shared" si="1369"/>
        <v>14351.500000000002</v>
      </c>
      <c r="AM681" s="1021">
        <f t="shared" si="1369"/>
        <v>16670.60</v>
      </c>
      <c r="AN681" s="1021">
        <f t="shared" si="1370" ref="AN681:AU681">AN929</f>
        <v>18087.20</v>
      </c>
      <c r="AO681" s="1021">
        <f t="shared" si="1370"/>
        <v>17038.60</v>
      </c>
      <c r="AP681" s="1320">
        <f t="shared" si="1370"/>
        <v>17038.60</v>
      </c>
      <c r="AQ681" s="1021">
        <f t="shared" si="1370"/>
        <v>17836.50</v>
      </c>
      <c r="AR681" s="1021">
        <f t="shared" si="1370"/>
        <v>18675.600000000002</v>
      </c>
      <c r="AS681" s="1021">
        <f t="shared" si="1370"/>
        <v>18558.099999999999</v>
      </c>
      <c r="AT681" s="1021">
        <f t="shared" si="1370"/>
        <v>18231.600000000002</v>
      </c>
      <c r="AU681" s="1320">
        <f t="shared" si="1370"/>
        <v>18231.60</v>
      </c>
      <c r="AV681" s="1021">
        <f t="shared" si="1371" ref="AV681:BJ681">AV929</f>
        <v>17051.20</v>
      </c>
      <c r="AW681" s="1021">
        <f t="shared" si="1371"/>
        <v>15652.700000000001</v>
      </c>
      <c r="AX681" s="1021">
        <f t="shared" si="1371"/>
        <v>14776.20</v>
      </c>
      <c r="AY681" s="1021">
        <f t="shared" si="1371"/>
        <v>15891</v>
      </c>
      <c r="AZ681" s="1320">
        <f t="shared" si="1371"/>
        <v>15891</v>
      </c>
      <c r="BA681" s="1021">
        <f t="shared" si="1372" ref="BA681:BI681">BA929</f>
        <v>16868.399999999998</v>
      </c>
      <c r="BB681" s="1021">
        <f t="shared" si="1372"/>
        <v>16711.299999999999</v>
      </c>
      <c r="BC681" s="1021">
        <f t="shared" si="1372"/>
        <v>17395.299999999999</v>
      </c>
      <c r="BD681" s="1021">
        <f t="shared" si="1372"/>
        <v>20277.099999999999</v>
      </c>
      <c r="BE681" s="1320">
        <f t="shared" si="1372"/>
        <v>20277.099999999999</v>
      </c>
      <c r="BF681" s="1021">
        <f>BF929</f>
        <v>21811.300000000003</v>
      </c>
      <c r="BG681" s="1021">
        <f>BG929</f>
        <v>23340.40</v>
      </c>
      <c r="BH681" s="1022">
        <f>BH929</f>
        <v>27159.299999999999</v>
      </c>
      <c r="BI681" s="1023">
        <f t="shared" ca="1" si="1372"/>
        <v>28751.96114905184</v>
      </c>
      <c r="BJ681" s="1321">
        <f t="shared" ca="1" si="1371"/>
        <v>28751.96114905184</v>
      </c>
      <c r="BK681" s="1023">
        <f ca="1" t="shared" si="1373" ref="BK681:BR681">BK929</f>
        <v>30733.820448595794</v>
      </c>
      <c r="BL681" s="1023">
        <f t="shared" ca="1" si="1373"/>
        <v>32110.98639872238</v>
      </c>
      <c r="BM681" s="1023">
        <f t="shared" ca="1" si="1373"/>
        <v>33308.690369570315</v>
      </c>
      <c r="BN681" s="1023">
        <f t="shared" ca="1" si="1373"/>
        <v>35455.047177216802</v>
      </c>
      <c r="BO681" s="1321">
        <f t="shared" ca="1" si="1373"/>
        <v>35455.047177216802</v>
      </c>
      <c r="BP681" s="1322">
        <f t="shared" ca="1" si="1373"/>
        <v>42676.527593048049</v>
      </c>
      <c r="BQ681" s="1322">
        <f t="shared" ca="1" si="1373"/>
        <v>50317.029993525524</v>
      </c>
      <c r="BR681" s="1321">
        <f t="shared" ca="1" si="1373"/>
        <v>58398.219009539636</v>
      </c>
      <c r="BS681" s="648"/>
    </row>
    <row r="682" spans="1:71" s="665" customFormat="1" ht="15" hidden="1" outlineLevel="1">
      <c r="A682" s="1000" t="s">
        <v>123</v>
      </c>
      <c r="B682" s="261"/>
      <c r="C682" s="1323">
        <f t="shared" si="1374" ref="C682:AM682">-C924</f>
        <v>0</v>
      </c>
      <c r="D682" s="1323">
        <f t="shared" si="1374"/>
        <v>0</v>
      </c>
      <c r="E682" s="1323">
        <f t="shared" si="1374"/>
        <v>0</v>
      </c>
      <c r="F682" s="1323">
        <f t="shared" si="1374"/>
        <v>0</v>
      </c>
      <c r="G682" s="1323">
        <f t="shared" si="1374"/>
        <v>0</v>
      </c>
      <c r="H682" s="1027">
        <f t="shared" si="1374"/>
        <v>0</v>
      </c>
      <c r="I682" s="1027">
        <f t="shared" si="1374"/>
        <v>0</v>
      </c>
      <c r="J682" s="1027">
        <f t="shared" si="1374"/>
        <v>0</v>
      </c>
      <c r="K682" s="1027">
        <f t="shared" si="1374"/>
        <v>0</v>
      </c>
      <c r="L682" s="1323">
        <f t="shared" si="1374"/>
        <v>0</v>
      </c>
      <c r="M682" s="1027">
        <f t="shared" si="1374"/>
        <v>0</v>
      </c>
      <c r="N682" s="1027">
        <f t="shared" si="1374"/>
        <v>0</v>
      </c>
      <c r="O682" s="1027">
        <f t="shared" si="1374"/>
        <v>0</v>
      </c>
      <c r="P682" s="1027">
        <f t="shared" si="1374"/>
        <v>0</v>
      </c>
      <c r="Q682" s="1323">
        <f t="shared" si="1374"/>
        <v>0</v>
      </c>
      <c r="R682" s="1027">
        <f t="shared" si="1374"/>
        <v>0</v>
      </c>
      <c r="S682" s="1146">
        <f t="shared" si="1374"/>
        <v>0</v>
      </c>
      <c r="T682" s="1146">
        <f t="shared" si="1374"/>
        <v>0</v>
      </c>
      <c r="U682" s="1027">
        <f t="shared" si="1374"/>
        <v>0</v>
      </c>
      <c r="V682" s="1323">
        <f t="shared" si="1374"/>
        <v>0</v>
      </c>
      <c r="W682" s="1027">
        <f t="shared" si="1374"/>
        <v>0</v>
      </c>
      <c r="X682" s="1146">
        <f t="shared" si="1374"/>
        <v>0</v>
      </c>
      <c r="Y682" s="1146">
        <f t="shared" si="1374"/>
        <v>0</v>
      </c>
      <c r="Z682" s="1027">
        <f t="shared" si="1374"/>
        <v>0</v>
      </c>
      <c r="AA682" s="1323">
        <f t="shared" si="1374"/>
        <v>0</v>
      </c>
      <c r="AB682" s="1027">
        <f t="shared" si="1374"/>
        <v>-493.90</v>
      </c>
      <c r="AC682" s="1146">
        <f t="shared" si="1374"/>
        <v>-493.90</v>
      </c>
      <c r="AD682" s="1146">
        <f t="shared" si="1374"/>
        <v>-493.90</v>
      </c>
      <c r="AE682" s="1027">
        <f t="shared" si="1374"/>
        <v>-493.90</v>
      </c>
      <c r="AF682" s="1323">
        <f t="shared" si="1374"/>
        <v>-493.90</v>
      </c>
      <c r="AG682" s="1027">
        <f t="shared" si="1374"/>
        <v>-493.90</v>
      </c>
      <c r="AH682" s="1146">
        <f t="shared" si="1374"/>
        <v>-493.90</v>
      </c>
      <c r="AI682" s="1146">
        <f t="shared" si="1374"/>
        <v>-493.90</v>
      </c>
      <c r="AJ682" s="1027">
        <f t="shared" si="1374"/>
        <v>-493.90</v>
      </c>
      <c r="AK682" s="1323">
        <f t="shared" si="1374"/>
        <v>-493.90</v>
      </c>
      <c r="AL682" s="1027">
        <f t="shared" si="1374"/>
        <v>-493.90</v>
      </c>
      <c r="AM682" s="1146">
        <f t="shared" si="1374"/>
        <v>-493.90</v>
      </c>
      <c r="AN682" s="1146">
        <f>-AN924</f>
        <v>-493.90</v>
      </c>
      <c r="AO682" s="1027">
        <f>-AO924</f>
        <v>-493.90</v>
      </c>
      <c r="AP682" s="1323">
        <f>-AP924</f>
        <v>-493.90</v>
      </c>
      <c r="AQ682" s="1027">
        <f>-AQ924</f>
        <v>-493.90</v>
      </c>
      <c r="AR682" s="1146">
        <f t="shared" si="1375" ref="AR682:AU682">-AR924</f>
        <v>-493.90</v>
      </c>
      <c r="AS682" s="1146">
        <f t="shared" si="1375"/>
        <v>-493.90</v>
      </c>
      <c r="AT682" s="1027">
        <f t="shared" si="1375"/>
        <v>-493.90</v>
      </c>
      <c r="AU682" s="1323">
        <f t="shared" si="1375"/>
        <v>-493.90</v>
      </c>
      <c r="AV682" s="1027">
        <f t="shared" si="1376" ref="AV682:AZ682">-AV924</f>
        <v>-493.90</v>
      </c>
      <c r="AW682" s="1146">
        <f t="shared" si="1376"/>
        <v>-493.90</v>
      </c>
      <c r="AX682" s="1146">
        <f t="shared" si="1376"/>
        <v>-493.90</v>
      </c>
      <c r="AY682" s="1027">
        <f t="shared" si="1376"/>
        <v>-493.90</v>
      </c>
      <c r="AZ682" s="1323">
        <f t="shared" si="1376"/>
        <v>-493.90</v>
      </c>
      <c r="BA682" s="1027">
        <f t="shared" si="1377" ref="BA682:BI682">-BA924</f>
        <v>-493.90</v>
      </c>
      <c r="BB682" s="1146">
        <f t="shared" si="1377"/>
        <v>-493.90</v>
      </c>
      <c r="BC682" s="1146">
        <f t="shared" si="1377"/>
        <v>-493.90</v>
      </c>
      <c r="BD682" s="1027">
        <f t="shared" si="1377"/>
        <v>-493.90</v>
      </c>
      <c r="BE682" s="1323">
        <f t="shared" si="1377"/>
        <v>-493.90</v>
      </c>
      <c r="BF682" s="1027">
        <f>-BF924</f>
        <v>0</v>
      </c>
      <c r="BG682" s="1146">
        <f>-BG924</f>
        <v>0</v>
      </c>
      <c r="BH682" s="1147">
        <f>-BH924</f>
        <v>0</v>
      </c>
      <c r="BI682" s="1148">
        <f t="shared" si="1377"/>
        <v>0</v>
      </c>
      <c r="BJ682" s="1375">
        <f>BI682</f>
        <v>0</v>
      </c>
      <c r="BK682" s="1148">
        <f>-BK924</f>
        <v>0</v>
      </c>
      <c r="BL682" s="1148">
        <f>-BL924</f>
        <v>0</v>
      </c>
      <c r="BM682" s="1148">
        <f>-BM924</f>
        <v>0</v>
      </c>
      <c r="BN682" s="1148">
        <f>-BN924</f>
        <v>0</v>
      </c>
      <c r="BO682" s="1375">
        <f>BN682</f>
        <v>0</v>
      </c>
      <c r="BP682" s="1375">
        <f>-BP924</f>
        <v>0</v>
      </c>
      <c r="BQ682" s="1375">
        <f>-BQ924</f>
        <v>0</v>
      </c>
      <c r="BR682" s="1375">
        <f>-BR924</f>
        <v>0</v>
      </c>
      <c r="BS682" s="648"/>
    </row>
    <row r="683" spans="1:71" s="668" customFormat="1" ht="15" collapsed="1">
      <c r="A683" s="648" t="s">
        <v>124</v>
      </c>
      <c r="B683" s="367"/>
      <c r="C683" s="1320">
        <f t="shared" si="1378" ref="C683:W683">SUM(C681:C682)</f>
        <v>5748.60</v>
      </c>
      <c r="D683" s="1320">
        <f t="shared" si="1378"/>
        <v>6048.90</v>
      </c>
      <c r="E683" s="1320">
        <f t="shared" si="1378"/>
        <v>5806.70</v>
      </c>
      <c r="F683" s="1320">
        <f t="shared" si="1378"/>
        <v>6007</v>
      </c>
      <c r="G683" s="1320">
        <f t="shared" si="1378"/>
        <v>6189.50</v>
      </c>
      <c r="H683" s="1021">
        <f t="shared" si="1378"/>
        <v>6438.60</v>
      </c>
      <c r="I683" s="1021">
        <f t="shared" si="1378"/>
        <v>6789.2000000000007</v>
      </c>
      <c r="J683" s="1021">
        <f t="shared" si="1378"/>
        <v>6935.30</v>
      </c>
      <c r="K683" s="1021">
        <f t="shared" si="1378"/>
        <v>6928.60</v>
      </c>
      <c r="L683" s="1320">
        <f t="shared" si="1378"/>
        <v>6928.60</v>
      </c>
      <c r="M683" s="1021">
        <f t="shared" si="1378"/>
        <v>7201.90</v>
      </c>
      <c r="N683" s="1021">
        <f t="shared" si="1378"/>
        <v>7359.7999999999993</v>
      </c>
      <c r="O683" s="1021">
        <f t="shared" si="1378"/>
        <v>7461.9999999999991</v>
      </c>
      <c r="P683" s="1021">
        <f t="shared" si="1378"/>
        <v>7289.40</v>
      </c>
      <c r="Q683" s="1320">
        <f t="shared" si="1378"/>
        <v>7289.40</v>
      </c>
      <c r="R683" s="1021">
        <f t="shared" si="1378"/>
        <v>7559.90</v>
      </c>
      <c r="S683" s="1021">
        <f t="shared" si="1378"/>
        <v>7835.50</v>
      </c>
      <c r="T683" s="1021">
        <f t="shared" si="1378"/>
        <v>8094.7000000000007</v>
      </c>
      <c r="U683" s="1021">
        <f t="shared" si="1378"/>
        <v>7957.10</v>
      </c>
      <c r="V683" s="1320">
        <f t="shared" si="1378"/>
        <v>7957.10</v>
      </c>
      <c r="W683" s="1021">
        <f t="shared" si="1378"/>
        <v>8522.90</v>
      </c>
      <c r="X683" s="1021">
        <f>SUM(X681:X681)</f>
        <v>8991.50</v>
      </c>
      <c r="Y683" s="1021">
        <f>SUM(Y681:Y681)</f>
        <v>9289.40</v>
      </c>
      <c r="Z683" s="1021">
        <f>SUM(Z681:Z681)</f>
        <v>9284.8000000000011</v>
      </c>
      <c r="AA683" s="1320">
        <f>SUM(AA681:AA681)</f>
        <v>9284.8000000000011</v>
      </c>
      <c r="AB683" s="1021">
        <f t="shared" si="1379" ref="AB683:AM683">SUM(AB681:AB682)</f>
        <v>9829.2999999999993</v>
      </c>
      <c r="AC683" s="1021">
        <f t="shared" si="1379"/>
        <v>10506.900000000001</v>
      </c>
      <c r="AD683" s="1021">
        <f t="shared" si="1379"/>
        <v>11364.90</v>
      </c>
      <c r="AE683" s="1021">
        <f t="shared" si="1379"/>
        <v>10327.900000000001</v>
      </c>
      <c r="AF683" s="1320">
        <f t="shared" si="1379"/>
        <v>10327.900000000001</v>
      </c>
      <c r="AG683" s="1021">
        <f t="shared" si="1379"/>
        <v>11616.80</v>
      </c>
      <c r="AH683" s="1021">
        <f t="shared" si="1379"/>
        <v>12836.900000000001</v>
      </c>
      <c r="AI683" s="1021">
        <f t="shared" si="1379"/>
        <v>13629.40</v>
      </c>
      <c r="AJ683" s="1021">
        <f t="shared" si="1379"/>
        <v>13179.300000000001</v>
      </c>
      <c r="AK683" s="1320">
        <f t="shared" si="1379"/>
        <v>13179.300000000001</v>
      </c>
      <c r="AL683" s="1021">
        <f t="shared" si="1379"/>
        <v>13857.600000000002</v>
      </c>
      <c r="AM683" s="1021">
        <f t="shared" si="1379"/>
        <v>16176.699999999999</v>
      </c>
      <c r="AN683" s="1021">
        <f t="shared" si="1380" ref="AN683:AU683">SUM(AN681:AN682)</f>
        <v>17593.299999999999</v>
      </c>
      <c r="AO683" s="1021">
        <f t="shared" si="1380"/>
        <v>16544.699999999997</v>
      </c>
      <c r="AP683" s="1320">
        <f t="shared" si="1380"/>
        <v>16544.699999999997</v>
      </c>
      <c r="AQ683" s="1021">
        <f t="shared" si="1380"/>
        <v>17342.60</v>
      </c>
      <c r="AR683" s="1021">
        <f t="shared" si="1380"/>
        <v>18181.700000000001</v>
      </c>
      <c r="AS683" s="1021">
        <f t="shared" si="1380"/>
        <v>18064.199999999997</v>
      </c>
      <c r="AT683" s="1021">
        <f t="shared" si="1380"/>
        <v>17737.700000000001</v>
      </c>
      <c r="AU683" s="1320">
        <f t="shared" si="1380"/>
        <v>17737.699999999997</v>
      </c>
      <c r="AV683" s="1021">
        <f t="shared" si="1381" ref="AV683:BJ683">SUM(AV681:AV682)</f>
        <v>16557.299999999999</v>
      </c>
      <c r="AW683" s="1021">
        <f t="shared" si="1381"/>
        <v>15158.80</v>
      </c>
      <c r="AX683" s="1021">
        <f t="shared" si="1381"/>
        <v>14282.299999999999</v>
      </c>
      <c r="AY683" s="1021">
        <f t="shared" si="1381"/>
        <v>15397.10</v>
      </c>
      <c r="AZ683" s="1320">
        <f t="shared" si="1381"/>
        <v>15397.10</v>
      </c>
      <c r="BA683" s="1021">
        <f t="shared" si="1382" ref="BA683:BI683">SUM(BA681:BA682)</f>
        <v>16374.499999999998</v>
      </c>
      <c r="BB683" s="1021">
        <f t="shared" si="1382"/>
        <v>16217.40</v>
      </c>
      <c r="BC683" s="1021">
        <f t="shared" si="1382"/>
        <v>16901.399999999998</v>
      </c>
      <c r="BD683" s="1021">
        <f t="shared" si="1382"/>
        <v>19783.199999999997</v>
      </c>
      <c r="BE683" s="1320">
        <f t="shared" si="1382"/>
        <v>19783.199999999997</v>
      </c>
      <c r="BF683" s="1021">
        <f>SUM(BF681:BF682)</f>
        <v>21811.300000000003</v>
      </c>
      <c r="BG683" s="1021">
        <f>SUM(BG681:BG682)</f>
        <v>23340.40</v>
      </c>
      <c r="BH683" s="1022">
        <f>SUM(BH681:BH682)</f>
        <v>27159.299999999999</v>
      </c>
      <c r="BI683" s="1023">
        <f t="shared" ca="1" si="1382"/>
        <v>28751.96114905184</v>
      </c>
      <c r="BJ683" s="1321">
        <f t="shared" ca="1" si="1381"/>
        <v>28751.96114905184</v>
      </c>
      <c r="BK683" s="1023">
        <f ca="1" t="shared" si="1383" ref="BK683:BR683">SUM(BK681:BK682)</f>
        <v>30733.820448595794</v>
      </c>
      <c r="BL683" s="1023">
        <f t="shared" ca="1" si="1383"/>
        <v>32110.98639872238</v>
      </c>
      <c r="BM683" s="1023">
        <f t="shared" ca="1" si="1383"/>
        <v>33308.690369570315</v>
      </c>
      <c r="BN683" s="1023">
        <f t="shared" ca="1" si="1383"/>
        <v>35455.047177216802</v>
      </c>
      <c r="BO683" s="1321">
        <f t="shared" ca="1" si="1383"/>
        <v>35455.047177216802</v>
      </c>
      <c r="BP683" s="1322">
        <f t="shared" ca="1" si="1383"/>
        <v>42676.527593048049</v>
      </c>
      <c r="BQ683" s="1322">
        <f t="shared" ca="1" si="1383"/>
        <v>50317.029993525524</v>
      </c>
      <c r="BR683" s="1321">
        <f t="shared" ca="1" si="1383"/>
        <v>58398.219009539636</v>
      </c>
      <c r="BS683" s="648"/>
    </row>
    <row r="684" spans="1:71" s="665" customFormat="1" ht="15" hidden="1" outlineLevel="1">
      <c r="A684" s="371" t="s">
        <v>202</v>
      </c>
      <c r="B684" s="321"/>
      <c r="C684" s="1349">
        <f t="shared" si="1384" ref="C684:AO684">-C906</f>
        <v>0</v>
      </c>
      <c r="D684" s="1349">
        <f t="shared" si="1384"/>
        <v>0</v>
      </c>
      <c r="E684" s="1349">
        <f t="shared" si="1384"/>
        <v>0</v>
      </c>
      <c r="F684" s="1349">
        <f t="shared" si="1384"/>
        <v>0</v>
      </c>
      <c r="G684" s="1349">
        <f t="shared" si="1384"/>
        <v>0</v>
      </c>
      <c r="H684" s="1042">
        <f t="shared" si="1384"/>
        <v>0</v>
      </c>
      <c r="I684" s="1042">
        <f t="shared" si="1384"/>
        <v>-1.60</v>
      </c>
      <c r="J684" s="1042">
        <f t="shared" si="1384"/>
        <v>-1.60</v>
      </c>
      <c r="K684" s="1042">
        <f t="shared" si="1384"/>
        <v>-1.60</v>
      </c>
      <c r="L684" s="1349">
        <f t="shared" si="1384"/>
        <v>-1.60</v>
      </c>
      <c r="M684" s="1042">
        <f t="shared" si="1384"/>
        <v>-1.60</v>
      </c>
      <c r="N684" s="1042">
        <f t="shared" si="1384"/>
        <v>-472.90</v>
      </c>
      <c r="O684" s="1042">
        <f t="shared" si="1384"/>
        <v>-446.40</v>
      </c>
      <c r="P684" s="1042">
        <f t="shared" si="1384"/>
        <v>-447.60</v>
      </c>
      <c r="Q684" s="1349">
        <f t="shared" si="1384"/>
        <v>-447.60</v>
      </c>
      <c r="R684" s="1042">
        <f t="shared" si="1384"/>
        <v>-447.60</v>
      </c>
      <c r="S684" s="1042">
        <f t="shared" si="1384"/>
        <v>-449.40</v>
      </c>
      <c r="T684" s="1042">
        <f t="shared" si="1384"/>
        <v>-449.40</v>
      </c>
      <c r="U684" s="1042">
        <f t="shared" si="1384"/>
        <v>-449.40</v>
      </c>
      <c r="V684" s="1349">
        <f t="shared" si="1384"/>
        <v>-449.40</v>
      </c>
      <c r="W684" s="1042">
        <f t="shared" si="1384"/>
        <v>-449.40</v>
      </c>
      <c r="X684" s="1042">
        <f t="shared" si="1384"/>
        <v>-452.70</v>
      </c>
      <c r="Y684" s="1042">
        <f t="shared" si="1384"/>
        <v>-452.70</v>
      </c>
      <c r="Z684" s="1042">
        <f t="shared" si="1384"/>
        <v>-452.70</v>
      </c>
      <c r="AA684" s="1349">
        <f t="shared" si="1384"/>
        <v>-452.70</v>
      </c>
      <c r="AB684" s="1042">
        <f t="shared" si="1384"/>
        <v>-452.70</v>
      </c>
      <c r="AC684" s="1042">
        <f t="shared" si="1384"/>
        <v>-452.70</v>
      </c>
      <c r="AD684" s="1042">
        <f t="shared" si="1384"/>
        <v>-452.70</v>
      </c>
      <c r="AE684" s="1042">
        <f t="shared" si="1384"/>
        <v>-452.70</v>
      </c>
      <c r="AF684" s="1349">
        <f t="shared" si="1384"/>
        <v>-452.70</v>
      </c>
      <c r="AG684" s="1042">
        <f t="shared" si="1384"/>
        <v>-452.70</v>
      </c>
      <c r="AH684" s="1042">
        <f t="shared" si="1384"/>
        <v>-452.70</v>
      </c>
      <c r="AI684" s="1042">
        <f t="shared" si="1384"/>
        <v>-452.70</v>
      </c>
      <c r="AJ684" s="1042">
        <f t="shared" si="1384"/>
        <v>-452.70</v>
      </c>
      <c r="AK684" s="1349">
        <f t="shared" si="1384"/>
        <v>-452.70</v>
      </c>
      <c r="AL684" s="1042">
        <f t="shared" si="1384"/>
        <v>-452.70</v>
      </c>
      <c r="AM684" s="1042">
        <f t="shared" si="1384"/>
        <v>-452.70</v>
      </c>
      <c r="AN684" s="1042">
        <f t="shared" si="1384"/>
        <v>-452.70</v>
      </c>
      <c r="AO684" s="1042">
        <f t="shared" si="1384"/>
        <v>-452.70</v>
      </c>
      <c r="AP684" s="1349">
        <f>-AP906</f>
        <v>-452.70</v>
      </c>
      <c r="AQ684" s="1042">
        <f>-AQ906</f>
        <v>-452.70</v>
      </c>
      <c r="AR684" s="1042">
        <f t="shared" si="1385" ref="AR684:AU685">-AR906</f>
        <v>-452.70</v>
      </c>
      <c r="AS684" s="1042">
        <f t="shared" si="1385"/>
        <v>-452.70</v>
      </c>
      <c r="AT684" s="1042">
        <f t="shared" si="1385"/>
        <v>-452.70</v>
      </c>
      <c r="AU684" s="1349">
        <f t="shared" si="1385"/>
        <v>-452.70</v>
      </c>
      <c r="AV684" s="1042">
        <f t="shared" si="1386" ref="AV684:AZ685">-AV906</f>
        <v>-452.70</v>
      </c>
      <c r="AW684" s="1042">
        <f t="shared" si="1386"/>
        <v>-227.90</v>
      </c>
      <c r="AX684" s="1042">
        <f t="shared" si="1386"/>
        <v>-227.90</v>
      </c>
      <c r="AY684" s="1042">
        <f t="shared" si="1386"/>
        <v>-227.90</v>
      </c>
      <c r="AZ684" s="1349">
        <f t="shared" si="1386"/>
        <v>-227.90</v>
      </c>
      <c r="BA684" s="1042">
        <f t="shared" si="1387" ref="BA684:BC685">-BA906</f>
        <v>-227.90</v>
      </c>
      <c r="BB684" s="1042">
        <f t="shared" si="1387"/>
        <v>-227.90</v>
      </c>
      <c r="BC684" s="1042">
        <f t="shared" si="1387"/>
        <v>-227.90</v>
      </c>
      <c r="BD684" s="1042">
        <f t="shared" si="1388" ref="BD684:BI685">-BD906</f>
        <v>-227.90</v>
      </c>
      <c r="BE684" s="1349">
        <f t="shared" si="1388"/>
        <v>-227.90</v>
      </c>
      <c r="BF684" s="1042">
        <f t="shared" si="1389" ref="BF684:BH685">-BF906</f>
        <v>0</v>
      </c>
      <c r="BG684" s="1042">
        <f t="shared" si="1389"/>
        <v>0</v>
      </c>
      <c r="BH684" s="1043">
        <f t="shared" si="1389"/>
        <v>0</v>
      </c>
      <c r="BI684" s="1044">
        <f t="shared" si="1388"/>
        <v>0</v>
      </c>
      <c r="BJ684" s="1350">
        <f t="shared" si="1390" ref="BJ684:BJ685">-BJ906</f>
        <v>0</v>
      </c>
      <c r="BK684" s="1044">
        <f t="shared" si="1391" ref="BK684:BR685">-BK906</f>
        <v>0</v>
      </c>
      <c r="BL684" s="1044">
        <f t="shared" si="1391"/>
        <v>0</v>
      </c>
      <c r="BM684" s="1044">
        <f t="shared" si="1391"/>
        <v>0</v>
      </c>
      <c r="BN684" s="1044">
        <f t="shared" si="1391"/>
        <v>0</v>
      </c>
      <c r="BO684" s="1350">
        <f t="shared" si="1391"/>
        <v>0</v>
      </c>
      <c r="BP684" s="1351">
        <f t="shared" si="1391"/>
        <v>0</v>
      </c>
      <c r="BQ684" s="1351">
        <f t="shared" si="1391"/>
        <v>0</v>
      </c>
      <c r="BR684" s="1350">
        <f t="shared" si="1391"/>
        <v>0</v>
      </c>
      <c r="BS684" s="648"/>
    </row>
    <row r="685" spans="1:71" s="665" customFormat="1" ht="15" hidden="1" outlineLevel="1">
      <c r="A685" s="1000" t="s">
        <v>203</v>
      </c>
      <c r="B685" s="261"/>
      <c r="C685" s="1323">
        <f t="shared" si="1392" ref="C685:AO685">-C907</f>
        <v>0</v>
      </c>
      <c r="D685" s="1323">
        <f t="shared" si="1392"/>
        <v>0</v>
      </c>
      <c r="E685" s="1323">
        <f t="shared" si="1392"/>
        <v>0</v>
      </c>
      <c r="F685" s="1323">
        <f t="shared" si="1392"/>
        <v>0</v>
      </c>
      <c r="G685" s="1323">
        <f t="shared" si="1392"/>
        <v>0</v>
      </c>
      <c r="H685" s="1027">
        <f t="shared" si="1392"/>
        <v>0</v>
      </c>
      <c r="I685" s="1027">
        <f t="shared" si="1392"/>
        <v>-11.30</v>
      </c>
      <c r="J685" s="1027">
        <f t="shared" si="1392"/>
        <v>-11.30</v>
      </c>
      <c r="K685" s="1027">
        <f t="shared" si="1392"/>
        <v>-11.30</v>
      </c>
      <c r="L685" s="1323">
        <f t="shared" si="1392"/>
        <v>-11.30</v>
      </c>
      <c r="M685" s="1027">
        <f t="shared" si="1392"/>
        <v>-11.30</v>
      </c>
      <c r="N685" s="1027">
        <f t="shared" si="1392"/>
        <v>-526</v>
      </c>
      <c r="O685" s="1027">
        <f t="shared" si="1392"/>
        <v>-510.50</v>
      </c>
      <c r="P685" s="1027">
        <f t="shared" si="1392"/>
        <v>-494.90</v>
      </c>
      <c r="Q685" s="1323">
        <f t="shared" si="1392"/>
        <v>-494.90</v>
      </c>
      <c r="R685" s="1027">
        <f t="shared" si="1392"/>
        <v>-479.40</v>
      </c>
      <c r="S685" s="1027">
        <f t="shared" si="1392"/>
        <v>-463.80</v>
      </c>
      <c r="T685" s="1027">
        <f t="shared" si="1392"/>
        <v>-448.30</v>
      </c>
      <c r="U685" s="1027">
        <f t="shared" si="1392"/>
        <v>-432.80</v>
      </c>
      <c r="V685" s="1323">
        <f t="shared" si="1392"/>
        <v>-432.80</v>
      </c>
      <c r="W685" s="1027">
        <f t="shared" si="1392"/>
        <v>-417.30</v>
      </c>
      <c r="X685" s="1027">
        <f t="shared" si="1392"/>
        <v>-401.80</v>
      </c>
      <c r="Y685" s="1027">
        <f t="shared" si="1392"/>
        <v>-384.60</v>
      </c>
      <c r="Z685" s="1027">
        <f t="shared" si="1392"/>
        <v>-366.60</v>
      </c>
      <c r="AA685" s="1323">
        <f t="shared" si="1392"/>
        <v>-366.60</v>
      </c>
      <c r="AB685" s="1027">
        <f t="shared" si="1392"/>
        <v>-348.60</v>
      </c>
      <c r="AC685" s="1027">
        <f t="shared" si="1392"/>
        <v>-330.60</v>
      </c>
      <c r="AD685" s="1027">
        <f t="shared" si="1392"/>
        <v>-312.60000000000002</v>
      </c>
      <c r="AE685" s="1027">
        <f t="shared" si="1392"/>
        <v>-294.60000000000002</v>
      </c>
      <c r="AF685" s="1323">
        <f t="shared" si="1392"/>
        <v>-294.60000000000002</v>
      </c>
      <c r="AG685" s="1027">
        <f t="shared" si="1392"/>
        <v>-276.70</v>
      </c>
      <c r="AH685" s="1027">
        <f t="shared" si="1392"/>
        <v>-258.70</v>
      </c>
      <c r="AI685" s="1027">
        <f t="shared" si="1392"/>
        <v>-242.90</v>
      </c>
      <c r="AJ685" s="1027">
        <f t="shared" si="1392"/>
        <v>-228.30</v>
      </c>
      <c r="AK685" s="1323">
        <f t="shared" si="1392"/>
        <v>-228.30</v>
      </c>
      <c r="AL685" s="1027">
        <f t="shared" si="1392"/>
        <v>-213.80</v>
      </c>
      <c r="AM685" s="1027">
        <f t="shared" si="1392"/>
        <v>-199.70</v>
      </c>
      <c r="AN685" s="1027">
        <f t="shared" si="1392"/>
        <v>-185.50</v>
      </c>
      <c r="AO685" s="1027">
        <f t="shared" si="1392"/>
        <v>-171.40</v>
      </c>
      <c r="AP685" s="1323">
        <f>-AP907</f>
        <v>-171.40</v>
      </c>
      <c r="AQ685" s="1027">
        <f>-AQ907</f>
        <v>-157.19999999999999</v>
      </c>
      <c r="AR685" s="1027">
        <f t="shared" si="1385"/>
        <v>-146.50</v>
      </c>
      <c r="AS685" s="1027">
        <f t="shared" si="1385"/>
        <v>-131.90000000000001</v>
      </c>
      <c r="AT685" s="1027">
        <f t="shared" si="1385"/>
        <v>-117.30</v>
      </c>
      <c r="AU685" s="1323">
        <f t="shared" si="1385"/>
        <v>-117.30</v>
      </c>
      <c r="AV685" s="1027">
        <f t="shared" si="1386"/>
        <v>-102.70</v>
      </c>
      <c r="AW685" s="1027">
        <f t="shared" si="1386"/>
        <v>-97.20</v>
      </c>
      <c r="AX685" s="1027">
        <f t="shared" si="1386"/>
        <v>-91.80</v>
      </c>
      <c r="AY685" s="1027">
        <f t="shared" si="1386"/>
        <v>-86.299999999999983</v>
      </c>
      <c r="AZ685" s="1323">
        <f t="shared" si="1386"/>
        <v>-86.299999999999983</v>
      </c>
      <c r="BA685" s="1027">
        <f t="shared" si="1387"/>
        <v>-80.900000000000006</v>
      </c>
      <c r="BB685" s="1027">
        <f t="shared" si="1387"/>
        <v>-77.80</v>
      </c>
      <c r="BC685" s="1027">
        <f t="shared" si="1387"/>
        <v>-74.900000000000006</v>
      </c>
      <c r="BD685" s="1027">
        <f t="shared" si="1388"/>
        <v>-74.900000000000006</v>
      </c>
      <c r="BE685" s="1323">
        <f t="shared" si="1388"/>
        <v>-74.900000000000006</v>
      </c>
      <c r="BF685" s="1027">
        <f t="shared" si="1389"/>
        <v>0</v>
      </c>
      <c r="BG685" s="1027">
        <f t="shared" si="1389"/>
        <v>0</v>
      </c>
      <c r="BH685" s="1028">
        <f t="shared" si="1389"/>
        <v>0</v>
      </c>
      <c r="BI685" s="1029">
        <f t="shared" si="1388"/>
        <v>0</v>
      </c>
      <c r="BJ685" s="1324">
        <f t="shared" si="1390"/>
        <v>0</v>
      </c>
      <c r="BK685" s="1029">
        <f t="shared" si="1391"/>
        <v>0</v>
      </c>
      <c r="BL685" s="1029">
        <f t="shared" si="1391"/>
        <v>0</v>
      </c>
      <c r="BM685" s="1029">
        <f t="shared" si="1391"/>
        <v>0</v>
      </c>
      <c r="BN685" s="1029">
        <f t="shared" si="1391"/>
        <v>0</v>
      </c>
      <c r="BO685" s="1324">
        <f t="shared" si="1391"/>
        <v>0</v>
      </c>
      <c r="BP685" s="1324">
        <f t="shared" si="1391"/>
        <v>0</v>
      </c>
      <c r="BQ685" s="1324">
        <f t="shared" si="1391"/>
        <v>0</v>
      </c>
      <c r="BR685" s="1324">
        <f t="shared" si="1391"/>
        <v>0</v>
      </c>
      <c r="BS685" s="648"/>
    </row>
    <row r="686" spans="1:71" s="668" customFormat="1" ht="15" collapsed="1">
      <c r="A686" s="648" t="s">
        <v>125</v>
      </c>
      <c r="B686" s="367"/>
      <c r="C686" s="1320">
        <f t="shared" si="1393" ref="C686:AO686">SUM(C683:C685)</f>
        <v>5748.60</v>
      </c>
      <c r="D686" s="1320">
        <f t="shared" si="1393"/>
        <v>6048.90</v>
      </c>
      <c r="E686" s="1320">
        <f t="shared" si="1393"/>
        <v>5806.70</v>
      </c>
      <c r="F686" s="1320">
        <f t="shared" si="1393"/>
        <v>6007</v>
      </c>
      <c r="G686" s="1320">
        <f t="shared" si="1393"/>
        <v>6189.50</v>
      </c>
      <c r="H686" s="1021">
        <f t="shared" si="1393"/>
        <v>6438.60</v>
      </c>
      <c r="I686" s="1021">
        <f t="shared" si="1393"/>
        <v>6776.30</v>
      </c>
      <c r="J686" s="1021">
        <f t="shared" si="1393"/>
        <v>6922.40</v>
      </c>
      <c r="K686" s="1021">
        <f t="shared" si="1393"/>
        <v>6915.70</v>
      </c>
      <c r="L686" s="1320">
        <f t="shared" si="1393"/>
        <v>6915.70</v>
      </c>
      <c r="M686" s="1021">
        <f t="shared" si="1393"/>
        <v>7189</v>
      </c>
      <c r="N686" s="1021">
        <f t="shared" si="1393"/>
        <v>6360.90</v>
      </c>
      <c r="O686" s="1021">
        <f t="shared" si="1393"/>
        <v>6505.10</v>
      </c>
      <c r="P686" s="1021">
        <f t="shared" si="1393"/>
        <v>6346.90</v>
      </c>
      <c r="Q686" s="1320">
        <f t="shared" si="1393"/>
        <v>6346.90</v>
      </c>
      <c r="R686" s="1021">
        <f t="shared" si="1393"/>
        <v>6632.90</v>
      </c>
      <c r="S686" s="1021">
        <f t="shared" si="1393"/>
        <v>6922.30</v>
      </c>
      <c r="T686" s="1021">
        <f t="shared" si="1393"/>
        <v>7197.0000000000009</v>
      </c>
      <c r="U686" s="1021">
        <f t="shared" si="1393"/>
        <v>7074.90</v>
      </c>
      <c r="V686" s="1320">
        <f t="shared" si="1393"/>
        <v>7074.90</v>
      </c>
      <c r="W686" s="1021">
        <f t="shared" si="1393"/>
        <v>7656.20</v>
      </c>
      <c r="X686" s="1021">
        <f t="shared" si="1393"/>
        <v>8136.9999999999991</v>
      </c>
      <c r="Y686" s="1021">
        <f t="shared" si="1393"/>
        <v>8452.0999999999985</v>
      </c>
      <c r="Z686" s="1021">
        <f t="shared" si="1393"/>
        <v>8465.50</v>
      </c>
      <c r="AA686" s="1320">
        <f t="shared" si="1393"/>
        <v>8465.50</v>
      </c>
      <c r="AB686" s="1021">
        <f t="shared" si="1393"/>
        <v>9027.9999999999982</v>
      </c>
      <c r="AC686" s="1021">
        <f t="shared" si="1393"/>
        <v>9723.60</v>
      </c>
      <c r="AD686" s="1021">
        <f t="shared" si="1393"/>
        <v>10599.60</v>
      </c>
      <c r="AE686" s="1021">
        <f t="shared" si="1393"/>
        <v>9580.60</v>
      </c>
      <c r="AF686" s="1320">
        <f t="shared" si="1393"/>
        <v>9580.60</v>
      </c>
      <c r="AG686" s="1021">
        <f t="shared" si="1393"/>
        <v>10887.40</v>
      </c>
      <c r="AH686" s="1021">
        <f t="shared" si="1393"/>
        <v>12125.50</v>
      </c>
      <c r="AI686" s="1021">
        <f t="shared" si="1393"/>
        <v>12933.80</v>
      </c>
      <c r="AJ686" s="1021">
        <f t="shared" si="1393"/>
        <v>12498.300000000001</v>
      </c>
      <c r="AK686" s="1320">
        <f t="shared" si="1393"/>
        <v>12498.300000000001</v>
      </c>
      <c r="AL686" s="1021">
        <f t="shared" si="1393"/>
        <v>13191.100000000002</v>
      </c>
      <c r="AM686" s="1021">
        <f t="shared" si="1393"/>
        <v>15524.299999999997</v>
      </c>
      <c r="AN686" s="1021">
        <f t="shared" si="1393"/>
        <v>16955.099999999999</v>
      </c>
      <c r="AO686" s="1021">
        <f t="shared" si="1393"/>
        <v>15920.599999999997</v>
      </c>
      <c r="AP686" s="1320">
        <f t="shared" si="1394" ref="AP686:AU686">SUM(AP683:AP685)</f>
        <v>15920.599999999997</v>
      </c>
      <c r="AQ686" s="1021">
        <f t="shared" si="1394"/>
        <v>16732.699999999997</v>
      </c>
      <c r="AR686" s="1021">
        <f t="shared" si="1394"/>
        <v>17582.50</v>
      </c>
      <c r="AS686" s="1021">
        <f t="shared" si="1394"/>
        <v>17479.599999999995</v>
      </c>
      <c r="AT686" s="1021">
        <f t="shared" si="1394"/>
        <v>17167.700000000001</v>
      </c>
      <c r="AU686" s="1320">
        <f t="shared" si="1394"/>
        <v>17167.699999999997</v>
      </c>
      <c r="AV686" s="1021">
        <f t="shared" si="1395" ref="AV686:BJ686">SUM(AV683:AV685)</f>
        <v>16001.899999999998</v>
      </c>
      <c r="AW686" s="1021">
        <f t="shared" si="1395"/>
        <v>14833.700000000001</v>
      </c>
      <c r="AX686" s="1021">
        <f t="shared" si="1395"/>
        <v>13962.60</v>
      </c>
      <c r="AY686" s="1021">
        <f t="shared" si="1395"/>
        <v>15082.900000000001</v>
      </c>
      <c r="AZ686" s="1320">
        <f t="shared" si="1395"/>
        <v>15082.900000000001</v>
      </c>
      <c r="BA686" s="1021">
        <f t="shared" si="1396" ref="BA686:BI686">SUM(BA683:BA685)</f>
        <v>16065.699999999999</v>
      </c>
      <c r="BB686" s="1021">
        <f t="shared" si="1396"/>
        <v>15911.700000000001</v>
      </c>
      <c r="BC686" s="1021">
        <f t="shared" si="1396"/>
        <v>16598.599999999995</v>
      </c>
      <c r="BD686" s="1021">
        <f t="shared" si="1396"/>
        <v>19480.399999999994</v>
      </c>
      <c r="BE686" s="1320">
        <f t="shared" si="1396"/>
        <v>19480.399999999994</v>
      </c>
      <c r="BF686" s="1021">
        <f>SUM(BF683:BF685)</f>
        <v>21811.300000000003</v>
      </c>
      <c r="BG686" s="1021">
        <f>SUM(BG683:BG685)</f>
        <v>23340.40</v>
      </c>
      <c r="BH686" s="1022">
        <f>SUM(BH683:BH685)</f>
        <v>27159.299999999999</v>
      </c>
      <c r="BI686" s="1023">
        <f t="shared" ca="1" si="1396"/>
        <v>28751.96114905184</v>
      </c>
      <c r="BJ686" s="1321">
        <f t="shared" ca="1" si="1395"/>
        <v>28751.96114905184</v>
      </c>
      <c r="BK686" s="1023">
        <f ca="1" t="shared" si="1397" ref="BK686:BR686">SUM(BK683:BK685)</f>
        <v>30733.820448595794</v>
      </c>
      <c r="BL686" s="1023">
        <f t="shared" ca="1" si="1397"/>
        <v>32110.98639872238</v>
      </c>
      <c r="BM686" s="1023">
        <f t="shared" ca="1" si="1397"/>
        <v>33308.690369570315</v>
      </c>
      <c r="BN686" s="1023">
        <f t="shared" ca="1" si="1397"/>
        <v>35455.047177216802</v>
      </c>
      <c r="BO686" s="1321">
        <f t="shared" ca="1" si="1397"/>
        <v>35455.047177216802</v>
      </c>
      <c r="BP686" s="1322">
        <f t="shared" ca="1" si="1397"/>
        <v>42676.527593048049</v>
      </c>
      <c r="BQ686" s="1322">
        <f t="shared" ca="1" si="1397"/>
        <v>50317.029993525524</v>
      </c>
      <c r="BR686" s="1321">
        <f t="shared" ca="1" si="1397"/>
        <v>58398.219009539636</v>
      </c>
      <c r="BS686" s="648"/>
    </row>
    <row r="687" spans="1:71" s="668" customFormat="1" ht="15">
      <c r="A687" s="987"/>
      <c r="B687" s="367"/>
      <c r="C687" s="1322"/>
      <c r="D687" s="1322"/>
      <c r="E687" s="1322"/>
      <c r="F687" s="1322"/>
      <c r="G687" s="1322"/>
      <c r="H687" s="1031"/>
      <c r="I687" s="1031"/>
      <c r="J687" s="1031"/>
      <c r="K687" s="1031"/>
      <c r="L687" s="1322"/>
      <c r="M687" s="1031"/>
      <c r="N687" s="1031"/>
      <c r="O687" s="1031"/>
      <c r="P687" s="1031"/>
      <c r="Q687" s="1322"/>
      <c r="R687" s="1031"/>
      <c r="S687" s="1031"/>
      <c r="T687" s="1031"/>
      <c r="U687" s="1031"/>
      <c r="V687" s="1322"/>
      <c r="W687" s="1031"/>
      <c r="X687" s="1031"/>
      <c r="Y687" s="1031"/>
      <c r="Z687" s="1031"/>
      <c r="AA687" s="1322"/>
      <c r="AB687" s="1031"/>
      <c r="AC687" s="1031"/>
      <c r="AD687" s="1031"/>
      <c r="AE687" s="1031"/>
      <c r="AF687" s="1322"/>
      <c r="AG687" s="1031"/>
      <c r="AH687" s="1031"/>
      <c r="AI687" s="1031"/>
      <c r="AJ687" s="1031"/>
      <c r="AK687" s="1322"/>
      <c r="AL687" s="1031"/>
      <c r="AM687" s="1031"/>
      <c r="AN687" s="1031"/>
      <c r="AO687" s="1031"/>
      <c r="AP687" s="1322"/>
      <c r="AQ687" s="1031"/>
      <c r="AR687" s="1031"/>
      <c r="AS687" s="1031"/>
      <c r="AT687" s="1031"/>
      <c r="AU687" s="1322"/>
      <c r="AV687" s="1031"/>
      <c r="AW687" s="1031"/>
      <c r="AX687" s="1031"/>
      <c r="AY687" s="1031"/>
      <c r="AZ687" s="1322"/>
      <c r="BA687" s="1031"/>
      <c r="BB687" s="1031"/>
      <c r="BC687" s="1031"/>
      <c r="BD687" s="1031"/>
      <c r="BE687" s="1322"/>
      <c r="BF687" s="1031"/>
      <c r="BG687" s="1031"/>
      <c r="BH687" s="1049"/>
      <c r="BI687" s="1023"/>
      <c r="BJ687" s="1321"/>
      <c r="BK687" s="1023"/>
      <c r="BL687" s="1023"/>
      <c r="BM687" s="1023"/>
      <c r="BN687" s="1023"/>
      <c r="BO687" s="1321"/>
      <c r="BP687" s="1322"/>
      <c r="BQ687" s="1322"/>
      <c r="BR687" s="1321"/>
      <c r="BS687" s="648"/>
    </row>
    <row r="688" spans="1:71" s="687" customFormat="1" ht="15">
      <c r="A688" s="38" t="s">
        <v>126</v>
      </c>
      <c r="B688" s="316"/>
      <c r="C688" s="1443">
        <f t="shared" si="1398" ref="C688:AQ688">ROUND(INDEX(MO_BSS_TotalCommonEquity,0,COLUMN())/INDEX(MO_RIS_ShareCount_EoPB,0,COLUMN()),6)</f>
        <v>8.5468329999999995</v>
      </c>
      <c r="D688" s="1443">
        <f t="shared" si="1398"/>
        <v>9.131793</v>
      </c>
      <c r="E688" s="1443">
        <f t="shared" si="1398"/>
        <v>9.4725940000000008</v>
      </c>
      <c r="F688" s="1443">
        <f t="shared" si="1398"/>
        <v>9.9354949999999995</v>
      </c>
      <c r="G688" s="1443">
        <f t="shared" si="1398"/>
        <v>10.388553</v>
      </c>
      <c r="H688" s="634">
        <f t="shared" si="1398"/>
        <v>10.855842000000001</v>
      </c>
      <c r="I688" s="634">
        <f t="shared" si="1398"/>
        <v>11.477937000000001</v>
      </c>
      <c r="J688" s="634">
        <f t="shared" si="1398"/>
        <v>11.770706000000001</v>
      </c>
      <c r="K688" s="634">
        <f t="shared" si="1398"/>
        <v>11.787343</v>
      </c>
      <c r="L688" s="1443">
        <f t="shared" si="1398"/>
        <v>11.787343</v>
      </c>
      <c r="M688" s="634">
        <f t="shared" si="1398"/>
        <v>12.262727999999999</v>
      </c>
      <c r="N688" s="634">
        <f t="shared" si="1398"/>
        <v>12.561529</v>
      </c>
      <c r="O688" s="634">
        <f t="shared" si="1398"/>
        <v>12.764283000000001</v>
      </c>
      <c r="P688" s="634">
        <f t="shared" si="1398"/>
        <v>12.490404</v>
      </c>
      <c r="Q688" s="1443">
        <f t="shared" si="1398"/>
        <v>12.490404</v>
      </c>
      <c r="R688" s="634">
        <f t="shared" si="1398"/>
        <v>12.967238</v>
      </c>
      <c r="S688" s="634">
        <f t="shared" si="1398"/>
        <v>13.465372</v>
      </c>
      <c r="T688" s="634">
        <f t="shared" si="1398"/>
        <v>13.937156</v>
      </c>
      <c r="U688" s="634">
        <f t="shared" si="1398"/>
        <v>13.721503999999999</v>
      </c>
      <c r="V688" s="1443">
        <f t="shared" si="1398"/>
        <v>13.721503999999999</v>
      </c>
      <c r="W688" s="634">
        <f t="shared" si="1398"/>
        <v>14.671887999999999</v>
      </c>
      <c r="X688" s="634">
        <f t="shared" si="1398"/>
        <v>15.475904</v>
      </c>
      <c r="Y688" s="634">
        <f t="shared" si="1398"/>
        <v>15.972146</v>
      </c>
      <c r="Z688" s="634">
        <f t="shared" si="1398"/>
        <v>15.961492</v>
      </c>
      <c r="AA688" s="1443">
        <f t="shared" si="1398"/>
        <v>15.961492</v>
      </c>
      <c r="AB688" s="634">
        <f t="shared" si="1398"/>
        <v>16.877231999999999</v>
      </c>
      <c r="AC688" s="634">
        <f t="shared" si="1398"/>
        <v>18.037597000000002</v>
      </c>
      <c r="AD688" s="634">
        <f t="shared" si="1398"/>
        <v>19.490482</v>
      </c>
      <c r="AE688" s="634">
        <f t="shared" si="1398"/>
        <v>17.709019000000001</v>
      </c>
      <c r="AF688" s="1443">
        <f t="shared" si="1398"/>
        <v>17.709019000000001</v>
      </c>
      <c r="AG688" s="634">
        <f t="shared" si="1398"/>
        <v>19.946428999999998</v>
      </c>
      <c r="AH688" s="634">
        <f t="shared" si="1398"/>
        <v>21.977229999999999</v>
      </c>
      <c r="AI688" s="634">
        <f t="shared" si="1398"/>
        <v>23.314060999999999</v>
      </c>
      <c r="AJ688" s="634">
        <f t="shared" si="1398"/>
        <v>22.544132999999999</v>
      </c>
      <c r="AK688" s="1443">
        <f t="shared" si="1398"/>
        <v>22.544132999999999</v>
      </c>
      <c r="AL688" s="634">
        <f t="shared" si="1398"/>
        <v>23.676064</v>
      </c>
      <c r="AM688" s="634">
        <f t="shared" si="1398"/>
        <v>27.633583999999999</v>
      </c>
      <c r="AN688" s="634">
        <f t="shared" si="1398"/>
        <v>30.043203999999999</v>
      </c>
      <c r="AO688" s="634">
        <f>ROUND(INDEX(MO_BSS_TotalCommonEquity,0,COLUMN())/INDEX(MO_RIS_ShareCount_EoPB,0,COLUMN()),6)</f>
        <v>28.271872999999999</v>
      </c>
      <c r="AP688" s="1443">
        <f>ROUND(INDEX(MO_BSS_TotalCommonEquity,0,COLUMN())/INDEX(MO_RIS_ShareCount_EoPB,0,COLUMN()),6)</f>
        <v>28.271872999999999</v>
      </c>
      <c r="AQ688" s="634">
        <f t="shared" si="1398"/>
        <v>29.635338000000001</v>
      </c>
      <c r="AR688" s="634">
        <f t="shared" si="1399" ref="AR688:AU688">ROUND(INDEX(MO_BSS_TotalCommonEquity,0,COLUMN())/INDEX(MO_RIS_ShareCount_EoPB,0,COLUMN()),6)</f>
        <v>31.069206999999999</v>
      </c>
      <c r="AS688" s="634">
        <f t="shared" si="1399"/>
        <v>30.878973999999999</v>
      </c>
      <c r="AT688" s="634">
        <f t="shared" si="1399"/>
        <v>30.351984999999999</v>
      </c>
      <c r="AU688" s="1443">
        <f t="shared" si="1399"/>
        <v>30.351984999999999</v>
      </c>
      <c r="AV688" s="634">
        <f t="shared" si="1400" ref="AV688:BJ688">ROUND(INDEX(MO_BSS_TotalCommonEquity,0,COLUMN())/INDEX(MO_RIS_ShareCount_EoPB,0,COLUMN()),6)</f>
        <v>28.307915999999999</v>
      </c>
      <c r="AW688" s="634">
        <f t="shared" si="1400"/>
        <v>25.916909</v>
      </c>
      <c r="AX688" s="634">
        <f t="shared" si="1400"/>
        <v>24.410015000000001</v>
      </c>
      <c r="AY688" s="634">
        <f t="shared" si="1400"/>
        <v>26.324328999999999</v>
      </c>
      <c r="AZ688" s="1443">
        <f t="shared" si="1400"/>
        <v>26.324328999999999</v>
      </c>
      <c r="BA688" s="634">
        <f t="shared" si="1401" ref="BA688:BI688">ROUND(INDEX(MO_BSS_TotalCommonEquity,0,COLUMN())/INDEX(MO_RIS_ShareCount_EoPB,0,COLUMN()),6)</f>
        <v>27.971471999999999</v>
      </c>
      <c r="BB688" s="634">
        <f t="shared" si="1401"/>
        <v>27.707841999999999</v>
      </c>
      <c r="BC688" s="634">
        <f t="shared" si="1401"/>
        <v>28.891282</v>
      </c>
      <c r="BD688" s="634">
        <f t="shared" si="1401"/>
        <v>33.800103</v>
      </c>
      <c r="BE688" s="1443">
        <f t="shared" si="1401"/>
        <v>33.800103</v>
      </c>
      <c r="BF688" s="634">
        <f>ROUND(INDEX(MO_BSS_TotalCommonEquity,0,COLUMN())/INDEX(MO_RIS_ShareCount_EoPB,0,COLUMN()),6)</f>
        <v>37.239713000000002</v>
      </c>
      <c r="BG688" s="634">
        <f>ROUND(INDEX(MO_BSS_TotalCommonEquity,0,COLUMN())/INDEX(MO_RIS_ShareCount_EoPB,0,COLUMN()),6)</f>
        <v>39.850434999999997</v>
      </c>
      <c r="BH688" s="1017">
        <f>ROUND(INDEX(MO_BSS_TotalCommonEquity,0,COLUMN())/INDEX(MO_RIS_ShareCount_EoPB,0,COLUMN()),6)</f>
        <v>46.362752</v>
      </c>
      <c r="BI688" s="114">
        <f t="shared" ca="1" si="1401"/>
        <v>49.081530999999998</v>
      </c>
      <c r="BJ688" s="1444">
        <f t="shared" ca="1" si="1400"/>
        <v>49.081530999999998</v>
      </c>
      <c r="BK688" s="114">
        <f ca="1" t="shared" si="1402" ref="BK688:BR688">ROUND(INDEX(MO_BSS_TotalCommonEquity,0,COLUMN())/INDEX(MO_RIS_ShareCount_EoPB,0,COLUMN()),6)</f>
        <v>52.464699000000003</v>
      </c>
      <c r="BL688" s="114">
        <f t="shared" ca="1" si="1402"/>
        <v>54.815613999999997</v>
      </c>
      <c r="BM688" s="114">
        <f t="shared" ca="1" si="1402"/>
        <v>56.860174999999998</v>
      </c>
      <c r="BN688" s="114">
        <f t="shared" ca="1" si="1402"/>
        <v>60.524149999999999</v>
      </c>
      <c r="BO688" s="1444">
        <f t="shared" ca="1" si="1402"/>
        <v>60.524149999999999</v>
      </c>
      <c r="BP688" s="1445">
        <f t="shared" ca="1" si="1402"/>
        <v>72.851703000000001</v>
      </c>
      <c r="BQ688" s="1445">
        <f t="shared" ca="1" si="1402"/>
        <v>85.894553999999999</v>
      </c>
      <c r="BR688" s="1444">
        <f t="shared" ca="1" si="1402"/>
        <v>99.689688000000004</v>
      </c>
      <c r="BS688" s="648"/>
    </row>
    <row r="689" spans="1:71" s="688" customFormat="1" ht="15">
      <c r="A689" s="99" t="str">
        <f>CONCATENATE("Consensus Estimates - ",IFERROR(LEFT(A688,FIND("(",A688)-1),A688))</f>
        <v>Consensus Estimates - Book Value per Common Share</v>
      </c>
      <c r="B689" s="110"/>
      <c r="C689" s="1446"/>
      <c r="D689" s="1446"/>
      <c r="E689" s="1446"/>
      <c r="F689" s="1446"/>
      <c r="G689" s="1446"/>
      <c r="H689" s="205"/>
      <c r="I689" s="205"/>
      <c r="J689" s="205"/>
      <c r="K689" s="205"/>
      <c r="L689" s="1446"/>
      <c r="M689" s="205"/>
      <c r="N689" s="205"/>
      <c r="O689" s="205"/>
      <c r="P689" s="205"/>
      <c r="Q689" s="1446"/>
      <c r="R689" s="205"/>
      <c r="S689" s="206"/>
      <c r="T689" s="205"/>
      <c r="U689" s="205"/>
      <c r="V689" s="1446"/>
      <c r="W689" s="205"/>
      <c r="X689" s="206"/>
      <c r="Y689" s="205"/>
      <c r="Z689" s="205"/>
      <c r="AA689" s="1446"/>
      <c r="AB689" s="205"/>
      <c r="AC689" s="206"/>
      <c r="AD689" s="205"/>
      <c r="AE689" s="205"/>
      <c r="AF689" s="1446"/>
      <c r="AG689" s="205"/>
      <c r="AH689" s="206"/>
      <c r="AI689" s="205"/>
      <c r="AJ689" s="205"/>
      <c r="AK689" s="1446"/>
      <c r="AL689" s="205"/>
      <c r="AM689" s="206"/>
      <c r="AN689" s="205"/>
      <c r="AO689" s="205"/>
      <c r="AP689" s="1446"/>
      <c r="AQ689" s="205"/>
      <c r="AR689" s="206"/>
      <c r="AS689" s="205"/>
      <c r="AT689" s="205"/>
      <c r="AU689" s="1446"/>
      <c r="AV689" s="205"/>
      <c r="AW689" s="206"/>
      <c r="AX689" s="205"/>
      <c r="AY689" s="205"/>
      <c r="AZ689" s="1446"/>
      <c r="BA689" s="205"/>
      <c r="BB689" s="206"/>
      <c r="BC689" s="205"/>
      <c r="BD689" s="205"/>
      <c r="BE689" s="1446"/>
      <c r="BF689" s="205"/>
      <c r="BG689" s="206"/>
      <c r="BH689" s="981"/>
      <c r="BI689" s="860" t="str">
        <f ca="1" t="shared" si="1403" ref="BI689:BO689">IFERROR(VLOOKUP($A689,tb_ConsensusEstimate,MATCH(BI$5,OFFSET(tb_ConsensusEstimate,0,0,1,COLUMNS(tb_ConsensusEstimate)),0),FALSE),"-")</f>
        <v>N/A</v>
      </c>
      <c r="BJ689" s="1447" t="str">
        <f t="shared" ca="1" si="1403"/>
        <v>N/A</v>
      </c>
      <c r="BK689" s="860" t="str">
        <f t="shared" ca="1" si="1403"/>
        <v>N/A</v>
      </c>
      <c r="BL689" s="860" t="str">
        <f t="shared" ca="1" si="1403"/>
        <v>N/A</v>
      </c>
      <c r="BM689" s="860" t="str">
        <f t="shared" ca="1" si="1403"/>
        <v>N/A</v>
      </c>
      <c r="BN689" s="860" t="str">
        <f t="shared" ca="1" si="1403"/>
        <v>N/A</v>
      </c>
      <c r="BO689" s="1447" t="str">
        <f t="shared" ca="1" si="1403"/>
        <v>N/A</v>
      </c>
      <c r="BP689" s="1338" t="str">
        <f ca="1">IFERROR(VLOOKUP($A689,tb_ConsensusEstimate,MATCH(BP5,OFFSET(tb_ConsensusEstimate,0,0,1,COLUMNS(tb_ConsensusEstimate)),0),FALSE),"-")</f>
        <v>N/A</v>
      </c>
      <c r="BQ689" s="1338" t="str">
        <f ca="1">IFERROR(VLOOKUP($A689,tb_ConsensusEstimate,MATCH(BQ5,OFFSET(tb_ConsensusEstimate,0,0,1,COLUMNS(tb_ConsensusEstimate)),0),FALSE),"-")</f>
        <v>N/A</v>
      </c>
      <c r="BR689" s="1447" t="str">
        <f ca="1">IFERROR(VLOOKUP($A689,tb_ConsensusEstimate,MATCH(BR5,OFFSET(tb_ConsensusEstimate,0,0,1,COLUMNS(tb_ConsensusEstimate)),0),FALSE),"-")</f>
        <v>N/A</v>
      </c>
      <c r="BS689" s="648"/>
    </row>
    <row r="690" spans="1:71" s="690" customFormat="1" ht="15">
      <c r="A690" s="39" t="s">
        <v>127</v>
      </c>
      <c r="B690" s="426"/>
      <c r="C690" s="1467">
        <f t="shared" si="1404" ref="C690:AQ690">ROUND(INDEX(MO_BSS_TangibleCommonEquity,0,COLUMN())/INDEX(MO_RIS_ShareCount_EoPB,0,COLUMN()),6)</f>
        <v>8.5468329999999995</v>
      </c>
      <c r="D690" s="1467">
        <f t="shared" si="1404"/>
        <v>9.131793</v>
      </c>
      <c r="E690" s="1467">
        <f t="shared" si="1404"/>
        <v>9.4725940000000008</v>
      </c>
      <c r="F690" s="1467">
        <f t="shared" si="1404"/>
        <v>9.9354949999999995</v>
      </c>
      <c r="G690" s="1467">
        <f t="shared" si="1404"/>
        <v>10.388553</v>
      </c>
      <c r="H690" s="637">
        <f t="shared" si="1404"/>
        <v>10.855842000000001</v>
      </c>
      <c r="I690" s="637">
        <f t="shared" si="1404"/>
        <v>11.456128</v>
      </c>
      <c r="J690" s="637">
        <f t="shared" si="1404"/>
        <v>11.748811999999999</v>
      </c>
      <c r="K690" s="637">
        <f t="shared" si="1404"/>
        <v>11.765396000000001</v>
      </c>
      <c r="L690" s="1467">
        <f t="shared" si="1404"/>
        <v>11.765396000000001</v>
      </c>
      <c r="M690" s="637">
        <f t="shared" si="1404"/>
        <v>12.240762999999999</v>
      </c>
      <c r="N690" s="637">
        <f t="shared" si="1404"/>
        <v>10.856631</v>
      </c>
      <c r="O690" s="637">
        <f t="shared" si="1404"/>
        <v>11.127438</v>
      </c>
      <c r="P690" s="637">
        <f t="shared" si="1404"/>
        <v>10.875427999999999</v>
      </c>
      <c r="Q690" s="1467">
        <f t="shared" si="1404"/>
        <v>10.875427999999999</v>
      </c>
      <c r="R690" s="637">
        <f t="shared" si="1404"/>
        <v>11.377186999999999</v>
      </c>
      <c r="S690" s="637">
        <f t="shared" si="1404"/>
        <v>11.89603</v>
      </c>
      <c r="T690" s="637">
        <f t="shared" si="1404"/>
        <v>12.391529</v>
      </c>
      <c r="U690" s="637">
        <f t="shared" si="1404"/>
        <v>12.200207000000001</v>
      </c>
      <c r="V690" s="1467">
        <f t="shared" si="1404"/>
        <v>12.200207000000001</v>
      </c>
      <c r="W690" s="637">
        <f t="shared" si="1404"/>
        <v>13.179893</v>
      </c>
      <c r="X690" s="637">
        <f t="shared" si="1404"/>
        <v>14.005164000000001</v>
      </c>
      <c r="Y690" s="637">
        <f t="shared" si="1404"/>
        <v>14.532496999999999</v>
      </c>
      <c r="Z690" s="637">
        <f t="shared" si="1404"/>
        <v>14.553034</v>
      </c>
      <c r="AA690" s="1467">
        <f t="shared" si="1404"/>
        <v>14.553034</v>
      </c>
      <c r="AB690" s="637">
        <f t="shared" si="1404"/>
        <v>15.501374</v>
      </c>
      <c r="AC690" s="637">
        <f t="shared" si="1404"/>
        <v>16.692875999999998</v>
      </c>
      <c r="AD690" s="637">
        <f t="shared" si="1404"/>
        <v>18.178014000000001</v>
      </c>
      <c r="AE690" s="637">
        <f t="shared" si="1404"/>
        <v>16.427641000000001</v>
      </c>
      <c r="AF690" s="1467">
        <f t="shared" si="1404"/>
        <v>16.427641000000001</v>
      </c>
      <c r="AG690" s="637">
        <f t="shared" si="1404"/>
        <v>18.694025</v>
      </c>
      <c r="AH690" s="637">
        <f t="shared" si="1404"/>
        <v>20.759288000000002</v>
      </c>
      <c r="AI690" s="637">
        <f t="shared" si="1404"/>
        <v>22.124186999999999</v>
      </c>
      <c r="AJ690" s="637">
        <f t="shared" si="1404"/>
        <v>21.379234</v>
      </c>
      <c r="AK690" s="1467">
        <f t="shared" si="1404"/>
        <v>21.379234</v>
      </c>
      <c r="AL690" s="637">
        <f t="shared" si="1404"/>
        <v>22.537330999999998</v>
      </c>
      <c r="AM690" s="637">
        <f t="shared" si="1404"/>
        <v>26.519131999999999</v>
      </c>
      <c r="AN690" s="637">
        <f t="shared" si="1404"/>
        <v>28.953381</v>
      </c>
      <c r="AO690" s="637">
        <f>ROUND(INDEX(MO_BSS_TangibleCommonEquity,0,COLUMN())/INDEX(MO_RIS_ShareCount_EoPB,0,COLUMN()),6)</f>
        <v>27.205400000000001</v>
      </c>
      <c r="AP690" s="1467">
        <f>ROUND(INDEX(MO_BSS_TangibleCommonEquity,0,COLUMN())/INDEX(MO_RIS_ShareCount_EoPB,0,COLUMN()),6)</f>
        <v>27.205400000000001</v>
      </c>
      <c r="AQ690" s="637">
        <f t="shared" si="1404"/>
        <v>28.593131</v>
      </c>
      <c r="AR690" s="637">
        <f t="shared" si="1405" ref="AR690:AU690">ROUND(INDEX(MO_BSS_TangibleCommonEquity,0,COLUMN())/INDEX(MO_RIS_ShareCount_EoPB,0,COLUMN()),6)</f>
        <v>30.045283999999999</v>
      </c>
      <c r="AS690" s="637">
        <f t="shared" si="1405"/>
        <v>29.879657999999999</v>
      </c>
      <c r="AT690" s="637">
        <f t="shared" si="1405"/>
        <v>29.376626000000002</v>
      </c>
      <c r="AU690" s="1467">
        <f t="shared" si="1405"/>
        <v>29.376626000000002</v>
      </c>
      <c r="AV690" s="637">
        <f t="shared" si="1406" ref="AV690:BJ690">ROUND(INDEX(MO_BSS_TangibleCommonEquity,0,COLUMN())/INDEX(MO_RIS_ShareCount_EoPB,0,COLUMN()),6)</f>
        <v>27.358352</v>
      </c>
      <c r="AW690" s="637">
        <f t="shared" si="1406"/>
        <v>25.361087000000001</v>
      </c>
      <c r="AX690" s="637">
        <f t="shared" si="1406"/>
        <v>23.863613000000001</v>
      </c>
      <c r="AY690" s="637">
        <f t="shared" si="1406"/>
        <v>25.787143</v>
      </c>
      <c r="AZ690" s="1467">
        <f t="shared" si="1406"/>
        <v>25.787143</v>
      </c>
      <c r="BA690" s="637">
        <f t="shared" si="1407" ref="BA690:BI690">ROUND(INDEX(MO_BSS_TangibleCommonEquity,0,COLUMN())/INDEX(MO_RIS_ShareCount_EoPB,0,COLUMN()),6)</f>
        <v>27.44397</v>
      </c>
      <c r="BB690" s="637">
        <f t="shared" si="1407"/>
        <v>27.185545999999999</v>
      </c>
      <c r="BC690" s="637">
        <f t="shared" si="1407"/>
        <v>28.373674999999999</v>
      </c>
      <c r="BD690" s="637">
        <f t="shared" si="1407"/>
        <v>33.282761000000001</v>
      </c>
      <c r="BE690" s="1467">
        <f t="shared" si="1407"/>
        <v>33.282761000000001</v>
      </c>
      <c r="BF690" s="637">
        <f>ROUND(INDEX(MO_BSS_TangibleCommonEquity,0,COLUMN())/INDEX(MO_RIS_ShareCount_EoPB,0,COLUMN()),6)</f>
        <v>37.239713000000002</v>
      </c>
      <c r="BG690" s="637">
        <f>ROUND(INDEX(MO_BSS_TangibleCommonEquity,0,COLUMN())/INDEX(MO_RIS_ShareCount_EoPB,0,COLUMN()),6)</f>
        <v>39.850434999999997</v>
      </c>
      <c r="BH690" s="1019">
        <f>ROUND(INDEX(MO_BSS_TangibleCommonEquity,0,COLUMN())/INDEX(MO_RIS_ShareCount_EoPB,0,COLUMN()),6)</f>
        <v>46.362752</v>
      </c>
      <c r="BI690" s="250">
        <f t="shared" ca="1" si="1407"/>
        <v>49.081530999999998</v>
      </c>
      <c r="BJ690" s="1468">
        <f t="shared" ca="1" si="1406"/>
        <v>49.081530999999998</v>
      </c>
      <c r="BK690" s="250">
        <f ca="1" t="shared" si="1408" ref="BK690:BR690">ROUND(INDEX(MO_BSS_TangibleCommonEquity,0,COLUMN())/INDEX(MO_RIS_ShareCount_EoPB,0,COLUMN()),6)</f>
        <v>52.464699000000003</v>
      </c>
      <c r="BL690" s="250">
        <f t="shared" ca="1" si="1408"/>
        <v>54.815613999999997</v>
      </c>
      <c r="BM690" s="250">
        <f t="shared" ca="1" si="1408"/>
        <v>56.860174999999998</v>
      </c>
      <c r="BN690" s="250">
        <f t="shared" ca="1" si="1408"/>
        <v>60.524149999999999</v>
      </c>
      <c r="BO690" s="1468">
        <f t="shared" ca="1" si="1408"/>
        <v>60.524149999999999</v>
      </c>
      <c r="BP690" s="1469">
        <f t="shared" ca="1" si="1408"/>
        <v>72.851703000000001</v>
      </c>
      <c r="BQ690" s="1469">
        <f t="shared" ca="1" si="1408"/>
        <v>85.894553999999999</v>
      </c>
      <c r="BR690" s="1468">
        <f t="shared" ca="1" si="1408"/>
        <v>99.689688000000004</v>
      </c>
      <c r="BS690" s="648"/>
    </row>
    <row r="691" spans="1:71" s="669" customFormat="1" ht="15">
      <c r="A691" s="427"/>
      <c r="B691" s="424"/>
      <c r="C691" s="1325"/>
      <c r="D691" s="1325"/>
      <c r="E691" s="1325"/>
      <c r="F691" s="1325"/>
      <c r="G691" s="1325"/>
      <c r="H691" s="726"/>
      <c r="I691" s="726"/>
      <c r="J691" s="726"/>
      <c r="K691" s="726"/>
      <c r="L691" s="1325"/>
      <c r="M691" s="726"/>
      <c r="N691" s="726"/>
      <c r="O691" s="726"/>
      <c r="P691" s="726"/>
      <c r="Q691" s="1325"/>
      <c r="R691" s="726"/>
      <c r="S691" s="726"/>
      <c r="T691" s="726"/>
      <c r="U691" s="726"/>
      <c r="V691" s="1325"/>
      <c r="W691" s="726"/>
      <c r="X691" s="726"/>
      <c r="Y691" s="726"/>
      <c r="Z691" s="726"/>
      <c r="AA691" s="1325"/>
      <c r="AB691" s="726"/>
      <c r="AC691" s="726"/>
      <c r="AD691" s="726"/>
      <c r="AE691" s="726"/>
      <c r="AF691" s="1325"/>
      <c r="AG691" s="726"/>
      <c r="AH691" s="726"/>
      <c r="AI691" s="726"/>
      <c r="AJ691" s="726"/>
      <c r="AK691" s="1325"/>
      <c r="AL691" s="726"/>
      <c r="AM691" s="726"/>
      <c r="AN691" s="726"/>
      <c r="AO691" s="726"/>
      <c r="AP691" s="1325"/>
      <c r="AQ691" s="726"/>
      <c r="AR691" s="726"/>
      <c r="AS691" s="726"/>
      <c r="AT691" s="726"/>
      <c r="AU691" s="1325"/>
      <c r="AV691" s="726"/>
      <c r="AW691" s="726"/>
      <c r="AX691" s="726"/>
      <c r="AY691" s="726"/>
      <c r="AZ691" s="1325"/>
      <c r="BA691" s="726"/>
      <c r="BB691" s="726"/>
      <c r="BC691" s="726"/>
      <c r="BD691" s="726"/>
      <c r="BE691" s="1325"/>
      <c r="BF691" s="726"/>
      <c r="BG691" s="726"/>
      <c r="BH691" s="808"/>
      <c r="BI691" s="98"/>
      <c r="BJ691" s="1326"/>
      <c r="BK691" s="98"/>
      <c r="BL691" s="98"/>
      <c r="BM691" s="98"/>
      <c r="BN691" s="98"/>
      <c r="BO691" s="1326"/>
      <c r="BP691" s="1325"/>
      <c r="BQ691" s="1325"/>
      <c r="BR691" s="1326"/>
      <c r="BS691" s="648"/>
    </row>
    <row r="692" spans="1:71" s="682" customFormat="1" ht="15">
      <c r="A692" s="21" t="s">
        <v>323</v>
      </c>
      <c r="B692" s="428"/>
      <c r="C692" s="1413"/>
      <c r="D692" s="1470">
        <f>D631/AVERAGE(C910,D910)*(D$3/D$3)</f>
        <v>0.051859726793464046</v>
      </c>
      <c r="E692" s="1470">
        <f>E631/AVERAGE(D910,E910)*(E$3/E$3)</f>
        <v>0.047237941067703126</v>
      </c>
      <c r="F692" s="1470">
        <f>F631/AVERAGE(E910,F910)*(F$3/F$3)</f>
        <v>0.040516844598614606</v>
      </c>
      <c r="G692" s="1470">
        <f>G631/AVERAGE(F910,G910)*(G$3/G$3)</f>
        <v>0.049483152841969476</v>
      </c>
      <c r="H692" s="211">
        <f>H631*(L$3/H$3)/AVERAGE(G910,H910)</f>
        <v>0.053487427037411057</v>
      </c>
      <c r="I692" s="211">
        <f>I631*(L$3/I$3)/AVERAGE(H910,I910)</f>
        <v>0.047292308761000421</v>
      </c>
      <c r="J692" s="211">
        <f>J631*(L$3/J$3)/AVERAGE(I910,J910)</f>
        <v>0.045728855156607406</v>
      </c>
      <c r="K692" s="211">
        <f>K631*(L$3/K$3)/AVERAGE(J910,K910)</f>
        <v>0.056802398628970137</v>
      </c>
      <c r="L692" s="1470">
        <f>L631/AVERAGE(G910,H910,I910,J910,K910)*(L$3/L$3)</f>
        <v>0.050877790831512351</v>
      </c>
      <c r="M692" s="211">
        <f>M631*(Q$3/M$3)/AVERAGE(L910,M910)</f>
        <v>0.045523482710557332</v>
      </c>
      <c r="N692" s="211">
        <f>N631*(Q$3/N$3)/AVERAGE(M910,N910)</f>
        <v>0.051871314452541818</v>
      </c>
      <c r="O692" s="211">
        <f>O631*(Q$3/O$3)/AVERAGE(N910,O910)</f>
        <v>0.037276836959310701</v>
      </c>
      <c r="P692" s="211">
        <f>P631*(Q$3/P$3)/AVERAGE(O910,P910)</f>
        <v>0.043873866381381889</v>
      </c>
      <c r="Q692" s="1470">
        <f>Q631/AVERAGE(L910,M910,N910,O910,P910)*(Q$3/Q$3)</f>
        <v>0.044719841272081201</v>
      </c>
      <c r="R692" s="211">
        <f>R631*(V$3/R$3)/AVERAGE(Q910,R910)</f>
        <v>0.034306550621967032</v>
      </c>
      <c r="S692" s="211">
        <f>S631*(V$3/S$3)/AVERAGE(R910,S910)</f>
        <v>0.024498980673059244</v>
      </c>
      <c r="T692" s="211">
        <f>T631*(V$3/T$3)/AVERAGE(S910,T910)</f>
        <v>0.024107730669348706</v>
      </c>
      <c r="U692" s="211">
        <f>U631*(V$3/U$3)/AVERAGE(T910,U910)</f>
        <v>0.045473772346722827</v>
      </c>
      <c r="V692" s="1470">
        <f>V631/AVERAGE(Q910,R910,S910,T910,U910)*(V$3/V$3)</f>
        <v>0.032310147329257743</v>
      </c>
      <c r="W692" s="211">
        <f>W631*(AA$3/W$3)/AVERAGE(V910,W910)</f>
        <v>0.050434427217158156</v>
      </c>
      <c r="X692" s="211">
        <f>X631*(AA$3/X$3)/AVERAGE(W910,X910)</f>
        <v>0.0412428915805826</v>
      </c>
      <c r="Y692" s="211">
        <f>Y631*(AA$3/Y$3)/AVERAGE(X910,Y910)</f>
        <v>0.023503502987842564</v>
      </c>
      <c r="Z692" s="211">
        <f>Z631*(AA$3/Z$3)/AVERAGE(Y910,Z910)</f>
        <v>0.058902375220475069</v>
      </c>
      <c r="AA692" s="1470">
        <f>AA631/AVERAGE(V910,W910,X910,Y910,Z910)*(AA$3/AA$3)</f>
        <v>0.043607198885198199</v>
      </c>
      <c r="AB692" s="211">
        <f>AB631*(AF$3/AB$3)/AVERAGE(AA910,AB910)</f>
        <v>0.0726464061850738</v>
      </c>
      <c r="AC692" s="211">
        <f>AC631*(AF$3/AC$3)/AVERAGE(AB910,AC910)</f>
        <v>0.066064930743114869</v>
      </c>
      <c r="AD692" s="211">
        <f>AD631*(AF$3/AD$3)/AVERAGE(AC910,AD910)</f>
        <v>0.082259807197108778</v>
      </c>
      <c r="AE692" s="211">
        <f>AE631*(AF$3/AE$3)/AVERAGE(AD910,AE910)</f>
        <v>0.022214603927135364</v>
      </c>
      <c r="AF692" s="1470">
        <f>AF631/AVERAGE(AA910,AB910,AC910,AD910,AE910)*(AF$3/AF$3)</f>
        <v>0.060179301327104501</v>
      </c>
      <c r="AG692" s="211">
        <f>AG631*(AK$3/AG$3)/AVERAGE(AF910,AG910)</f>
        <v>0.091094057632281608</v>
      </c>
      <c r="AH692" s="211">
        <f>AH631*(AK$3/AH$3)/AVERAGE(AG910,AH910)</f>
        <v>0.077893855442033755</v>
      </c>
      <c r="AI692" s="211">
        <f>AI631*(AK$3/AI$3)/AVERAGE(AH910,AI910)</f>
        <v>0.062901346294164925</v>
      </c>
      <c r="AJ692" s="211">
        <f>AJ631*(AK$3/AJ$3)/AVERAGE(AI910,AJ910)</f>
        <v>0.077523830253712761</v>
      </c>
      <c r="AK692" s="1470">
        <f>AK631/AVERAGE(AF910,AG910,AH910,AI910,AJ910)*(AK$3/AK$3)</f>
        <v>0.077124100684952041</v>
      </c>
      <c r="AL692" s="211">
        <f>AL631*(AP$3/AL$3)/AVERAGE(AK910,AL910)</f>
        <v>0.049641319049067413</v>
      </c>
      <c r="AM692" s="211">
        <f>AM631*(AP$3/AM$3)/AVERAGE(AL910,AM910)</f>
        <v>0.1240411787159337</v>
      </c>
      <c r="AN692" s="211">
        <f>AN631*(AP$3/AN$3)/AVERAGE(AM910,AN910)</f>
        <v>0.099156518134218399</v>
      </c>
      <c r="AO692" s="211">
        <f>AO631*(AP$3/AO$3)/AVERAGE(AN910,AO910)</f>
        <v>0.10510402245067731</v>
      </c>
      <c r="AP692" s="1470">
        <f>AP631/AVERAGE(AK910,AL910,AM910,AN910,AO910)*(AP$3/AP$3)</f>
        <v>0.095405666905389458</v>
      </c>
      <c r="AQ692" s="211">
        <f>AQ631*(AU$3/AQ$3)/AVERAGE(AP910,AQ910)</f>
        <v>0.092270499322068475</v>
      </c>
      <c r="AR692" s="211">
        <f>AR631*(AU$3/AR$3)/AVERAGE(AQ910,AR910)</f>
        <v>0.046469455110247297</v>
      </c>
      <c r="AS692" s="211">
        <f>AS631*(AU$3/AS$3)/AVERAGE(AR910,AS910)</f>
        <v>0.0062278415391214936</v>
      </c>
      <c r="AT692" s="211">
        <f>AT631*(AU$3/AT$3)/AVERAGE(AS910,AT910)</f>
        <v>0.052742008249080624</v>
      </c>
      <c r="AU692" s="1470">
        <f>AU631/AVERAGE(AP910,AQ910,AR910,AS910,AT910)*(AU$3/AU$3)</f>
        <v>0.048442622162412123</v>
      </c>
      <c r="AV692" s="211">
        <f>AV631*(AZ$3/AV$3)/AVERAGE(AU910,AV910)</f>
        <v>0.017177034999082144</v>
      </c>
      <c r="AW692" s="211">
        <f>AW631*(AZ$3/AW$3)/AVERAGE(AV910,AW910)</f>
        <v>-0.029995068406680984</v>
      </c>
      <c r="AX692" s="211">
        <f>AX631*(AZ$3/AX$3)/AVERAGE(AW910,AX910)</f>
        <v>0.0062695833951010417</v>
      </c>
      <c r="AY692" s="211">
        <f>AY631*(AZ$3/AY$3)/AVERAGE(AX910,AY910)</f>
        <v>0.043071609267993652</v>
      </c>
      <c r="AZ692" s="1470">
        <f>AZ631/AVERAGE(AU910,AV910,AW910,AX910,AY910)*(AZ$3/AZ$3)</f>
        <v>0.0094091625682761349</v>
      </c>
      <c r="BA692" s="211">
        <f>BA631*(BE$3/BA$3)/AVERAGE(AZ910,BA910)</f>
        <v>0.022927487058656167</v>
      </c>
      <c r="BB692" s="211">
        <f>BB631*(BE$3/BB$3)/AVERAGE(BA910,BB910)</f>
        <v>0.016495527871859966</v>
      </c>
      <c r="BC692" s="211">
        <f>BC631*(BE$3/BC$3)/AVERAGE(BB910,BC910)</f>
        <v>0.052282710687802617</v>
      </c>
      <c r="BD692" s="211">
        <f>BD631*(BE$3/BD$3)/AVERAGE(BC910,BD910)</f>
        <v>0.089996174965240067</v>
      </c>
      <c r="BE692" s="1470">
        <f>BE631/AVERAGE(AZ910,BA910,BB910,BC910,BD910)*(BE$3/BE$3)</f>
        <v>0.046771147400999191</v>
      </c>
      <c r="BF692" s="211">
        <f>BF631*(BJ$3/BF$3)/AVERAGE(BE910,BF910)</f>
        <v>0.10183275489942697</v>
      </c>
      <c r="BG692" s="211">
        <f>BG631*(BJ$3/BG$3)/AVERAGE(BF910,BG910)</f>
        <v>0.061106466438385972</v>
      </c>
      <c r="BH692" s="838">
        <f>BH631*(BJ$3/BH$3)/AVERAGE(BG910,BH910)</f>
        <v>0.091413880790500376</v>
      </c>
      <c r="BI692" s="105">
        <f ca="1">BI631*(BJ$3/BI$3)/AVERAGE(BH910,BI910)</f>
        <v>0.061201023401141703</v>
      </c>
      <c r="BJ692" s="1414">
        <f ca="1">BJ631/AVERAGE(BE910,BF910,BG910,BH910,BI910)*(BJ$3/BJ$3)</f>
        <v>0.078405184246345336</v>
      </c>
      <c r="BK692" s="105">
        <f ca="1">BK631*(BO$3/BK$3)/AVERAGE(BJ910,BK910)</f>
        <v>0.074854929791564689</v>
      </c>
      <c r="BL692" s="105">
        <f ca="1">BL631*(BO$3/BL$3)/AVERAGE(BK910,BL910)</f>
        <v>0.050340115651788767</v>
      </c>
      <c r="BM692" s="105">
        <f ca="1">BM631*(BO$3/BM$3)/AVERAGE(BL910,BM910)</f>
        <v>0.041909518884733953</v>
      </c>
      <c r="BN692" s="105">
        <f ca="1">BN631*(BO$3/BN$3)/AVERAGE(BM910,BN910)</f>
        <v>0.072242912061159792</v>
      </c>
      <c r="BO692" s="1414">
        <f ca="1">BO631/AVERAGE(BJ910,BK910,BL910,BM910,BN910)*(BO$3/BO$3)</f>
        <v>0.059739819665433402</v>
      </c>
      <c r="BP692" s="1413">
        <f ca="1">BP631/AVERAGE(BO910,BP910)*(BP3/BP3)</f>
        <v>0.057143781653660269</v>
      </c>
      <c r="BQ692" s="1413">
        <f ca="1">BQ631/AVERAGE(BP910,BQ910)*(BQ3/BQ3)</f>
        <v>0.053882729371217714</v>
      </c>
      <c r="BR692" s="1414">
        <f ca="1">BR631/AVERAGE(BQ910,BR910)*(BR3/BR3)</f>
        <v>0.051147067315456311</v>
      </c>
      <c r="BS692" s="648"/>
    </row>
    <row r="693" spans="1:71" s="682" customFormat="1" ht="15">
      <c r="A693" s="21" t="s">
        <v>324</v>
      </c>
      <c r="B693" s="428"/>
      <c r="C693" s="1413"/>
      <c r="D693" s="1470">
        <f>D631/AVERAGE(C683,D683)*(D$3/D$3)</f>
        <v>0.18110616656071213</v>
      </c>
      <c r="E693" s="1470">
        <f>E631/AVERAGE(D683,E683)*(E$3/E$3)</f>
        <v>0.17131144775464785</v>
      </c>
      <c r="F693" s="1470">
        <f>F631/AVERAGE(E683,F683)*(F$3/F$3)</f>
        <v>0.15275485241710854</v>
      </c>
      <c r="G693" s="1470">
        <f>G631/AVERAGE(F683,G683)*(G$3/G$3)</f>
        <v>0.19110400524740737</v>
      </c>
      <c r="H693" s="211">
        <f>(H631*(L$3/H$3))/AVERAGE(G683,H683)</f>
        <v>0.20637308858814879</v>
      </c>
      <c r="I693" s="211">
        <f>(I631*(L$3/I$3))/AVERAGE(H683,I683)</f>
        <v>0.17793195781976937</v>
      </c>
      <c r="J693" s="211">
        <f>(J631*(L$3/J$3))/AVERAGE(I683,J683)</f>
        <v>0.17118941531092458</v>
      </c>
      <c r="K693" s="211">
        <f>(K631*(L$3/K$3))/AVERAGE(J683,K683)</f>
        <v>0.21187808060784549</v>
      </c>
      <c r="L693" s="1470">
        <f>L631/AVERAGE(G683,H683,I683,J683,K683)*(L$3/L$3)</f>
        <v>0.19245099335360524</v>
      </c>
      <c r="M693" s="211">
        <f>(M631*(Q$3/M$3))/AVERAGE(L683,M683)</f>
        <v>0.16967866985913072</v>
      </c>
      <c r="N693" s="211">
        <f>(N631*(Q$3/N$3))/AVERAGE(M683,N683)</f>
        <v>0.20014041048673001</v>
      </c>
      <c r="O693" s="211">
        <f>(O631*(Q$3/O$3))/AVERAGE(N683,O683)</f>
        <v>0.14898662780498984</v>
      </c>
      <c r="P693" s="211">
        <f>(P631*(Q$3/P$3))/AVERAGE(O683,P683)</f>
        <v>0.17772226188111015</v>
      </c>
      <c r="Q693" s="1470">
        <f>Q631/AVERAGE(L683,M683,N683,O683,P683)*(Q$3/Q$3)</f>
        <v>0.17488142112538865</v>
      </c>
      <c r="R693" s="211">
        <f>(R631*(V$3/R$3))/AVERAGE(Q683,R683)</f>
        <v>0.13986850899028533</v>
      </c>
      <c r="S693" s="211">
        <f>(S631*(V$3/S$3))/AVERAGE(R683,S683)</f>
        <v>0.099743508372060433</v>
      </c>
      <c r="T693" s="211">
        <f>(T631*(V$3/T$3))/AVERAGE(S683,T683)</f>
        <v>0.099243001943806045</v>
      </c>
      <c r="U693" s="211">
        <f>(U631*(V$3/U$3))/AVERAGE(T683,U683)</f>
        <v>0.18994375275263689</v>
      </c>
      <c r="V693" s="1470">
        <f>V631/AVERAGE(Q683,R683,S683,T683,U683)*(V$3/V$3)</f>
        <v>0.13307827739140807</v>
      </c>
      <c r="W693" s="211">
        <f>(W631*(AA$3/W$3))/AVERAGE(V683,W683)</f>
        <v>0.20883158036677421</v>
      </c>
      <c r="X693" s="211">
        <f>(X631*(AA$3/X$3))/AVERAGE(W683,X683)</f>
        <v>0.16836883483756962</v>
      </c>
      <c r="Y693" s="211">
        <f>(Y631*(AA$3/Y$3))/AVERAGE(X683,Y683)</f>
        <v>0.097226684919660689</v>
      </c>
      <c r="Z693" s="211">
        <f>(Z631*(AA$3/Z$3))/AVERAGE(Y683,Z683)</f>
        <v>0.24619177231812495</v>
      </c>
      <c r="AA693" s="1470">
        <f>AA631/AVERAGE(V683,W683,X683,Y683,Z683)*(AA$3/AA$3)</f>
        <v>0.18074409079660436</v>
      </c>
      <c r="AB693" s="211">
        <f>(AB631*(AF$3/AB$3))/AVERAGE(AA683,AB683)</f>
        <v>0.30417568415172286</v>
      </c>
      <c r="AC693" s="211">
        <f>(AC631*(AF$3/AC$3))/AVERAGE(AB683,AC683)</f>
        <v>0.2751413573002659</v>
      </c>
      <c r="AD693" s="211">
        <f>(AD631*(AF$3/AD$3))/AVERAGE(AC683,AD683)</f>
        <v>0.33437984667173198</v>
      </c>
      <c r="AE693" s="211">
        <f>(AE631*(AF$3/AE$3))/AVERAGE(AD683,AE683)</f>
        <v>0.094334545783974572</v>
      </c>
      <c r="AF693" s="1470">
        <f>AF631/AVERAGE(AA683,AB683,AC683,AD683,AE683)*(AF$3/AF$3)</f>
        <v>0.25274877323449046</v>
      </c>
      <c r="AG693" s="211">
        <f>(AG631*(AK$3/AG$3))/AVERAGE(AF683,AG683)</f>
        <v>0.39611741230355207</v>
      </c>
      <c r="AH693" s="211">
        <f>(AH631*(AK$3/AH$3))/AVERAGE(AG683,AH683)</f>
        <v>0.31909191745944415</v>
      </c>
      <c r="AI693" s="211">
        <f>(AI631*(AK$3/AI$3))/AVERAGE(AH683,AI683)</f>
        <v>0.25033886407472394</v>
      </c>
      <c r="AJ693" s="211">
        <f>(AJ631*(AK$3/AJ$3))/AVERAGE(AI683,AJ683)</f>
        <v>0.31492048087569263</v>
      </c>
      <c r="AK693" s="1470">
        <f>AK631/AVERAGE(AF683,AG683,AH683,AI683,AJ683)*(AK$3/AK$3)</f>
        <v>0.32013157916100388</v>
      </c>
      <c r="AL693" s="211">
        <f>(AL631*(AP$3/AL$3))/AVERAGE(AK683,AL683)</f>
        <v>0.2040971356240493</v>
      </c>
      <c r="AM693" s="211">
        <f>(AM631*(AP$3/AM$3))/AVERAGE(AL683,AM683)</f>
        <v>0.47772061927877069</v>
      </c>
      <c r="AN693" s="211">
        <f>(AN631*(AP$3/AN$3))/AVERAGE(AM683,AN683)</f>
        <v>0.3590919390763605</v>
      </c>
      <c r="AO693" s="211">
        <f>(AO631*(AP$3/AO$3))/AVERAGE(AN683,AO683)</f>
        <v>0.39097384783500216</v>
      </c>
      <c r="AP693" s="1470">
        <f>AP631/AVERAGE(AK683,AL683,AM683,AN683,AO683)*(AP$3/AP$3)</f>
        <v>0.36700598306951632</v>
      </c>
      <c r="AQ693" s="211">
        <f>(AQ631*(AU$3/AQ$3))/AVERAGE(AP683,AQ683)</f>
        <v>0.35264243536664192</v>
      </c>
      <c r="AR693" s="211">
        <f>(AR631*(AU$3/AR$3))/AVERAGE(AQ683,AR683)</f>
        <v>0.17690475484154733</v>
      </c>
      <c r="AS693" s="211">
        <f>(AS631*(AU$3/AS$3))/AVERAGE(AR683,AS683)</f>
        <v>0.024474732194597445</v>
      </c>
      <c r="AT693" s="211">
        <f>(AT631*(AU$3/AT$3))/AVERAGE(AS683,AT683)</f>
        <v>0.21176766547609596</v>
      </c>
      <c r="AU693" s="1470">
        <f>AU631/AVERAGE(AP683,AQ683,AR683,AS683,AT683)*(AU$3/AU$3)</f>
        <v>0.18914111497663016</v>
      </c>
      <c r="AV693" s="211">
        <f>(AV631*(AZ$3/AV$3))/AVERAGE(AU683,AV683)</f>
        <v>0.0726558779219523</v>
      </c>
      <c r="AW693" s="211">
        <f>(AW631*(AZ$3/AW$3))/AVERAGE(AV683,AW683)</f>
        <v>-0.13901075860144016</v>
      </c>
      <c r="AX693" s="211">
        <f>(AX631*(AZ$3/AX$3))/AVERAGE(AW683,AX683)</f>
        <v>0.031640919607652765</v>
      </c>
      <c r="AY693" s="211">
        <f>(AY631*(AZ$3/AY$3))/AVERAGE(AX683,AY683)</f>
        <v>0.21911992244071468</v>
      </c>
      <c r="AZ693" s="1470">
        <f>AZ631/AVERAGE(AU683,AV683,AW683,AX683,AY683)*(AZ$3/AZ$3)</f>
        <v>0.043888026770054003</v>
      </c>
      <c r="BA693" s="211">
        <f>(BA631*(BE$3/BA$3))/AVERAGE(AZ683,BA683)</f>
        <v>0.11248270642824282</v>
      </c>
      <c r="BB693" s="211">
        <f>(BB631*(BE$3/BB$3))/AVERAGE(BA683,BB683)</f>
        <v>0.082676444686637804</v>
      </c>
      <c r="BC693" s="211">
        <f>(BC631*(BE$3/BC$3))/AVERAGE(BB683,BC683)</f>
        <v>0.26615547664770489</v>
      </c>
      <c r="BD693" s="211">
        <f>(BD631*(BE$3/BD$3))/AVERAGE(BC683,BD683)</f>
        <v>0.42770642532383712</v>
      </c>
      <c r="BE693" s="1470">
        <f>BE631/AVERAGE(AZ683,BA683,BB683,BC683,BD683)*(BE$3/BE$3)</f>
        <v>0.22821753179267218</v>
      </c>
      <c r="BF693" s="211">
        <f>(BF631*(BJ$3/BF$3))/AVERAGE(BE683,BF683)</f>
        <v>0.44758157612501331</v>
      </c>
      <c r="BG693" s="211">
        <f>(BG631*(BJ$3/BG$3))/AVERAGE(BF683,BG683)</f>
        <v>0.25987324245418592</v>
      </c>
      <c r="BH693" s="838">
        <f>(BH631*(BJ$3/BH$3))/AVERAGE(BG683,BH683)</f>
        <v>0.36764075481808944</v>
      </c>
      <c r="BI693" s="105">
        <f ca="1">(BI631*(BJ$3/BI$3))/AVERAGE(BH683,BI683)</f>
        <v>0.23355886834271228</v>
      </c>
      <c r="BJ693" s="1414">
        <f ca="1">BJ631/AVERAGE(BE683,BF683,BG683,BH683,BI683)*(BJ$3/BJ$3)</f>
        <v>0.32056215420429335</v>
      </c>
      <c r="BK693" s="105">
        <f ca="1">(BK631*(BO$3/BK$3))/AVERAGE(BJ683,BK683)</f>
        <v>0.27685807130117474</v>
      </c>
      <c r="BL693" s="105">
        <f ca="1">(BL631*(BO$3/BL$3))/AVERAGE(BK683,BL683)</f>
        <v>0.18199280498429471</v>
      </c>
      <c r="BM693" s="105">
        <f ca="1">(BM631*(BO$3/BM$3))/AVERAGE(BL683,BM683)</f>
        <v>0.14994945001085516</v>
      </c>
      <c r="BN693" s="105">
        <f ca="1">(BN631*(BO$3/BN$3))/AVERAGE(BM683,BN683)</f>
        <v>0.25327806529784946</v>
      </c>
      <c r="BO693" s="1414">
        <f ca="1">BO631/AVERAGE(BJ683,BK683,BL683,BM683,BN683)*(BO$3/BO$3)</f>
        <v>0.21474757780404335</v>
      </c>
      <c r="BP693" s="1413">
        <f ca="1">BP631/AVERAGE(BO683,BP683)*(BP3/BP3)</f>
        <v>0.19016640679968877</v>
      </c>
      <c r="BQ693" s="1413">
        <f ca="1">BQ631/AVERAGE(BP683,BQ683)*(BQ3/BQ3)</f>
        <v>0.16878636766146415</v>
      </c>
      <c r="BR693" s="1414">
        <f ca="1">BR631/AVERAGE(BQ683,BR683)*(BR3/BR3)</f>
        <v>0.15248475429202052</v>
      </c>
      <c r="BS693" s="648"/>
    </row>
    <row r="694" spans="1:71" s="691" customFormat="1" ht="15">
      <c r="A694" s="100" t="str">
        <f>CONCATENATE("Consensus Estimates - ",IFERROR(LEFT(A693,FIND("(",A693)-1),A693))</f>
        <v>Consensus Estimates - Return on Average Common Equity, %</v>
      </c>
      <c r="B694" s="111"/>
      <c r="C694" s="1471"/>
      <c r="D694" s="1471"/>
      <c r="E694" s="1471"/>
      <c r="F694" s="1471"/>
      <c r="G694" s="1471"/>
      <c r="H694" s="213"/>
      <c r="I694" s="213"/>
      <c r="J694" s="213"/>
      <c r="K694" s="213"/>
      <c r="L694" s="1471"/>
      <c r="M694" s="213"/>
      <c r="N694" s="213"/>
      <c r="O694" s="213"/>
      <c r="P694" s="213"/>
      <c r="Q694" s="1471"/>
      <c r="R694" s="213"/>
      <c r="S694" s="213"/>
      <c r="T694" s="213"/>
      <c r="U694" s="213"/>
      <c r="V694" s="1471"/>
      <c r="W694" s="213"/>
      <c r="X694" s="213"/>
      <c r="Y694" s="213"/>
      <c r="Z694" s="213"/>
      <c r="AA694" s="1471"/>
      <c r="AB694" s="213"/>
      <c r="AC694" s="213"/>
      <c r="AD694" s="213"/>
      <c r="AE694" s="213"/>
      <c r="AF694" s="1471"/>
      <c r="AG694" s="213"/>
      <c r="AH694" s="213"/>
      <c r="AI694" s="213"/>
      <c r="AJ694" s="213"/>
      <c r="AK694" s="1471"/>
      <c r="AL694" s="213"/>
      <c r="AM694" s="213"/>
      <c r="AN694" s="213"/>
      <c r="AO694" s="213"/>
      <c r="AP694" s="1471"/>
      <c r="AQ694" s="213"/>
      <c r="AR694" s="213"/>
      <c r="AS694" s="213"/>
      <c r="AT694" s="213"/>
      <c r="AU694" s="1471"/>
      <c r="AV694" s="213"/>
      <c r="AW694" s="213"/>
      <c r="AX694" s="213"/>
      <c r="AY694" s="213"/>
      <c r="AZ694" s="1471"/>
      <c r="BA694" s="213"/>
      <c r="BB694" s="213"/>
      <c r="BC694" s="213"/>
      <c r="BD694" s="213"/>
      <c r="BE694" s="1471"/>
      <c r="BF694" s="213"/>
      <c r="BG694" s="213"/>
      <c r="BH694" s="839"/>
      <c r="BI694" s="861" t="str">
        <f ca="1" t="shared" si="1409" ref="BI694:BO694">IFERROR(VLOOKUP($A694,tb_ConsensusEstimate,MATCH(BI$5,OFFSET(tb_ConsensusEstimate,0,0,1,COLUMNS(tb_ConsensusEstimate)),0),FALSE),"-")</f>
        <v>N/A</v>
      </c>
      <c r="BJ694" s="1472" t="str">
        <f t="shared" ca="1" si="1409"/>
        <v>N/A</v>
      </c>
      <c r="BK694" s="861" t="str">
        <f t="shared" ca="1" si="1409"/>
        <v>N/A</v>
      </c>
      <c r="BL694" s="861" t="str">
        <f t="shared" ca="1" si="1409"/>
        <v>N/A</v>
      </c>
      <c r="BM694" s="861" t="str">
        <f t="shared" ca="1" si="1409"/>
        <v>N/A</v>
      </c>
      <c r="BN694" s="861" t="str">
        <f t="shared" ca="1" si="1409"/>
        <v>N/A</v>
      </c>
      <c r="BO694" s="1472" t="str">
        <f t="shared" ca="1" si="1409"/>
        <v>N/A</v>
      </c>
      <c r="BP694" s="1473" t="str">
        <f ca="1">IFERROR(VLOOKUP($A694,tb_ConsensusEstimate,MATCH(BP5,OFFSET(tb_ConsensusEstimate,0,0,1,COLUMNS(tb_ConsensusEstimate)),0),FALSE),"-")</f>
        <v>N/A</v>
      </c>
      <c r="BQ694" s="1473" t="str">
        <f ca="1">IFERROR(VLOOKUP($A694,tb_ConsensusEstimate,MATCH(BQ5,OFFSET(tb_ConsensusEstimate,0,0,1,COLUMNS(tb_ConsensusEstimate)),0),FALSE),"-")</f>
        <v>N/A</v>
      </c>
      <c r="BR694" s="1472" t="str">
        <f ca="1">IFERROR(VLOOKUP($A694,tb_ConsensusEstimate,MATCH(BR5,OFFSET(tb_ConsensusEstimate,0,0,1,COLUMNS(tb_ConsensusEstimate)),0),FALSE),"-")</f>
        <v>N/A</v>
      </c>
      <c r="BS694" s="648"/>
    </row>
    <row r="695" spans="1:71" s="682" customFormat="1" ht="15">
      <c r="A695" s="21" t="s">
        <v>325</v>
      </c>
      <c r="B695" s="428"/>
      <c r="C695" s="1413"/>
      <c r="D695" s="1470">
        <f>D631/AVERAGE(C686,D686)*(D$3/D$3)</f>
        <v>0.18110616656071213</v>
      </c>
      <c r="E695" s="1470">
        <f>E631/AVERAGE(D686,E686)*(E$3/E$3)</f>
        <v>0.17131144775464785</v>
      </c>
      <c r="F695" s="1470">
        <f>F631/AVERAGE(E686,F686)*(F$3/F$3)</f>
        <v>0.15275485241710854</v>
      </c>
      <c r="G695" s="1470">
        <f>G631/AVERAGE(F686,G686)*(G$3/G$3)</f>
        <v>0.19110400524740737</v>
      </c>
      <c r="H695" s="211">
        <f>(H631*(L$3/H$3))/AVERAGE(G686,H686)</f>
        <v>0.20637308858814879</v>
      </c>
      <c r="I695" s="211">
        <f>(I631*(L$3/I$3))/AVERAGE(H686,I686)</f>
        <v>0.17810564980804583</v>
      </c>
      <c r="J695" s="211">
        <f>(J631*(L$3/J$3))/AVERAGE(I686,J686)</f>
        <v>0.17151183181139701</v>
      </c>
      <c r="K695" s="211">
        <f>(K631*(L$3/K$3))/AVERAGE(J686,K686)</f>
        <v>0.21227310987340098</v>
      </c>
      <c r="L695" s="1470">
        <f>L631/AVERAGE(G686,H686,I686,J686,K686)*(L$3/L$3)</f>
        <v>0.19267503948259032</v>
      </c>
      <c r="M695" s="211">
        <f>(M631*(Q$3/M$3))/AVERAGE(L686,M686)</f>
        <v>0.16998904226565942</v>
      </c>
      <c r="N695" s="211">
        <f>(N631*(Q$3/N$3))/AVERAGE(M686,N686)</f>
        <v>0.21508532279829495</v>
      </c>
      <c r="O695" s="211">
        <f>(O631*(Q$3/O$3))/AVERAGE(N686,O686)</f>
        <v>0.17163454064977446</v>
      </c>
      <c r="P695" s="211">
        <f>(P631*(Q$3/P$3))/AVERAGE(O686,P686)</f>
        <v>0.20398787534337132</v>
      </c>
      <c r="Q695" s="1470">
        <f>Q631/AVERAGE(L686,M686,N686,O686,P686)*(Q$3/Q$3)</f>
        <v>0.19022978846015312</v>
      </c>
      <c r="R695" s="211">
        <f>(R631*(V$3/R$3))/AVERAGE(Q686,R686)</f>
        <v>0.16001397945649734</v>
      </c>
      <c r="S695" s="211">
        <f>(S631*(V$3/S$3))/AVERAGE(R686,S686)</f>
        <v>0.11328429007253446</v>
      </c>
      <c r="T695" s="211">
        <f>(T631*(V$3/T$3))/AVERAGE(S686,T686)</f>
        <v>0.11197161825056617</v>
      </c>
      <c r="U695" s="211">
        <f>(U631*(V$3/U$3))/AVERAGE(T686,U686)</f>
        <v>0.21363232158540746</v>
      </c>
      <c r="V695" s="1470">
        <f>V631/AVERAGE(Q686,R686,S686,T686,U686)*(V$3/V$3)</f>
        <v>0.15084567214841743</v>
      </c>
      <c r="W695" s="211">
        <f>(W631*(AA$3/W$3))/AVERAGE(V686,W686)</f>
        <v>0.23362440309579319</v>
      </c>
      <c r="X695" s="211">
        <f>(X631*(AA$3/X$3))/AVERAGE(W686,X686)</f>
        <v>0.18671827880854605</v>
      </c>
      <c r="Y695" s="211">
        <f>(Y631*(AA$3/Y$3))/AVERAGE(X686,Y686)</f>
        <v>0.10714211767653611</v>
      </c>
      <c r="Z695" s="211">
        <f>(Z631*(AA$3/Z$3))/AVERAGE(Y686,Z686)</f>
        <v>0.27029928697872729</v>
      </c>
      <c r="AA695" s="1470">
        <f>AA631/AVERAGE(V686,W686,X686,Y686,Z686)*(AA$3/AA$3)</f>
        <v>0.20009701978349001</v>
      </c>
      <c r="AB695" s="211">
        <f>(AB631*(AF$3/AB$3))/AVERAGE(AA686,AB686)</f>
        <v>0.33235455708945871</v>
      </c>
      <c r="AC695" s="211">
        <f>(AC631*(AF$3/AC$3))/AVERAGE(AB686,AC686)</f>
        <v>0.29839211962337442</v>
      </c>
      <c r="AD695" s="211">
        <f>(AD631*(AF$3/AD$3))/AVERAGE(AC686,AD686)</f>
        <v>0.35985913293353355</v>
      </c>
      <c r="AE695" s="211">
        <f>(AE631*(AF$3/AE$3))/AVERAGE(AD686,AE686)</f>
        <v>0.10140535945048137</v>
      </c>
      <c r="AF695" s="1470">
        <f>AF631/AVERAGE(AA686,AB686,AC686,AD686,AE686)*(AF$3/AF$3)</f>
        <v>0.27363373019138221</v>
      </c>
      <c r="AG695" s="211">
        <f>(AG631*(AK$3/AG$3))/AVERAGE(AF686,AG686)</f>
        <v>0.42469600243197969</v>
      </c>
      <c r="AH695" s="211">
        <f>(AH631*(AK$3/AH$3))/AVERAGE(AG686,AH686)</f>
        <v>0.33906974010133489</v>
      </c>
      <c r="AI695" s="211">
        <f>(AI631*(AK$3/AI$3))/AVERAGE(AH686,AI686)</f>
        <v>0.2643945951507371</v>
      </c>
      <c r="AJ695" s="211">
        <f>(AJ631*(AK$3/AJ$3))/AVERAGE(AI686,AJ686)</f>
        <v>0.33196663648114716</v>
      </c>
      <c r="AK695" s="1470">
        <f>AK631/AVERAGE(AF686,AG686,AH686,AI686,AJ686)*(AK$3/AK$3)</f>
        <v>0.33979829592455701</v>
      </c>
      <c r="AL695" s="211">
        <f>(AL631*(AP$3/AL$3))/AVERAGE(AK686,AL686)</f>
        <v>0.21480275312595304</v>
      </c>
      <c r="AM695" s="211">
        <f>(AM631*(AP$3/AM$3))/AVERAGE(AL686,AM686)</f>
        <v>0.49966235523810859</v>
      </c>
      <c r="AN695" s="211">
        <f>(AN631*(AP$3/AN$3))/AVERAGE(AM686,AN686)</f>
        <v>0.37336080046456205</v>
      </c>
      <c r="AO695" s="211">
        <f>(AO631*(AP$3/AO$3))/AVERAGE(AN686,AO686)</f>
        <v>0.4059857346730657</v>
      </c>
      <c r="AP695" s="1470">
        <f>AP631/AVERAGE(AK686,AL686,AM686,AN686,AO686)*(AP$3/AP$3)</f>
        <v>0.38316547306362309</v>
      </c>
      <c r="AQ695" s="211">
        <f>(AQ631*(AU$3/AQ$3))/AVERAGE(AP686,AQ686)</f>
        <v>0.36596913635069056</v>
      </c>
      <c r="AR695" s="211">
        <f>(AR631*(AU$3/AR$3))/AVERAGE(AQ686,AR686)</f>
        <v>0.18313801412836236</v>
      </c>
      <c r="AS695" s="211">
        <f>(AS631*(AU$3/AS$3))/AVERAGE(AR686,AS686)</f>
        <v>0.025301071403371723</v>
      </c>
      <c r="AT695" s="211">
        <f>(AT631*(AU$3/AT$3))/AVERAGE(AS686,AT686)</f>
        <v>0.21882469290849907</v>
      </c>
      <c r="AU695" s="1470">
        <f>AU631/AVERAGE(AP686,AQ686,AR686,AS686,AT686)*(AU$3/AU$3)</f>
        <v>0.19579869255481921</v>
      </c>
      <c r="AV695" s="211">
        <f>(AV631*(AZ$3/AV$3))/AVERAGE(AU686,AV686)</f>
        <v>0.075120994324120727</v>
      </c>
      <c r="AW695" s="211">
        <f>(AW631*(AZ$3/AW$3))/AVERAGE(AV686,AW686)</f>
        <v>-0.14298016321651391</v>
      </c>
      <c r="AX695" s="211">
        <f>(AX631*(AZ$3/AX$3))/AVERAGE(AW686,AX686)</f>
        <v>0.032349415663153455</v>
      </c>
      <c r="AY695" s="211">
        <f>(AY631*(AZ$3/AY$3))/AVERAGE(AX686,AY686)</f>
        <v>0.22390207867266695</v>
      </c>
      <c r="AZ695" s="1470">
        <f>AZ631/AVERAGE(AU686,AV686,AW686,AX686,AY686)*(AZ$3/AZ$3)</f>
        <v>0.045075328882474987</v>
      </c>
      <c r="BA695" s="211">
        <f>(BA631*(BE$3/BA$3))/AVERAGE(AZ686,BA686)</f>
        <v>0.11473246166940279</v>
      </c>
      <c r="BB695" s="211">
        <f>(BB631*(BE$3/BB$3))/AVERAGE(BA686,BB686)</f>
        <v>0.084265212856030516</v>
      </c>
      <c r="BC695" s="211">
        <f>(BC631*(BE$3/BC$3))/AVERAGE(BB686,BC686)</f>
        <v>0.27113714730408545</v>
      </c>
      <c r="BD695" s="211">
        <f>(BD631*(BE$3/BD$3))/AVERAGE(BC686,BD686)</f>
        <v>0.43488564346115016</v>
      </c>
      <c r="BE695" s="1470">
        <f>BE631/AVERAGE(AZ686,BA686,BB686,BC686,BD686)*(BE$3/BE$3)</f>
        <v>0.23242918812162247</v>
      </c>
      <c r="BF695" s="211">
        <f>(BF631*(BJ$3/BF$3))/AVERAGE(BE686,BF686)</f>
        <v>0.45086377814746953</v>
      </c>
      <c r="BG695" s="211">
        <f>(BG631*(BJ$3/BG$3))/AVERAGE(BF686,BG686)</f>
        <v>0.25987324245418592</v>
      </c>
      <c r="BH695" s="838">
        <f>(BH631*(BJ$3/BH$3))/AVERAGE(BG686,BH686)</f>
        <v>0.36764075481808944</v>
      </c>
      <c r="BI695" s="105">
        <f ca="1">(BI631*(BJ$3/BI$3))/AVERAGE(BH686,BI686)</f>
        <v>0.23355886834271228</v>
      </c>
      <c r="BJ695" s="1414">
        <f ca="1">BJ631/AVERAGE(BE686,BF686,BG686,BH686,BI686)*(BJ$3/BJ$3)</f>
        <v>0.32136739324332297</v>
      </c>
      <c r="BK695" s="105">
        <f ca="1">(BK631*(BO$3/BK$3))/AVERAGE(BJ686,BK686)</f>
        <v>0.27685807130117474</v>
      </c>
      <c r="BL695" s="105">
        <f ca="1">(BL631*(BO$3/BL$3))/AVERAGE(BK686,BL686)</f>
        <v>0.18199280498429471</v>
      </c>
      <c r="BM695" s="105">
        <f ca="1">(BM631*(BO$3/BM$3))/AVERAGE(BL686,BM686)</f>
        <v>0.14994945001085516</v>
      </c>
      <c r="BN695" s="105">
        <f ca="1">(BN631*(BO$3/BN$3))/AVERAGE(BM686,BN686)</f>
        <v>0.25327806529784946</v>
      </c>
      <c r="BO695" s="1414">
        <f ca="1">BO631/AVERAGE(BJ686,BK686,BL686,BM686,BN686)*(BO$3/BO$3)</f>
        <v>0.21474757780404335</v>
      </c>
      <c r="BP695" s="1413">
        <f ca="1">BP631/AVERAGE(BO686,BP686)*(BP3/BP3)</f>
        <v>0.19016640679968877</v>
      </c>
      <c r="BQ695" s="1413">
        <f ca="1">BQ631/AVERAGE(BP686,BQ686)*(BQ3/BQ3)</f>
        <v>0.16878636766146415</v>
      </c>
      <c r="BR695" s="1414">
        <f ca="1">BR631/AVERAGE(BQ686,BR686)*(BR3/BR3)</f>
        <v>0.15248475429202052</v>
      </c>
      <c r="BS695" s="648"/>
    </row>
    <row r="696" spans="1:71" s="664" customFormat="1" ht="15">
      <c r="A696" s="429"/>
      <c r="B696" s="429"/>
      <c r="C696" s="1474"/>
      <c r="D696" s="1474"/>
      <c r="E696" s="1474"/>
      <c r="F696" s="1474"/>
      <c r="G696" s="1474"/>
      <c r="H696" s="430"/>
      <c r="I696" s="430"/>
      <c r="J696" s="430"/>
      <c r="K696" s="430"/>
      <c r="L696" s="1474"/>
      <c r="M696" s="430"/>
      <c r="N696" s="430"/>
      <c r="O696" s="430"/>
      <c r="P696" s="430"/>
      <c r="Q696" s="1474"/>
      <c r="R696" s="430"/>
      <c r="S696" s="430"/>
      <c r="T696" s="430"/>
      <c r="U696" s="430"/>
      <c r="V696" s="1474"/>
      <c r="W696" s="430"/>
      <c r="X696" s="430"/>
      <c r="Y696" s="430"/>
      <c r="Z696" s="430"/>
      <c r="AA696" s="1474"/>
      <c r="AB696" s="430"/>
      <c r="AC696" s="430"/>
      <c r="AD696" s="430"/>
      <c r="AE696" s="430"/>
      <c r="AF696" s="1474"/>
      <c r="AG696" s="430"/>
      <c r="AH696" s="430"/>
      <c r="AI696" s="430"/>
      <c r="AJ696" s="430"/>
      <c r="AK696" s="1474"/>
      <c r="AL696" s="430"/>
      <c r="AM696" s="430"/>
      <c r="AN696" s="430"/>
      <c r="AO696" s="430"/>
      <c r="AP696" s="1474"/>
      <c r="AQ696" s="430"/>
      <c r="AR696" s="430"/>
      <c r="AS696" s="430"/>
      <c r="AT696" s="430"/>
      <c r="AU696" s="1474"/>
      <c r="AV696" s="430"/>
      <c r="AW696" s="430"/>
      <c r="AX696" s="430"/>
      <c r="AY696" s="430"/>
      <c r="AZ696" s="1474"/>
      <c r="BA696" s="430"/>
      <c r="BB696" s="430"/>
      <c r="BC696" s="430"/>
      <c r="BD696" s="430"/>
      <c r="BE696" s="1474"/>
      <c r="BF696" s="430"/>
      <c r="BG696" s="430"/>
      <c r="BH696" s="840"/>
      <c r="BI696" s="431"/>
      <c r="BJ696" s="1475"/>
      <c r="BK696" s="431"/>
      <c r="BL696" s="431"/>
      <c r="BM696" s="431"/>
      <c r="BN696" s="431"/>
      <c r="BO696" s="1475"/>
      <c r="BP696" s="1474"/>
      <c r="BQ696" s="1474"/>
      <c r="BR696" s="1475"/>
      <c r="BS696" s="648"/>
    </row>
    <row r="697" spans="1:71" s="310" customFormat="1" ht="15">
      <c r="A697" s="991" t="s">
        <v>367</v>
      </c>
      <c r="B697" s="989"/>
      <c r="C697" s="1035"/>
      <c r="D697" s="1035"/>
      <c r="E697" s="1035"/>
      <c r="F697" s="1035"/>
      <c r="G697" s="1035"/>
      <c r="H697" s="1035"/>
      <c r="I697" s="1035"/>
      <c r="J697" s="1035"/>
      <c r="K697" s="1035"/>
      <c r="L697" s="1035"/>
      <c r="M697" s="1035"/>
      <c r="N697" s="1035"/>
      <c r="O697" s="1035"/>
      <c r="P697" s="1035"/>
      <c r="Q697" s="1035"/>
      <c r="R697" s="1035"/>
      <c r="S697" s="1035"/>
      <c r="T697" s="1035"/>
      <c r="U697" s="1035"/>
      <c r="V697" s="1035"/>
      <c r="W697" s="1035"/>
      <c r="X697" s="1035"/>
      <c r="Y697" s="1035"/>
      <c r="Z697" s="1035"/>
      <c r="AA697" s="1035"/>
      <c r="AB697" s="1035"/>
      <c r="AC697" s="1035"/>
      <c r="AD697" s="1035"/>
      <c r="AE697" s="1035"/>
      <c r="AF697" s="1035"/>
      <c r="AG697" s="1035"/>
      <c r="AH697" s="1035"/>
      <c r="AI697" s="1035"/>
      <c r="AJ697" s="1035"/>
      <c r="AK697" s="1035"/>
      <c r="AL697" s="1035"/>
      <c r="AM697" s="1035"/>
      <c r="AN697" s="1035"/>
      <c r="AO697" s="1035"/>
      <c r="AP697" s="1035"/>
      <c r="AQ697" s="1035"/>
      <c r="AR697" s="1035"/>
      <c r="AS697" s="1035"/>
      <c r="AT697" s="1035"/>
      <c r="AU697" s="1035"/>
      <c r="AV697" s="1035"/>
      <c r="AW697" s="1035"/>
      <c r="AX697" s="1035"/>
      <c r="AY697" s="1035"/>
      <c r="AZ697" s="1035"/>
      <c r="BA697" s="1035"/>
      <c r="BB697" s="1035"/>
      <c r="BC697" s="1035"/>
      <c r="BD697" s="1035"/>
      <c r="BE697" s="1035"/>
      <c r="BF697" s="1035"/>
      <c r="BG697" s="1035"/>
      <c r="BH697" s="1036"/>
      <c r="BI697" s="1035"/>
      <c r="BJ697" s="1035"/>
      <c r="BK697" s="1035"/>
      <c r="BL697" s="1035"/>
      <c r="BM697" s="1035"/>
      <c r="BN697" s="1035"/>
      <c r="BO697" s="1035"/>
      <c r="BP697" s="1035"/>
      <c r="BQ697" s="1035"/>
      <c r="BR697" s="1035"/>
      <c r="BS697" s="648"/>
    </row>
    <row r="698" spans="1:71" s="665" customFormat="1" ht="15">
      <c r="A698" s="311" t="s">
        <v>368</v>
      </c>
      <c r="B698" s="321"/>
      <c r="C698" s="1351"/>
      <c r="D698" s="1351"/>
      <c r="E698" s="1351"/>
      <c r="F698" s="1351"/>
      <c r="G698" s="1351"/>
      <c r="H698" s="1047"/>
      <c r="I698" s="1047"/>
      <c r="J698" s="1047"/>
      <c r="K698" s="1047"/>
      <c r="L698" s="1351"/>
      <c r="M698" s="1047"/>
      <c r="N698" s="1047"/>
      <c r="O698" s="1047"/>
      <c r="P698" s="1047"/>
      <c r="Q698" s="1351"/>
      <c r="R698" s="1047"/>
      <c r="S698" s="1047"/>
      <c r="T698" s="1047"/>
      <c r="U698" s="1047"/>
      <c r="V698" s="1351"/>
      <c r="W698" s="1047"/>
      <c r="X698" s="1047"/>
      <c r="Y698" s="1047"/>
      <c r="Z698" s="1047"/>
      <c r="AA698" s="1351"/>
      <c r="AB698" s="1047"/>
      <c r="AC698" s="1047"/>
      <c r="AD698" s="1047"/>
      <c r="AE698" s="1047"/>
      <c r="AF698" s="1351"/>
      <c r="AG698" s="1047"/>
      <c r="AH698" s="1047"/>
      <c r="AI698" s="1047"/>
      <c r="AJ698" s="1047"/>
      <c r="AK698" s="1351"/>
      <c r="AL698" s="1047"/>
      <c r="AM698" s="1047"/>
      <c r="AN698" s="1047"/>
      <c r="AO698" s="1047"/>
      <c r="AP698" s="1351"/>
      <c r="AQ698" s="1047"/>
      <c r="AR698" s="1047"/>
      <c r="AS698" s="1047"/>
      <c r="AT698" s="1047"/>
      <c r="AU698" s="1351"/>
      <c r="AV698" s="1047"/>
      <c r="AW698" s="1047"/>
      <c r="AX698" s="1047"/>
      <c r="AY698" s="1047"/>
      <c r="AZ698" s="1351"/>
      <c r="BA698" s="1047"/>
      <c r="BB698" s="1047"/>
      <c r="BC698" s="1047"/>
      <c r="BD698" s="1047"/>
      <c r="BE698" s="1351"/>
      <c r="BF698" s="1047"/>
      <c r="BG698" s="1047"/>
      <c r="BH698" s="1048"/>
      <c r="BI698" s="1044"/>
      <c r="BJ698" s="1350"/>
      <c r="BK698" s="1044"/>
      <c r="BL698" s="1044"/>
      <c r="BM698" s="1044"/>
      <c r="BN698" s="1044"/>
      <c r="BO698" s="1350"/>
      <c r="BP698" s="1351"/>
      <c r="BQ698" s="1351"/>
      <c r="BR698" s="1350"/>
      <c r="BS698" s="648"/>
    </row>
    <row r="699" spans="1:71" s="665" customFormat="1" ht="15">
      <c r="A699" s="312" t="s">
        <v>369</v>
      </c>
      <c r="B699" s="321"/>
      <c r="C699" s="1349">
        <f t="shared" si="1410" ref="C699:AN699">C919</f>
        <v>2177.1999999999998</v>
      </c>
      <c r="D699" s="1349">
        <f t="shared" si="1410"/>
        <v>1958.20</v>
      </c>
      <c r="E699" s="1349">
        <f t="shared" si="1410"/>
        <v>2442.10</v>
      </c>
      <c r="F699" s="1349">
        <f t="shared" si="1410"/>
        <v>2063.10</v>
      </c>
      <c r="G699" s="1349">
        <f t="shared" si="1410"/>
        <v>1860.90</v>
      </c>
      <c r="H699" s="1042">
        <f t="shared" si="1410"/>
        <v>1861.30</v>
      </c>
      <c r="I699" s="1042">
        <f t="shared" si="1410"/>
        <v>2208</v>
      </c>
      <c r="J699" s="1042">
        <f t="shared" si="1410"/>
        <v>2164.3000000000002</v>
      </c>
      <c r="K699" s="1042">
        <f t="shared" si="1410"/>
        <v>2164.6999999999998</v>
      </c>
      <c r="L699" s="1349">
        <f t="shared" si="1410"/>
        <v>2164.6999999999998</v>
      </c>
      <c r="M699" s="1042">
        <f t="shared" si="1410"/>
        <v>2560.10</v>
      </c>
      <c r="N699" s="1042">
        <f t="shared" si="1410"/>
        <v>2739</v>
      </c>
      <c r="O699" s="1042">
        <f t="shared" si="1410"/>
        <v>2714.30</v>
      </c>
      <c r="P699" s="1042">
        <f t="shared" si="1410"/>
        <v>2707.90</v>
      </c>
      <c r="Q699" s="1349">
        <f t="shared" si="1410"/>
        <v>2707.90</v>
      </c>
      <c r="R699" s="1042">
        <f t="shared" si="1410"/>
        <v>2701.60</v>
      </c>
      <c r="S699" s="1042">
        <f t="shared" si="1410"/>
        <v>2664.10</v>
      </c>
      <c r="T699" s="1042">
        <f t="shared" si="1410"/>
        <v>3153.90</v>
      </c>
      <c r="U699" s="1042">
        <f t="shared" si="1410"/>
        <v>3148.20</v>
      </c>
      <c r="V699" s="1349">
        <f t="shared" si="1410"/>
        <v>3148.20</v>
      </c>
      <c r="W699" s="1042">
        <f t="shared" si="1410"/>
        <v>3111.70</v>
      </c>
      <c r="X699" s="1042">
        <f t="shared" si="1410"/>
        <v>3383.40</v>
      </c>
      <c r="Y699" s="1042">
        <f t="shared" si="1410"/>
        <v>3312.20</v>
      </c>
      <c r="Z699" s="1042">
        <f t="shared" si="1410"/>
        <v>3306.30</v>
      </c>
      <c r="AA699" s="1349">
        <f t="shared" si="1410"/>
        <v>3306.30</v>
      </c>
      <c r="AB699" s="1042">
        <f t="shared" si="1410"/>
        <v>3859.20</v>
      </c>
      <c r="AC699" s="1042">
        <f t="shared" si="1410"/>
        <v>3859.50</v>
      </c>
      <c r="AD699" s="1042">
        <f t="shared" si="1410"/>
        <v>3859.90</v>
      </c>
      <c r="AE699" s="1042">
        <f t="shared" si="1410"/>
        <v>4404.8999999999996</v>
      </c>
      <c r="AF699" s="1349">
        <f t="shared" si="1410"/>
        <v>4404.8999999999996</v>
      </c>
      <c r="AG699" s="1042">
        <f t="shared" si="1410"/>
        <v>4405.3999999999996</v>
      </c>
      <c r="AH699" s="1042">
        <f t="shared" si="1410"/>
        <v>4406</v>
      </c>
      <c r="AI699" s="1042">
        <f t="shared" si="1410"/>
        <v>4406.50</v>
      </c>
      <c r="AJ699" s="1042">
        <f t="shared" si="1410"/>
        <v>4407.1000000000004</v>
      </c>
      <c r="AK699" s="1349">
        <f t="shared" si="1410"/>
        <v>4407.1000000000004</v>
      </c>
      <c r="AL699" s="1042">
        <f t="shared" si="1410"/>
        <v>5394</v>
      </c>
      <c r="AM699" s="1042">
        <f t="shared" si="1410"/>
        <v>5394.70</v>
      </c>
      <c r="AN699" s="1042">
        <f t="shared" si="1410"/>
        <v>5395.40</v>
      </c>
      <c r="AO699" s="1042">
        <f t="shared" si="1411" ref="AO699:AX699">AO919</f>
        <v>5396.10</v>
      </c>
      <c r="AP699" s="1349">
        <f t="shared" si="1411"/>
        <v>5396.10</v>
      </c>
      <c r="AQ699" s="1042">
        <f t="shared" si="1411"/>
        <v>5396.80</v>
      </c>
      <c r="AR699" s="1042">
        <f t="shared" si="1411"/>
        <v>5397.50</v>
      </c>
      <c r="AS699" s="1042">
        <f t="shared" si="1411"/>
        <v>4898.20</v>
      </c>
      <c r="AT699" s="1042">
        <f t="shared" si="1411"/>
        <v>4898.80</v>
      </c>
      <c r="AU699" s="1349">
        <f t="shared" si="1411"/>
        <v>4898.80</v>
      </c>
      <c r="AV699" s="1042">
        <f t="shared" si="1411"/>
        <v>6385.60</v>
      </c>
      <c r="AW699" s="1042">
        <f t="shared" si="1411"/>
        <v>6386.50</v>
      </c>
      <c r="AX699" s="1042">
        <f t="shared" si="1411"/>
        <v>6387.40</v>
      </c>
      <c r="AY699" s="1042">
        <f>AY919</f>
        <v>6388.30</v>
      </c>
      <c r="AZ699" s="1349">
        <f>AZ919</f>
        <v>6388.30</v>
      </c>
      <c r="BA699" s="1042">
        <f>BA919</f>
        <v>6389.30</v>
      </c>
      <c r="BB699" s="1042">
        <f>BB919</f>
        <v>6886.50</v>
      </c>
      <c r="BC699" s="1042">
        <f>BC919</f>
        <v>6887.60</v>
      </c>
      <c r="BD699" s="1042">
        <f t="shared" si="1412" ref="BD699:BE699">BD919</f>
        <v>6888.60</v>
      </c>
      <c r="BE699" s="1349">
        <f t="shared" si="1412"/>
        <v>6888.60</v>
      </c>
      <c r="BF699" s="1047">
        <f>BF919</f>
        <v>6889.70</v>
      </c>
      <c r="BG699" s="1042">
        <f>BG919</f>
        <v>6890.70</v>
      </c>
      <c r="BH699" s="1043">
        <f>BH919</f>
        <v>6891.80</v>
      </c>
      <c r="BI699" s="1044">
        <f>MAX(0,BH699+BI706)</f>
        <v>6891.80</v>
      </c>
      <c r="BJ699" s="1350">
        <f>BI699</f>
        <v>6891.80</v>
      </c>
      <c r="BK699" s="1044">
        <f>MAX(0,BJ699+BK706)</f>
        <v>6891.80</v>
      </c>
      <c r="BL699" s="1044">
        <f>MAX(0,BK699+BL706)</f>
        <v>6891.80</v>
      </c>
      <c r="BM699" s="1044">
        <f>MAX(0,BL699+BM706)</f>
        <v>6891.80</v>
      </c>
      <c r="BN699" s="1044">
        <f>MAX(0,BM699+BN706)</f>
        <v>6891.80</v>
      </c>
      <c r="BO699" s="1350">
        <f>BN699</f>
        <v>6891.80</v>
      </c>
      <c r="BP699" s="1351">
        <f>MAX(0,BO699+BP706)</f>
        <v>6891.80</v>
      </c>
      <c r="BQ699" s="1351">
        <f>MAX(0,BP699+BQ706)</f>
        <v>6891.80</v>
      </c>
      <c r="BR699" s="1350">
        <f>MAX(0,BQ699+BR706)</f>
        <v>6891.80</v>
      </c>
      <c r="BS699" s="648"/>
    </row>
    <row r="700" spans="1:71" s="665" customFormat="1" ht="15">
      <c r="A700" s="158" t="s">
        <v>370</v>
      </c>
      <c r="B700" s="415"/>
      <c r="C700" s="1360">
        <f t="shared" si="1413" ref="C700:AR700">SUM(C698:C699)</f>
        <v>2177.1999999999998</v>
      </c>
      <c r="D700" s="1360">
        <f t="shared" si="1413"/>
        <v>1958.20</v>
      </c>
      <c r="E700" s="1360">
        <f t="shared" si="1413"/>
        <v>2442.10</v>
      </c>
      <c r="F700" s="1360">
        <f t="shared" si="1413"/>
        <v>2063.10</v>
      </c>
      <c r="G700" s="1360">
        <f t="shared" si="1413"/>
        <v>1860.90</v>
      </c>
      <c r="H700" s="1058">
        <f t="shared" si="1413"/>
        <v>1861.30</v>
      </c>
      <c r="I700" s="1058">
        <f t="shared" si="1413"/>
        <v>2208</v>
      </c>
      <c r="J700" s="1058">
        <f t="shared" si="1413"/>
        <v>2164.3000000000002</v>
      </c>
      <c r="K700" s="1058">
        <f t="shared" si="1413"/>
        <v>2164.6999999999998</v>
      </c>
      <c r="L700" s="1360">
        <f t="shared" si="1413"/>
        <v>2164.6999999999998</v>
      </c>
      <c r="M700" s="1058">
        <f t="shared" si="1413"/>
        <v>2560.10</v>
      </c>
      <c r="N700" s="1058">
        <f t="shared" si="1413"/>
        <v>2739</v>
      </c>
      <c r="O700" s="1058">
        <f t="shared" si="1413"/>
        <v>2714.30</v>
      </c>
      <c r="P700" s="1058">
        <f t="shared" si="1413"/>
        <v>2707.90</v>
      </c>
      <c r="Q700" s="1360">
        <f t="shared" si="1413"/>
        <v>2707.90</v>
      </c>
      <c r="R700" s="1058">
        <f t="shared" si="1413"/>
        <v>2701.60</v>
      </c>
      <c r="S700" s="1058">
        <f t="shared" si="1413"/>
        <v>2664.10</v>
      </c>
      <c r="T700" s="1058">
        <f t="shared" si="1413"/>
        <v>3153.90</v>
      </c>
      <c r="U700" s="1058">
        <f t="shared" si="1413"/>
        <v>3148.20</v>
      </c>
      <c r="V700" s="1360">
        <f t="shared" si="1413"/>
        <v>3148.20</v>
      </c>
      <c r="W700" s="1058">
        <f t="shared" si="1413"/>
        <v>3111.70</v>
      </c>
      <c r="X700" s="1058">
        <f t="shared" si="1413"/>
        <v>3383.40</v>
      </c>
      <c r="Y700" s="1058">
        <f t="shared" si="1413"/>
        <v>3312.20</v>
      </c>
      <c r="Z700" s="1058">
        <f t="shared" si="1413"/>
        <v>3306.30</v>
      </c>
      <c r="AA700" s="1360">
        <f t="shared" si="1413"/>
        <v>3306.30</v>
      </c>
      <c r="AB700" s="1058">
        <f t="shared" si="1413"/>
        <v>3859.20</v>
      </c>
      <c r="AC700" s="1058">
        <f t="shared" si="1413"/>
        <v>3859.50</v>
      </c>
      <c r="AD700" s="1058">
        <f t="shared" si="1413"/>
        <v>3859.90</v>
      </c>
      <c r="AE700" s="1058">
        <f t="shared" si="1413"/>
        <v>4404.8999999999996</v>
      </c>
      <c r="AF700" s="1360">
        <f t="shared" si="1413"/>
        <v>4404.8999999999996</v>
      </c>
      <c r="AG700" s="1058">
        <f t="shared" si="1413"/>
        <v>4405.3999999999996</v>
      </c>
      <c r="AH700" s="1058">
        <f t="shared" si="1413"/>
        <v>4406</v>
      </c>
      <c r="AI700" s="1058">
        <f t="shared" si="1413"/>
        <v>4406.50</v>
      </c>
      <c r="AJ700" s="1058">
        <f t="shared" si="1413"/>
        <v>4407.1000000000004</v>
      </c>
      <c r="AK700" s="1360">
        <f t="shared" si="1413"/>
        <v>4407.1000000000004</v>
      </c>
      <c r="AL700" s="1058">
        <f t="shared" si="1413"/>
        <v>5394</v>
      </c>
      <c r="AM700" s="1058">
        <f t="shared" si="1413"/>
        <v>5394.70</v>
      </c>
      <c r="AN700" s="1058">
        <f t="shared" si="1413"/>
        <v>5395.40</v>
      </c>
      <c r="AO700" s="1058">
        <f t="shared" si="1413"/>
        <v>5396.10</v>
      </c>
      <c r="AP700" s="1360">
        <f t="shared" si="1413"/>
        <v>5396.10</v>
      </c>
      <c r="AQ700" s="1058">
        <f t="shared" si="1413"/>
        <v>5396.80</v>
      </c>
      <c r="AR700" s="1058">
        <f t="shared" si="1413"/>
        <v>5397.50</v>
      </c>
      <c r="AS700" s="1058">
        <f t="shared" si="1414" ref="AS700:AX700">SUM(AS698:AS699)</f>
        <v>4898.20</v>
      </c>
      <c r="AT700" s="1058">
        <f t="shared" si="1414"/>
        <v>4898.80</v>
      </c>
      <c r="AU700" s="1360">
        <f t="shared" si="1414"/>
        <v>4898.80</v>
      </c>
      <c r="AV700" s="1058">
        <f t="shared" si="1414"/>
        <v>6385.60</v>
      </c>
      <c r="AW700" s="1058">
        <f t="shared" si="1414"/>
        <v>6386.50</v>
      </c>
      <c r="AX700" s="1058">
        <f t="shared" si="1414"/>
        <v>6387.40</v>
      </c>
      <c r="AY700" s="1058">
        <f t="shared" si="1415" ref="AY700:BJ700">SUM(AY698:AY699)</f>
        <v>6388.30</v>
      </c>
      <c r="AZ700" s="1360">
        <f t="shared" si="1415"/>
        <v>6388.30</v>
      </c>
      <c r="BA700" s="1058">
        <f t="shared" si="1415"/>
        <v>6389.30</v>
      </c>
      <c r="BB700" s="1058">
        <f t="shared" si="1415"/>
        <v>6886.50</v>
      </c>
      <c r="BC700" s="1058">
        <f t="shared" si="1415"/>
        <v>6887.60</v>
      </c>
      <c r="BD700" s="1058">
        <f t="shared" si="1415"/>
        <v>6888.60</v>
      </c>
      <c r="BE700" s="1360">
        <f t="shared" si="1415"/>
        <v>6888.60</v>
      </c>
      <c r="BF700" s="1057">
        <f t="shared" si="1415"/>
        <v>6889.70</v>
      </c>
      <c r="BG700" s="1058">
        <f t="shared" si="1415"/>
        <v>6890.70</v>
      </c>
      <c r="BH700" s="1060">
        <f t="shared" si="1415"/>
        <v>6891.80</v>
      </c>
      <c r="BI700" s="1057">
        <f t="shared" si="1415"/>
        <v>6891.80</v>
      </c>
      <c r="BJ700" s="1359">
        <f t="shared" si="1415"/>
        <v>6891.80</v>
      </c>
      <c r="BK700" s="1057">
        <f t="shared" si="1416" ref="BK700:BR700">SUM(BK698:BK699)</f>
        <v>6891.80</v>
      </c>
      <c r="BL700" s="1057">
        <f t="shared" si="1416"/>
        <v>6891.80</v>
      </c>
      <c r="BM700" s="1057">
        <f t="shared" si="1416"/>
        <v>6891.80</v>
      </c>
      <c r="BN700" s="1057">
        <f t="shared" si="1416"/>
        <v>6891.80</v>
      </c>
      <c r="BO700" s="1359">
        <f t="shared" si="1416"/>
        <v>6891.80</v>
      </c>
      <c r="BP700" s="1359">
        <f t="shared" si="1416"/>
        <v>6891.80</v>
      </c>
      <c r="BQ700" s="1359">
        <f t="shared" si="1416"/>
        <v>6891.80</v>
      </c>
      <c r="BR700" s="1359">
        <f t="shared" si="1416"/>
        <v>6891.80</v>
      </c>
      <c r="BS700" s="648"/>
    </row>
    <row r="701" spans="1:71" s="665" customFormat="1" ht="15">
      <c r="A701" s="313" t="s">
        <v>371</v>
      </c>
      <c r="B701" s="261"/>
      <c r="C701" s="1323">
        <f t="shared" si="1417" ref="C701:AR701">C929</f>
        <v>5748.60</v>
      </c>
      <c r="D701" s="1323">
        <f t="shared" si="1417"/>
        <v>6048.90</v>
      </c>
      <c r="E701" s="1323">
        <f t="shared" si="1417"/>
        <v>5806.70</v>
      </c>
      <c r="F701" s="1323">
        <f t="shared" si="1417"/>
        <v>6007</v>
      </c>
      <c r="G701" s="1323">
        <f t="shared" si="1417"/>
        <v>6189.50</v>
      </c>
      <c r="H701" s="1027">
        <f t="shared" si="1417"/>
        <v>6438.60</v>
      </c>
      <c r="I701" s="1027">
        <f t="shared" si="1417"/>
        <v>6789.2000000000007</v>
      </c>
      <c r="J701" s="1027">
        <f t="shared" si="1417"/>
        <v>6935.30</v>
      </c>
      <c r="K701" s="1027">
        <f t="shared" si="1417"/>
        <v>6928.60</v>
      </c>
      <c r="L701" s="1323">
        <f t="shared" si="1417"/>
        <v>6928.60</v>
      </c>
      <c r="M701" s="1027">
        <f t="shared" si="1417"/>
        <v>7201.90</v>
      </c>
      <c r="N701" s="1027">
        <f t="shared" si="1417"/>
        <v>7359.7999999999993</v>
      </c>
      <c r="O701" s="1027">
        <f t="shared" si="1417"/>
        <v>7461.9999999999991</v>
      </c>
      <c r="P701" s="1027">
        <f t="shared" si="1417"/>
        <v>7289.40</v>
      </c>
      <c r="Q701" s="1323">
        <f t="shared" si="1417"/>
        <v>7289.40</v>
      </c>
      <c r="R701" s="1027">
        <f t="shared" si="1417"/>
        <v>7559.90</v>
      </c>
      <c r="S701" s="1027">
        <f t="shared" si="1417"/>
        <v>7835.50</v>
      </c>
      <c r="T701" s="1027">
        <f t="shared" si="1417"/>
        <v>8094.7000000000007</v>
      </c>
      <c r="U701" s="1027">
        <f t="shared" si="1417"/>
        <v>7957.10</v>
      </c>
      <c r="V701" s="1323">
        <f t="shared" si="1417"/>
        <v>7957.10</v>
      </c>
      <c r="W701" s="1027">
        <f t="shared" si="1417"/>
        <v>8522.90</v>
      </c>
      <c r="X701" s="1027">
        <f t="shared" si="1417"/>
        <v>8991.50</v>
      </c>
      <c r="Y701" s="1027">
        <f t="shared" si="1417"/>
        <v>9289.40</v>
      </c>
      <c r="Z701" s="1027">
        <f t="shared" si="1417"/>
        <v>9284.8000000000011</v>
      </c>
      <c r="AA701" s="1323">
        <f t="shared" si="1417"/>
        <v>9284.8000000000011</v>
      </c>
      <c r="AB701" s="1027">
        <f t="shared" si="1417"/>
        <v>10323.199999999999</v>
      </c>
      <c r="AC701" s="1027">
        <f t="shared" si="1417"/>
        <v>11000.80</v>
      </c>
      <c r="AD701" s="1027">
        <f t="shared" si="1417"/>
        <v>11858.80</v>
      </c>
      <c r="AE701" s="1027">
        <f t="shared" si="1417"/>
        <v>10821.80</v>
      </c>
      <c r="AF701" s="1323">
        <f t="shared" si="1417"/>
        <v>10821.80</v>
      </c>
      <c r="AG701" s="1027">
        <f t="shared" si="1417"/>
        <v>12110.700000000001</v>
      </c>
      <c r="AH701" s="1027">
        <f t="shared" si="1417"/>
        <v>13330.80</v>
      </c>
      <c r="AI701" s="1027">
        <f t="shared" si="1417"/>
        <v>14123.300000000001</v>
      </c>
      <c r="AJ701" s="1027">
        <f t="shared" si="1417"/>
        <v>13673.20</v>
      </c>
      <c r="AK701" s="1323">
        <f t="shared" si="1417"/>
        <v>13673.20</v>
      </c>
      <c r="AL701" s="1027">
        <f t="shared" si="1417"/>
        <v>14351.500000000002</v>
      </c>
      <c r="AM701" s="1027">
        <f t="shared" si="1417"/>
        <v>16670.60</v>
      </c>
      <c r="AN701" s="1027">
        <f t="shared" si="1417"/>
        <v>18087.20</v>
      </c>
      <c r="AO701" s="1027">
        <f t="shared" si="1417"/>
        <v>17038.60</v>
      </c>
      <c r="AP701" s="1323">
        <f t="shared" si="1417"/>
        <v>17038.60</v>
      </c>
      <c r="AQ701" s="1027">
        <f t="shared" si="1417"/>
        <v>17836.50</v>
      </c>
      <c r="AR701" s="1027">
        <f t="shared" si="1417"/>
        <v>18675.600000000002</v>
      </c>
      <c r="AS701" s="1027">
        <f t="shared" si="1418" ref="AS701:AX701">AS929</f>
        <v>18558.099999999999</v>
      </c>
      <c r="AT701" s="1027">
        <f t="shared" si="1418"/>
        <v>18231.600000000002</v>
      </c>
      <c r="AU701" s="1323">
        <f t="shared" si="1418"/>
        <v>18231.60</v>
      </c>
      <c r="AV701" s="1027">
        <f t="shared" si="1418"/>
        <v>17051.20</v>
      </c>
      <c r="AW701" s="1027">
        <f t="shared" si="1418"/>
        <v>15652.700000000001</v>
      </c>
      <c r="AX701" s="1027">
        <f t="shared" si="1418"/>
        <v>14776.20</v>
      </c>
      <c r="AY701" s="1027">
        <f t="shared" si="1419" ref="AY701:BJ701">AY929</f>
        <v>15891</v>
      </c>
      <c r="AZ701" s="1323">
        <f t="shared" si="1419"/>
        <v>15891</v>
      </c>
      <c r="BA701" s="1027">
        <f t="shared" si="1419"/>
        <v>16868.399999999998</v>
      </c>
      <c r="BB701" s="1027">
        <f t="shared" si="1419"/>
        <v>16711.299999999999</v>
      </c>
      <c r="BC701" s="1027">
        <f t="shared" si="1419"/>
        <v>17395.299999999999</v>
      </c>
      <c r="BD701" s="1027">
        <f t="shared" si="1419"/>
        <v>20277.099999999999</v>
      </c>
      <c r="BE701" s="1323">
        <f t="shared" si="1419"/>
        <v>20277.099999999999</v>
      </c>
      <c r="BF701" s="1029">
        <f t="shared" si="1419"/>
        <v>21811.300000000003</v>
      </c>
      <c r="BG701" s="1027">
        <f t="shared" si="1419"/>
        <v>23340.40</v>
      </c>
      <c r="BH701" s="1028">
        <f t="shared" si="1419"/>
        <v>27159.299999999999</v>
      </c>
      <c r="BI701" s="1029">
        <f t="shared" ca="1" si="1419"/>
        <v>28751.96114905184</v>
      </c>
      <c r="BJ701" s="1324">
        <f t="shared" ca="1" si="1419"/>
        <v>28751.96114905184</v>
      </c>
      <c r="BK701" s="1029">
        <f ca="1" t="shared" si="1420" ref="BK701:BR701">BK929</f>
        <v>30733.820448595794</v>
      </c>
      <c r="BL701" s="1029">
        <f t="shared" ca="1" si="1420"/>
        <v>32110.98639872238</v>
      </c>
      <c r="BM701" s="1029">
        <f t="shared" ca="1" si="1420"/>
        <v>33308.690369570315</v>
      </c>
      <c r="BN701" s="1029">
        <f t="shared" ca="1" si="1420"/>
        <v>35455.047177216802</v>
      </c>
      <c r="BO701" s="1324">
        <f t="shared" ca="1" si="1420"/>
        <v>35455.047177216802</v>
      </c>
      <c r="BP701" s="1324">
        <f t="shared" ca="1" si="1420"/>
        <v>42676.527593048049</v>
      </c>
      <c r="BQ701" s="1324">
        <f t="shared" ca="1" si="1420"/>
        <v>50317.029993525524</v>
      </c>
      <c r="BR701" s="1324">
        <f t="shared" ca="1" si="1420"/>
        <v>58398.219009539636</v>
      </c>
      <c r="BS701" s="648"/>
    </row>
    <row r="702" spans="1:71" s="668" customFormat="1" ht="15">
      <c r="A702" s="25" t="s">
        <v>372</v>
      </c>
      <c r="B702" s="367"/>
      <c r="C702" s="1320">
        <f t="shared" si="1421" ref="C702:AR702">C701+C700</f>
        <v>7925.7999999999993</v>
      </c>
      <c r="D702" s="1320">
        <f t="shared" si="1421"/>
        <v>8007.10</v>
      </c>
      <c r="E702" s="1320">
        <f t="shared" si="1421"/>
        <v>8248.7999999999993</v>
      </c>
      <c r="F702" s="1320">
        <f t="shared" si="1421"/>
        <v>8070.10</v>
      </c>
      <c r="G702" s="1320">
        <f t="shared" si="1421"/>
        <v>8050.40</v>
      </c>
      <c r="H702" s="1021">
        <f t="shared" si="1421"/>
        <v>8299.90</v>
      </c>
      <c r="I702" s="1021">
        <f t="shared" si="1421"/>
        <v>8997.2000000000007</v>
      </c>
      <c r="J702" s="1021">
        <f t="shared" si="1421"/>
        <v>9099.60</v>
      </c>
      <c r="K702" s="1021">
        <f t="shared" si="1421"/>
        <v>9093.2999999999993</v>
      </c>
      <c r="L702" s="1320">
        <f t="shared" si="1421"/>
        <v>9093.2999999999993</v>
      </c>
      <c r="M702" s="1021">
        <f t="shared" si="1421"/>
        <v>9762</v>
      </c>
      <c r="N702" s="1021">
        <f t="shared" si="1421"/>
        <v>10098.799999999999</v>
      </c>
      <c r="O702" s="1021">
        <f t="shared" si="1421"/>
        <v>10176.299999999999</v>
      </c>
      <c r="P702" s="1021">
        <f t="shared" si="1421"/>
        <v>9997.2999999999993</v>
      </c>
      <c r="Q702" s="1320">
        <f t="shared" si="1421"/>
        <v>9997.2999999999993</v>
      </c>
      <c r="R702" s="1021">
        <f t="shared" si="1421"/>
        <v>10261.50</v>
      </c>
      <c r="S702" s="1021">
        <f t="shared" si="1421"/>
        <v>10499.60</v>
      </c>
      <c r="T702" s="1021">
        <f t="shared" si="1421"/>
        <v>11248.60</v>
      </c>
      <c r="U702" s="1021">
        <f t="shared" si="1421"/>
        <v>11105.299999999999</v>
      </c>
      <c r="V702" s="1320">
        <f t="shared" si="1421"/>
        <v>11105.299999999999</v>
      </c>
      <c r="W702" s="1021">
        <f t="shared" si="1421"/>
        <v>11634.60</v>
      </c>
      <c r="X702" s="1021">
        <f t="shared" si="1421"/>
        <v>12374.90</v>
      </c>
      <c r="Y702" s="1021">
        <f t="shared" si="1421"/>
        <v>12601.60</v>
      </c>
      <c r="Z702" s="1021">
        <f t="shared" si="1421"/>
        <v>12591.100000000002</v>
      </c>
      <c r="AA702" s="1320">
        <f t="shared" si="1421"/>
        <v>12591.100000000002</v>
      </c>
      <c r="AB702" s="1021">
        <f t="shared" si="1421"/>
        <v>14182.399999999998</v>
      </c>
      <c r="AC702" s="1021">
        <f t="shared" si="1421"/>
        <v>14860.300000000001</v>
      </c>
      <c r="AD702" s="1021">
        <f t="shared" si="1421"/>
        <v>15718.699999999999</v>
      </c>
      <c r="AE702" s="1021">
        <f t="shared" si="1421"/>
        <v>15226.700000000001</v>
      </c>
      <c r="AF702" s="1320">
        <f t="shared" si="1421"/>
        <v>15226.700000000001</v>
      </c>
      <c r="AG702" s="1021">
        <f t="shared" si="1421"/>
        <v>16516.099999999999</v>
      </c>
      <c r="AH702" s="1021">
        <f t="shared" si="1421"/>
        <v>17736.800000000003</v>
      </c>
      <c r="AI702" s="1021">
        <f t="shared" si="1421"/>
        <v>18529.800000000003</v>
      </c>
      <c r="AJ702" s="1021">
        <f t="shared" si="1421"/>
        <v>18080.300000000003</v>
      </c>
      <c r="AK702" s="1320">
        <f t="shared" si="1421"/>
        <v>18080.300000000003</v>
      </c>
      <c r="AL702" s="1021">
        <f t="shared" si="1421"/>
        <v>19745.50</v>
      </c>
      <c r="AM702" s="1021">
        <f t="shared" si="1421"/>
        <v>22065.299999999999</v>
      </c>
      <c r="AN702" s="1021">
        <f t="shared" si="1421"/>
        <v>23482.599999999999</v>
      </c>
      <c r="AO702" s="1021">
        <f t="shared" si="1421"/>
        <v>22434.699999999997</v>
      </c>
      <c r="AP702" s="1320">
        <f t="shared" si="1421"/>
        <v>22434.699999999997</v>
      </c>
      <c r="AQ702" s="1021">
        <f t="shared" si="1421"/>
        <v>23233.299999999999</v>
      </c>
      <c r="AR702" s="1021">
        <f t="shared" si="1421"/>
        <v>24073.100000000002</v>
      </c>
      <c r="AS702" s="1021">
        <f t="shared" si="1422" ref="AS702:AX702">AS701+AS700</f>
        <v>23456.299999999999</v>
      </c>
      <c r="AT702" s="1021">
        <f t="shared" si="1422"/>
        <v>23130.40</v>
      </c>
      <c r="AU702" s="1320">
        <f t="shared" si="1422"/>
        <v>23130.40</v>
      </c>
      <c r="AV702" s="1021">
        <f t="shared" si="1422"/>
        <v>23436.800000000003</v>
      </c>
      <c r="AW702" s="1021">
        <f t="shared" si="1422"/>
        <v>22039.20</v>
      </c>
      <c r="AX702" s="1021">
        <f t="shared" si="1422"/>
        <v>21163.60</v>
      </c>
      <c r="AY702" s="1021">
        <f t="shared" si="1423" ref="AY702:BJ702">AY701+AY700</f>
        <v>22279.299999999999</v>
      </c>
      <c r="AZ702" s="1320">
        <f t="shared" si="1423"/>
        <v>22279.299999999999</v>
      </c>
      <c r="BA702" s="1021">
        <f t="shared" si="1423"/>
        <v>23257.699999999997</v>
      </c>
      <c r="BB702" s="1021">
        <f t="shared" si="1423"/>
        <v>23597.799999999999</v>
      </c>
      <c r="BC702" s="1021">
        <f t="shared" si="1423"/>
        <v>24282.900000000001</v>
      </c>
      <c r="BD702" s="1021">
        <f t="shared" si="1423"/>
        <v>27165.699999999997</v>
      </c>
      <c r="BE702" s="1320">
        <f t="shared" si="1423"/>
        <v>27165.699999999997</v>
      </c>
      <c r="BF702" s="1031">
        <f t="shared" si="1423"/>
        <v>28701.000000000004</v>
      </c>
      <c r="BG702" s="1021">
        <f t="shared" si="1423"/>
        <v>30231.100000000002</v>
      </c>
      <c r="BH702" s="1022">
        <f t="shared" si="1423"/>
        <v>34051.099999999999</v>
      </c>
      <c r="BI702" s="1023">
        <f t="shared" ca="1" si="1423"/>
        <v>35643.761149051839</v>
      </c>
      <c r="BJ702" s="1321">
        <f t="shared" ca="1" si="1423"/>
        <v>35643.761149051839</v>
      </c>
      <c r="BK702" s="1023">
        <f ca="1" t="shared" si="1424" ref="BK702:BR702">BK701+BK700</f>
        <v>37625.620448595793</v>
      </c>
      <c r="BL702" s="1023">
        <f t="shared" ca="1" si="1424"/>
        <v>39002.786398722383</v>
      </c>
      <c r="BM702" s="1023">
        <f t="shared" ca="1" si="1424"/>
        <v>40200.490369570318</v>
      </c>
      <c r="BN702" s="1023">
        <f t="shared" ca="1" si="1424"/>
        <v>42346.847177216805</v>
      </c>
      <c r="BO702" s="1321">
        <f t="shared" ca="1" si="1424"/>
        <v>42346.847177216805</v>
      </c>
      <c r="BP702" s="1322">
        <f t="shared" ca="1" si="1424"/>
        <v>49568.327593048052</v>
      </c>
      <c r="BQ702" s="1322">
        <f t="shared" ca="1" si="1424"/>
        <v>57208.829993525527</v>
      </c>
      <c r="BR702" s="1321">
        <f t="shared" ca="1" si="1424"/>
        <v>65290.019009539639</v>
      </c>
      <c r="BS702" s="648"/>
    </row>
    <row r="703" spans="1:71" s="664" customFormat="1" ht="15">
      <c r="A703" s="906"/>
      <c r="B703" s="429"/>
      <c r="C703" s="1474"/>
      <c r="D703" s="1474"/>
      <c r="E703" s="1474"/>
      <c r="F703" s="1474"/>
      <c r="G703" s="1474"/>
      <c r="H703" s="430"/>
      <c r="I703" s="430"/>
      <c r="J703" s="430"/>
      <c r="K703" s="430"/>
      <c r="L703" s="1474"/>
      <c r="M703" s="430"/>
      <c r="N703" s="430"/>
      <c r="O703" s="430"/>
      <c r="P703" s="430"/>
      <c r="Q703" s="1474"/>
      <c r="R703" s="430"/>
      <c r="S703" s="430"/>
      <c r="T703" s="430"/>
      <c r="U703" s="430"/>
      <c r="V703" s="1474"/>
      <c r="W703" s="430"/>
      <c r="X703" s="430"/>
      <c r="Y703" s="430"/>
      <c r="Z703" s="430"/>
      <c r="AA703" s="1474"/>
      <c r="AB703" s="430"/>
      <c r="AC703" s="430"/>
      <c r="AD703" s="430"/>
      <c r="AE703" s="430"/>
      <c r="AF703" s="1474"/>
      <c r="AG703" s="430"/>
      <c r="AH703" s="430"/>
      <c r="AI703" s="430"/>
      <c r="AJ703" s="430"/>
      <c r="AK703" s="1474"/>
      <c r="AL703" s="430"/>
      <c r="AM703" s="430"/>
      <c r="AN703" s="430"/>
      <c r="AO703" s="430"/>
      <c r="AP703" s="1474"/>
      <c r="AQ703" s="430"/>
      <c r="AR703" s="430"/>
      <c r="AS703" s="430"/>
      <c r="AT703" s="430"/>
      <c r="AU703" s="1474"/>
      <c r="AV703" s="430"/>
      <c r="AW703" s="430"/>
      <c r="AX703" s="430"/>
      <c r="AY703" s="430"/>
      <c r="AZ703" s="1474"/>
      <c r="BA703" s="430"/>
      <c r="BB703" s="430"/>
      <c r="BC703" s="430"/>
      <c r="BD703" s="430"/>
      <c r="BE703" s="1474"/>
      <c r="BF703" s="430"/>
      <c r="BG703" s="430"/>
      <c r="BH703" s="840"/>
      <c r="BI703" s="431"/>
      <c r="BJ703" s="1475"/>
      <c r="BK703" s="431"/>
      <c r="BL703" s="431"/>
      <c r="BM703" s="431"/>
      <c r="BN703" s="431"/>
      <c r="BO703" s="1475"/>
      <c r="BP703" s="1474"/>
      <c r="BQ703" s="1474"/>
      <c r="BR703" s="1475"/>
      <c r="BS703" s="648"/>
    </row>
    <row r="704" spans="1:71" s="671" customFormat="1" ht="15">
      <c r="A704" s="23" t="s">
        <v>373</v>
      </c>
      <c r="B704" s="322"/>
      <c r="C704" s="1330">
        <f t="shared" si="1425" ref="C704:AU704">C700/C702</f>
        <v>0.27469782230184964</v>
      </c>
      <c r="D704" s="1330">
        <f t="shared" si="1425"/>
        <v>0.24455795481510162</v>
      </c>
      <c r="E704" s="1330">
        <f t="shared" si="1425"/>
        <v>0.29605518378430806</v>
      </c>
      <c r="F704" s="1330">
        <f t="shared" si="1425"/>
        <v>0.25564738974733892</v>
      </c>
      <c r="G704" s="1330">
        <f t="shared" si="1425"/>
        <v>0.23115621584020671</v>
      </c>
      <c r="H704" s="199">
        <f t="shared" si="1425"/>
        <v>0.22425571392426416</v>
      </c>
      <c r="I704" s="199">
        <f t="shared" si="1425"/>
        <v>0.24540968301249275</v>
      </c>
      <c r="J704" s="199">
        <f t="shared" si="1425"/>
        <v>0.2378456195876742</v>
      </c>
      <c r="K704" s="199">
        <f t="shared" si="1425"/>
        <v>0.23805439169498421</v>
      </c>
      <c r="L704" s="1330">
        <f t="shared" si="1425"/>
        <v>0.23805439169498421</v>
      </c>
      <c r="M704" s="199">
        <f t="shared" si="1425"/>
        <v>0.2622515877893874</v>
      </c>
      <c r="N704" s="199">
        <f t="shared" si="1425"/>
        <v>0.27122034301105086</v>
      </c>
      <c r="O704" s="199">
        <f t="shared" si="1425"/>
        <v>0.26672759254345885</v>
      </c>
      <c r="P704" s="199">
        <f t="shared" si="1425"/>
        <v>0.27086313304592241</v>
      </c>
      <c r="Q704" s="1330">
        <f t="shared" si="1425"/>
        <v>0.27086313304592241</v>
      </c>
      <c r="R704" s="199">
        <f t="shared" si="1425"/>
        <v>0.26327534960775711</v>
      </c>
      <c r="S704" s="199">
        <f t="shared" si="1425"/>
        <v>0.25373347556097375</v>
      </c>
      <c r="T704" s="199">
        <f t="shared" si="1425"/>
        <v>0.28038155859395836</v>
      </c>
      <c r="U704" s="199">
        <f t="shared" si="1425"/>
        <v>0.28348626331571414</v>
      </c>
      <c r="V704" s="1330">
        <f t="shared" si="1425"/>
        <v>0.28348626331571414</v>
      </c>
      <c r="W704" s="199">
        <f t="shared" si="1425"/>
        <v>0.26745225448232002</v>
      </c>
      <c r="X704" s="199">
        <f t="shared" si="1425"/>
        <v>0.27340826996581791</v>
      </c>
      <c r="Y704" s="199">
        <f t="shared" si="1425"/>
        <v>0.26283963941086846</v>
      </c>
      <c r="Z704" s="199">
        <f t="shared" si="1425"/>
        <v>0.2625902423140154</v>
      </c>
      <c r="AA704" s="1330">
        <f t="shared" si="1425"/>
        <v>0.2625902423140154</v>
      </c>
      <c r="AB704" s="199">
        <f t="shared" si="1425"/>
        <v>0.27211191335740076</v>
      </c>
      <c r="AC704" s="199">
        <f t="shared" si="1425"/>
        <v>0.25971884820629459</v>
      </c>
      <c r="AD704" s="199">
        <f t="shared" si="1425"/>
        <v>0.24556101967719979</v>
      </c>
      <c r="AE704" s="199">
        <f t="shared" si="1425"/>
        <v>0.28928789560443163</v>
      </c>
      <c r="AF704" s="1330">
        <f t="shared" si="1425"/>
        <v>0.28928789560443163</v>
      </c>
      <c r="AG704" s="199">
        <f t="shared" si="1425"/>
        <v>0.26673367199278281</v>
      </c>
      <c r="AH704" s="199">
        <f t="shared" si="1425"/>
        <v>0.24841008524649313</v>
      </c>
      <c r="AI704" s="199">
        <f t="shared" si="1425"/>
        <v>0.23780612850651378</v>
      </c>
      <c r="AJ704" s="199">
        <f t="shared" si="1425"/>
        <v>0.24375148642445091</v>
      </c>
      <c r="AK704" s="1330">
        <f t="shared" si="1425"/>
        <v>0.24375148642445091</v>
      </c>
      <c r="AL704" s="199">
        <f t="shared" si="1425"/>
        <v>0.2731761667215315</v>
      </c>
      <c r="AM704" s="199">
        <f t="shared" si="1425"/>
        <v>0.24448795167072282</v>
      </c>
      <c r="AN704" s="199">
        <f t="shared" si="1425"/>
        <v>0.22976161072453646</v>
      </c>
      <c r="AO704" s="199">
        <f>AO700/AO702</f>
        <v>0.24052472286235166</v>
      </c>
      <c r="AP704" s="1330">
        <f>AP700/AP702</f>
        <v>0.24052472286235166</v>
      </c>
      <c r="AQ704" s="199">
        <f t="shared" si="1425"/>
        <v>0.2322872773131669</v>
      </c>
      <c r="AR704" s="199">
        <f t="shared" si="1425"/>
        <v>0.22421291815345756</v>
      </c>
      <c r="AS704" s="199">
        <f>AS700/AS702</f>
        <v>0.20882236328832765</v>
      </c>
      <c r="AT704" s="199">
        <f t="shared" si="1425"/>
        <v>0.2117905440459309</v>
      </c>
      <c r="AU704" s="1330">
        <f t="shared" si="1425"/>
        <v>0.21179054404593092</v>
      </c>
      <c r="AV704" s="199">
        <f t="shared" si="1426" ref="AV704:BJ704">AV700/AV702</f>
        <v>0.2724604041507373</v>
      </c>
      <c r="AW704" s="199">
        <f t="shared" si="1426"/>
        <v>0.28977912083923191</v>
      </c>
      <c r="AX704" s="199">
        <f t="shared" si="1426"/>
        <v>0.30181065603205504</v>
      </c>
      <c r="AY704" s="199">
        <f t="shared" si="1426"/>
        <v>0.2867370159744696</v>
      </c>
      <c r="AZ704" s="1330">
        <f t="shared" si="1426"/>
        <v>0.2867370159744696</v>
      </c>
      <c r="BA704" s="289">
        <f t="shared" si="1426"/>
        <v>0.27471762040098552</v>
      </c>
      <c r="BB704" s="289">
        <f t="shared" si="1426"/>
        <v>0.29182805176753768</v>
      </c>
      <c r="BC704" s="289">
        <f t="shared" si="1426"/>
        <v>0.2836399276857377</v>
      </c>
      <c r="BD704" s="199">
        <f t="shared" si="1427" ref="BD704:BF704">BD700/BD702</f>
        <v>0.25357712114909614</v>
      </c>
      <c r="BE704" s="1330">
        <f t="shared" si="1427"/>
        <v>0.25357712114909614</v>
      </c>
      <c r="BF704" s="289">
        <f t="shared" si="1427"/>
        <v>0.2400508693076896</v>
      </c>
      <c r="BG704" s="289">
        <f>BG700/BG702</f>
        <v>0.22793414728541136</v>
      </c>
      <c r="BH704" s="819">
        <f>BH700/BH702</f>
        <v>0.2023958110017004</v>
      </c>
      <c r="BI704" s="931">
        <f ca="1">BI700/BI702</f>
        <v>0.19335221025582844</v>
      </c>
      <c r="BJ704" s="1353">
        <f t="shared" ca="1" si="1426"/>
        <v>0.19335221025582844</v>
      </c>
      <c r="BK704" s="931">
        <f ca="1" t="shared" si="1428" ref="BK704:BR704">BK700/BK702</f>
        <v>0.18316774362340663</v>
      </c>
      <c r="BL704" s="931">
        <f t="shared" ca="1" si="1428"/>
        <v>0.17670019596922326</v>
      </c>
      <c r="BM704" s="931">
        <f t="shared" ca="1" si="1428"/>
        <v>0.17143571972984525</v>
      </c>
      <c r="BN704" s="931">
        <f t="shared" ca="1" si="1428"/>
        <v>0.16274647250971461</v>
      </c>
      <c r="BO704" s="1353">
        <f t="shared" ca="1" si="1428"/>
        <v>0.16274647250971461</v>
      </c>
      <c r="BP704" s="1331">
        <f t="shared" ca="1" si="1428"/>
        <v>0.13903636323139887</v>
      </c>
      <c r="BQ704" s="1331">
        <f t="shared" ca="1" si="1428"/>
        <v>0.12046741736861186</v>
      </c>
      <c r="BR704" s="1353">
        <f t="shared" ca="1" si="1428"/>
        <v>0.10555671608845799</v>
      </c>
      <c r="BS704" s="648"/>
    </row>
    <row r="705" spans="1:71" s="664" customFormat="1" ht="15">
      <c r="A705" s="906"/>
      <c r="B705" s="429"/>
      <c r="C705" s="1474"/>
      <c r="D705" s="1474"/>
      <c r="E705" s="1474"/>
      <c r="F705" s="1474"/>
      <c r="G705" s="1474"/>
      <c r="H705" s="430"/>
      <c r="I705" s="430"/>
      <c r="J705" s="430"/>
      <c r="K705" s="430"/>
      <c r="L705" s="1474"/>
      <c r="M705" s="430"/>
      <c r="N705" s="430"/>
      <c r="O705" s="430"/>
      <c r="P705" s="430"/>
      <c r="Q705" s="1474"/>
      <c r="R705" s="430"/>
      <c r="S705" s="430"/>
      <c r="T705" s="430"/>
      <c r="U705" s="430"/>
      <c r="V705" s="1474"/>
      <c r="W705" s="430"/>
      <c r="X705" s="430"/>
      <c r="Y705" s="430"/>
      <c r="Z705" s="430"/>
      <c r="AA705" s="1474"/>
      <c r="AB705" s="430"/>
      <c r="AC705" s="430"/>
      <c r="AD705" s="430"/>
      <c r="AE705" s="430"/>
      <c r="AF705" s="1474"/>
      <c r="AG705" s="430"/>
      <c r="AH705" s="430"/>
      <c r="AI705" s="430"/>
      <c r="AJ705" s="430"/>
      <c r="AK705" s="1474"/>
      <c r="AL705" s="430"/>
      <c r="AM705" s="430"/>
      <c r="AN705" s="430"/>
      <c r="AO705" s="430"/>
      <c r="AP705" s="1474"/>
      <c r="AQ705" s="430"/>
      <c r="AR705" s="430"/>
      <c r="AS705" s="430"/>
      <c r="AT705" s="430"/>
      <c r="AU705" s="1474"/>
      <c r="AV705" s="430"/>
      <c r="AW705" s="430"/>
      <c r="AX705" s="430"/>
      <c r="AY705" s="430"/>
      <c r="AZ705" s="1474"/>
      <c r="BA705" s="430"/>
      <c r="BB705" s="430"/>
      <c r="BC705" s="430"/>
      <c r="BD705" s="430"/>
      <c r="BE705" s="1474"/>
      <c r="BF705" s="430"/>
      <c r="BG705" s="430"/>
      <c r="BH705" s="840"/>
      <c r="BI705" s="431"/>
      <c r="BJ705" s="1475"/>
      <c r="BK705" s="431"/>
      <c r="BL705" s="431"/>
      <c r="BM705" s="431"/>
      <c r="BN705" s="431"/>
      <c r="BO705" s="1475"/>
      <c r="BP705" s="1474"/>
      <c r="BQ705" s="1474"/>
      <c r="BR705" s="1475"/>
      <c r="BS705" s="648"/>
    </row>
    <row r="706" spans="1:71" s="665" customFormat="1" ht="15">
      <c r="A706" s="1003" t="s">
        <v>374</v>
      </c>
      <c r="B706" s="321"/>
      <c r="C706" s="1351">
        <f t="shared" si="1429" ref="C706:AM706">C846+C848+C849</f>
        <v>0</v>
      </c>
      <c r="D706" s="1351">
        <f t="shared" si="1429"/>
        <v>-214.30</v>
      </c>
      <c r="E706" s="1351">
        <f t="shared" si="1429"/>
        <v>476.90</v>
      </c>
      <c r="F706" s="1351">
        <f t="shared" si="1429"/>
        <v>-382.50</v>
      </c>
      <c r="G706" s="1351">
        <f t="shared" si="1429"/>
        <v>-208.10</v>
      </c>
      <c r="H706" s="1047">
        <f t="shared" si="1429"/>
        <v>0</v>
      </c>
      <c r="I706" s="1047">
        <f t="shared" si="1429"/>
        <v>344.70</v>
      </c>
      <c r="J706" s="1047">
        <f t="shared" si="1429"/>
        <v>-48.90</v>
      </c>
      <c r="K706" s="1047">
        <f t="shared" si="1429"/>
        <v>0</v>
      </c>
      <c r="L706" s="1351">
        <f t="shared" si="1429"/>
        <v>295.80</v>
      </c>
      <c r="M706" s="1047">
        <f t="shared" si="1429"/>
        <v>382</v>
      </c>
      <c r="N706" s="1047">
        <f t="shared" si="1429"/>
        <v>-6.80</v>
      </c>
      <c r="O706" s="1047">
        <f t="shared" si="1429"/>
        <v>-26.10</v>
      </c>
      <c r="P706" s="1047">
        <f t="shared" si="1429"/>
        <v>-6.7999999999999989</v>
      </c>
      <c r="Q706" s="1351">
        <f t="shared" si="1429"/>
        <v>342.30</v>
      </c>
      <c r="R706" s="1047">
        <f t="shared" si="1429"/>
        <v>-6.80</v>
      </c>
      <c r="S706" s="1047">
        <f t="shared" si="1429"/>
        <v>-24.40</v>
      </c>
      <c r="T706" s="1047">
        <f t="shared" si="1429"/>
        <v>489.40</v>
      </c>
      <c r="U706" s="1047">
        <f t="shared" si="1429"/>
        <v>-6.3000000000000007</v>
      </c>
      <c r="V706" s="1351">
        <f t="shared" si="1429"/>
        <v>451.90</v>
      </c>
      <c r="W706" s="1047">
        <f t="shared" si="1429"/>
        <v>-36.90</v>
      </c>
      <c r="X706" s="1047">
        <f t="shared" si="1429"/>
        <v>271.10000000000014</v>
      </c>
      <c r="Y706" s="1047">
        <f t="shared" si="1429"/>
        <v>-71.500000000000043</v>
      </c>
      <c r="Z706" s="1047">
        <f t="shared" si="1429"/>
        <v>-6.2000000000000028</v>
      </c>
      <c r="AA706" s="1351">
        <f t="shared" si="1429"/>
        <v>156.50</v>
      </c>
      <c r="AB706" s="1047">
        <f t="shared" si="1429"/>
        <v>552.40</v>
      </c>
      <c r="AC706" s="1047">
        <f t="shared" si="1429"/>
        <v>0</v>
      </c>
      <c r="AD706" s="1047">
        <f t="shared" si="1429"/>
        <v>0</v>
      </c>
      <c r="AE706" s="1047">
        <f t="shared" si="1429"/>
        <v>544.50</v>
      </c>
      <c r="AF706" s="1351">
        <f t="shared" si="1429"/>
        <v>1096.9000000000001</v>
      </c>
      <c r="AG706" s="1047">
        <f t="shared" si="1429"/>
        <v>0</v>
      </c>
      <c r="AH706" s="1047">
        <f t="shared" si="1429"/>
        <v>0</v>
      </c>
      <c r="AI706" s="1047">
        <f t="shared" si="1429"/>
        <v>0</v>
      </c>
      <c r="AJ706" s="1047">
        <f t="shared" si="1429"/>
        <v>0</v>
      </c>
      <c r="AK706" s="1351">
        <f t="shared" si="1429"/>
        <v>0</v>
      </c>
      <c r="AL706" s="1047">
        <f t="shared" si="1429"/>
        <v>986.30</v>
      </c>
      <c r="AM706" s="1047">
        <f t="shared" si="1429"/>
        <v>0</v>
      </c>
      <c r="AN706" s="1047">
        <f>AN846+AN848+AN849</f>
        <v>0</v>
      </c>
      <c r="AO706" s="1047">
        <f t="shared" si="1430" ref="AO706:AU706">AO846+AO848+AO849</f>
        <v>0</v>
      </c>
      <c r="AP706" s="1351">
        <f t="shared" si="1430"/>
        <v>986.30</v>
      </c>
      <c r="AQ706" s="1047">
        <f t="shared" si="1430"/>
        <v>0</v>
      </c>
      <c r="AR706" s="1047">
        <f t="shared" si="1430"/>
        <v>-20</v>
      </c>
      <c r="AS706" s="1047">
        <f t="shared" si="1430"/>
        <v>-480</v>
      </c>
      <c r="AT706" s="1047">
        <f t="shared" si="1430"/>
        <v>0</v>
      </c>
      <c r="AU706" s="1351">
        <f t="shared" si="1430"/>
        <v>-500</v>
      </c>
      <c r="AV706" s="1047">
        <f>AV846+AV848+AV849</f>
        <v>1486</v>
      </c>
      <c r="AW706" s="1047">
        <f>AW846+AW848+AW849</f>
        <v>0</v>
      </c>
      <c r="AX706" s="1047">
        <f>AX846+AX848+AX849</f>
        <v>0</v>
      </c>
      <c r="AY706" s="1047">
        <f t="shared" si="1431" ref="AY706:AZ706">AY846+AY848+AY849</f>
        <v>0</v>
      </c>
      <c r="AZ706" s="1351">
        <f t="shared" si="1431"/>
        <v>1486</v>
      </c>
      <c r="BA706" s="1047">
        <f>BA846+BA848+BA849</f>
        <v>0</v>
      </c>
      <c r="BB706" s="1047">
        <f>BB846+BB848+BB849</f>
        <v>496.30</v>
      </c>
      <c r="BC706" s="1047">
        <f t="shared" si="1432" ref="BC706:BE706">BC846+BC848+BC849</f>
        <v>0</v>
      </c>
      <c r="BD706" s="1047">
        <f t="shared" si="1432"/>
        <v>0</v>
      </c>
      <c r="BE706" s="1351">
        <f t="shared" si="1432"/>
        <v>496.30</v>
      </c>
      <c r="BF706" s="1047">
        <f>BF846+BF848+BF849</f>
        <v>0</v>
      </c>
      <c r="BG706" s="1047">
        <f>BG846+BG848+BG849</f>
        <v>0</v>
      </c>
      <c r="BH706" s="1048">
        <f t="shared" si="1433" ref="BH706">BH846+BH848+BH849</f>
        <v>0</v>
      </c>
      <c r="BI706" s="1285">
        <v>0</v>
      </c>
      <c r="BJ706" s="1350">
        <f>BJ846+BJ848+BJ849</f>
        <v>0</v>
      </c>
      <c r="BK706" s="1285">
        <v>0</v>
      </c>
      <c r="BL706" s="1285">
        <v>0</v>
      </c>
      <c r="BM706" s="1285">
        <v>0</v>
      </c>
      <c r="BN706" s="1285">
        <v>0</v>
      </c>
      <c r="BO706" s="1350">
        <f>BO846+BO848+BO849</f>
        <v>0</v>
      </c>
      <c r="BP706" s="1364">
        <v>0</v>
      </c>
      <c r="BQ706" s="1364">
        <v>0</v>
      </c>
      <c r="BR706" s="1476">
        <v>0</v>
      </c>
      <c r="BS706" s="648"/>
    </row>
    <row r="707" spans="1:71" s="665" customFormat="1" ht="15">
      <c r="A707" s="1003" t="s">
        <v>375</v>
      </c>
      <c r="B707" s="321"/>
      <c r="C707" s="1351">
        <f t="shared" si="1434" ref="C707:AM707">C853+C854+C843</f>
        <v>-161.79999999999998</v>
      </c>
      <c r="D707" s="1351">
        <f t="shared" si="1434"/>
        <v>-231.40000000000003</v>
      </c>
      <c r="E707" s="1351">
        <f t="shared" si="1434"/>
        <v>-975.40</v>
      </c>
      <c r="F707" s="1351">
        <f t="shared" si="1434"/>
        <v>-173.70</v>
      </c>
      <c r="G707" s="1351">
        <f t="shared" si="1434"/>
        <v>-273.39999999999998</v>
      </c>
      <c r="H707" s="1047">
        <f t="shared" si="1434"/>
        <v>-94.70</v>
      </c>
      <c r="I707" s="1047">
        <f t="shared" si="1434"/>
        <v>-45.30</v>
      </c>
      <c r="J707" s="1047">
        <f t="shared" si="1434"/>
        <v>-94.699999999999989</v>
      </c>
      <c r="K707" s="1047">
        <f t="shared" si="1434"/>
        <v>-36.699999999999989</v>
      </c>
      <c r="L707" s="1351">
        <f t="shared" si="1434"/>
        <v>-271.39999999999998</v>
      </c>
      <c r="M707" s="1047">
        <f t="shared" si="1434"/>
        <v>-65.900000000000006</v>
      </c>
      <c r="N707" s="1047">
        <f t="shared" si="1434"/>
        <v>-42.199999999999989</v>
      </c>
      <c r="O707" s="1047">
        <f t="shared" si="1434"/>
        <v>-66.800000000000011</v>
      </c>
      <c r="P707" s="1047">
        <f t="shared" si="1434"/>
        <v>-33.399999999999991</v>
      </c>
      <c r="Q707" s="1351">
        <f t="shared" si="1434"/>
        <v>-208.30</v>
      </c>
      <c r="R707" s="1047">
        <f t="shared" si="1434"/>
        <v>-70.30</v>
      </c>
      <c r="S707" s="1047">
        <f t="shared" si="1434"/>
        <v>-41.80</v>
      </c>
      <c r="T707" s="1047">
        <f t="shared" si="1434"/>
        <v>-51.50</v>
      </c>
      <c r="U707" s="1047">
        <f t="shared" si="1434"/>
        <v>-28.900000000000006</v>
      </c>
      <c r="V707" s="1351">
        <f t="shared" si="1434"/>
        <v>-192.50</v>
      </c>
      <c r="W707" s="1047">
        <f t="shared" si="1434"/>
        <v>-20.90</v>
      </c>
      <c r="X707" s="1047">
        <f t="shared" si="1434"/>
        <v>-2.7000000000000028</v>
      </c>
      <c r="Y707" s="1047">
        <f t="shared" si="1434"/>
        <v>-38</v>
      </c>
      <c r="Z707" s="1047">
        <f t="shared" si="1434"/>
        <v>-0.39999999999999858</v>
      </c>
      <c r="AA707" s="1351">
        <f t="shared" si="1434"/>
        <v>-62</v>
      </c>
      <c r="AB707" s="1047">
        <f t="shared" si="1434"/>
        <v>-36.599999999999994</v>
      </c>
      <c r="AC707" s="1047">
        <f t="shared" si="1434"/>
        <v>0.49999999999999689</v>
      </c>
      <c r="AD707" s="1047">
        <f t="shared" si="1434"/>
        <v>-39.299999999999997</v>
      </c>
      <c r="AE707" s="1047">
        <f t="shared" si="1434"/>
        <v>-0.29999999999999716</v>
      </c>
      <c r="AF707" s="1351">
        <f t="shared" si="1434"/>
        <v>-75.70</v>
      </c>
      <c r="AG707" s="1047">
        <f t="shared" si="1434"/>
        <v>-26.10</v>
      </c>
      <c r="AH707" s="1047">
        <f t="shared" si="1434"/>
        <v>-0.69999999999999707</v>
      </c>
      <c r="AI707" s="1047">
        <f t="shared" si="1434"/>
        <v>-59.70</v>
      </c>
      <c r="AJ707" s="1047">
        <f t="shared" si="1434"/>
        <v>-3.2000000000000028</v>
      </c>
      <c r="AK707" s="1351">
        <f t="shared" si="1434"/>
        <v>-89.700000000000017</v>
      </c>
      <c r="AL707" s="1047">
        <f t="shared" si="1434"/>
        <v>-26.50</v>
      </c>
      <c r="AM707" s="1047">
        <f t="shared" si="1434"/>
        <v>4.6999999999999984</v>
      </c>
      <c r="AN707" s="1047">
        <f>AN853+AN854+AN843</f>
        <v>-45.40</v>
      </c>
      <c r="AO707" s="1047">
        <f t="shared" si="1435" ref="AO707:AU707">AO853+AO854+AO843</f>
        <v>-37.10</v>
      </c>
      <c r="AP707" s="1351">
        <f t="shared" si="1435"/>
        <v>-104.30</v>
      </c>
      <c r="AQ707" s="1047">
        <f t="shared" si="1435"/>
        <v>-84.80</v>
      </c>
      <c r="AR707" s="1047">
        <f t="shared" si="1435"/>
        <v>-10.60</v>
      </c>
      <c r="AS707" s="1047">
        <f t="shared" si="1435"/>
        <v>-71.800000000000011</v>
      </c>
      <c r="AT707" s="1047">
        <f t="shared" si="1435"/>
        <v>-55.800000000000011</v>
      </c>
      <c r="AU707" s="1351">
        <f t="shared" si="1435"/>
        <v>-223</v>
      </c>
      <c r="AV707" s="1047">
        <f>AV853+AV854+AV843</f>
        <v>-28.70</v>
      </c>
      <c r="AW707" s="1047">
        <f>AW853+AW854+AW843</f>
        <v>-0.80000000000000071</v>
      </c>
      <c r="AX707" s="1047">
        <f>AX853+AX854+AX843</f>
        <v>-49.10</v>
      </c>
      <c r="AY707" s="1047">
        <f t="shared" si="1436" ref="AY707:AZ707">AY853+AY854+AY843</f>
        <v>-20.400000000000002</v>
      </c>
      <c r="AZ707" s="1351">
        <f t="shared" si="1436"/>
        <v>-99</v>
      </c>
      <c r="BA707" s="1047">
        <f>BA853+BA854+BA843</f>
        <v>-32.700000000000003</v>
      </c>
      <c r="BB707" s="1047">
        <f>BB853+BB854+BB843</f>
        <v>-7.3999999999999968</v>
      </c>
      <c r="BC707" s="1047">
        <f t="shared" si="1437" ref="BC707:BE707">BC853+BC854+BC843</f>
        <v>-39.699999999999996</v>
      </c>
      <c r="BD707" s="1047">
        <f t="shared" si="1437"/>
        <v>-60.900000000000006</v>
      </c>
      <c r="BE707" s="1351">
        <f t="shared" si="1437"/>
        <v>-140.69999999999999</v>
      </c>
      <c r="BF707" s="1047">
        <f>BF853+BF854+BF843</f>
        <v>-37.10</v>
      </c>
      <c r="BG707" s="1047">
        <f>BG853+BG854+BG843</f>
        <v>-10.899999999999997</v>
      </c>
      <c r="BH707" s="1048">
        <f t="shared" si="1438" ref="BH707">BH853+BH854+BH843</f>
        <v>-85.800000000000011</v>
      </c>
      <c r="BI707" s="1285">
        <v>0</v>
      </c>
      <c r="BJ707" s="1350">
        <f>BJ853+BJ854+BJ843</f>
        <v>-133.80000000000001</v>
      </c>
      <c r="BK707" s="1285">
        <v>0</v>
      </c>
      <c r="BL707" s="1285">
        <v>0</v>
      </c>
      <c r="BM707" s="1285">
        <v>0</v>
      </c>
      <c r="BN707" s="1285">
        <v>0</v>
      </c>
      <c r="BO707" s="1350">
        <f>BO853+BO854+BO843</f>
        <v>0</v>
      </c>
      <c r="BP707" s="1364">
        <v>0</v>
      </c>
      <c r="BQ707" s="1364">
        <v>0</v>
      </c>
      <c r="BR707" s="1476">
        <v>0</v>
      </c>
      <c r="BS707" s="648"/>
    </row>
    <row r="708" spans="1:71" s="687" customFormat="1" ht="15">
      <c r="A708" s="315" t="s">
        <v>376</v>
      </c>
      <c r="B708" s="316"/>
      <c r="C708" s="1445"/>
      <c r="D708" s="1445"/>
      <c r="E708" s="1445"/>
      <c r="F708" s="1445"/>
      <c r="G708" s="1445"/>
      <c r="H708" s="318"/>
      <c r="I708" s="318"/>
      <c r="J708" s="318"/>
      <c r="K708" s="318"/>
      <c r="L708" s="1445"/>
      <c r="M708" s="318"/>
      <c r="N708" s="318"/>
      <c r="O708" s="318"/>
      <c r="P708" s="318"/>
      <c r="Q708" s="1445"/>
      <c r="R708" s="318"/>
      <c r="S708" s="318"/>
      <c r="T708" s="318"/>
      <c r="U708" s="318"/>
      <c r="V708" s="1445"/>
      <c r="W708" s="318"/>
      <c r="X708" s="318"/>
      <c r="Y708" s="318"/>
      <c r="Z708" s="318"/>
      <c r="AA708" s="1445"/>
      <c r="AB708" s="318"/>
      <c r="AC708" s="318"/>
      <c r="AD708" s="318"/>
      <c r="AE708" s="318"/>
      <c r="AF708" s="1445"/>
      <c r="AG708" s="318"/>
      <c r="AH708" s="318"/>
      <c r="AI708" s="318"/>
      <c r="AJ708" s="318"/>
      <c r="AK708" s="1445"/>
      <c r="AL708" s="318"/>
      <c r="AM708" s="318"/>
      <c r="AN708" s="318"/>
      <c r="AO708" s="318"/>
      <c r="AP708" s="1445"/>
      <c r="AQ708" s="318"/>
      <c r="AR708" s="318"/>
      <c r="AS708" s="318"/>
      <c r="AT708" s="318"/>
      <c r="AU708" s="1445"/>
      <c r="AV708" s="318"/>
      <c r="AW708" s="318"/>
      <c r="AX708" s="318"/>
      <c r="AY708" s="318"/>
      <c r="AZ708" s="1445"/>
      <c r="BA708" s="318"/>
      <c r="BB708" s="318"/>
      <c r="BC708" s="318"/>
      <c r="BD708" s="318"/>
      <c r="BE708" s="1445"/>
      <c r="BF708" s="318"/>
      <c r="BG708" s="318"/>
      <c r="BH708" s="986"/>
      <c r="BI708" s="1287">
        <v>258</v>
      </c>
      <c r="BJ708" s="1444">
        <f>AVERAGE(BF708,BG708,BH708,BI708)</f>
        <v>258</v>
      </c>
      <c r="BK708" s="1287">
        <v>284</v>
      </c>
      <c r="BL708" s="1287">
        <v>284</v>
      </c>
      <c r="BM708" s="1287">
        <v>284</v>
      </c>
      <c r="BN708" s="1287">
        <v>284</v>
      </c>
      <c r="BO708" s="1444">
        <f>AVERAGE(BK708,BL708,BM708,BN708)</f>
        <v>284</v>
      </c>
      <c r="BP708" s="1477">
        <v>312</v>
      </c>
      <c r="BQ708" s="1477">
        <v>343</v>
      </c>
      <c r="BR708" s="1478">
        <v>377</v>
      </c>
      <c r="BS708" s="648"/>
    </row>
    <row r="709" spans="1:71" s="664" customFormat="1" ht="15">
      <c r="A709" s="906"/>
      <c r="B709" s="429"/>
      <c r="C709" s="1474"/>
      <c r="D709" s="1474"/>
      <c r="E709" s="1474"/>
      <c r="F709" s="1474"/>
      <c r="G709" s="1474"/>
      <c r="H709" s="430"/>
      <c r="I709" s="430"/>
      <c r="J709" s="430"/>
      <c r="K709" s="430"/>
      <c r="L709" s="1474"/>
      <c r="M709" s="430"/>
      <c r="N709" s="430"/>
      <c r="O709" s="430"/>
      <c r="P709" s="430"/>
      <c r="Q709" s="1474"/>
      <c r="R709" s="430"/>
      <c r="S709" s="430"/>
      <c r="T709" s="430"/>
      <c r="U709" s="430"/>
      <c r="V709" s="1474"/>
      <c r="W709" s="430"/>
      <c r="X709" s="430"/>
      <c r="Y709" s="430"/>
      <c r="Z709" s="430"/>
      <c r="AA709" s="1474"/>
      <c r="AB709" s="430"/>
      <c r="AC709" s="430"/>
      <c r="AD709" s="430"/>
      <c r="AE709" s="430"/>
      <c r="AF709" s="1474"/>
      <c r="AG709" s="430"/>
      <c r="AH709" s="430"/>
      <c r="AI709" s="430"/>
      <c r="AJ709" s="430"/>
      <c r="AK709" s="1474"/>
      <c r="AL709" s="430"/>
      <c r="AM709" s="430"/>
      <c r="AN709" s="430"/>
      <c r="AO709" s="430"/>
      <c r="AP709" s="1474"/>
      <c r="AQ709" s="430"/>
      <c r="AR709" s="430"/>
      <c r="AS709" s="430"/>
      <c r="AT709" s="430"/>
      <c r="AU709" s="1474"/>
      <c r="AV709" s="430"/>
      <c r="AW709" s="430"/>
      <c r="AX709" s="430"/>
      <c r="AY709" s="430"/>
      <c r="AZ709" s="1474"/>
      <c r="BA709" s="430"/>
      <c r="BB709" s="430"/>
      <c r="BC709" s="430"/>
      <c r="BD709" s="430"/>
      <c r="BE709" s="1474"/>
      <c r="BF709" s="430"/>
      <c r="BG709" s="430"/>
      <c r="BH709" s="840"/>
      <c r="BI709" s="431"/>
      <c r="BJ709" s="1475"/>
      <c r="BK709" s="431"/>
      <c r="BL709" s="431"/>
      <c r="BM709" s="431"/>
      <c r="BN709" s="431"/>
      <c r="BO709" s="1475"/>
      <c r="BP709" s="1474"/>
      <c r="BQ709" s="1474"/>
      <c r="BR709" s="1475"/>
      <c r="BS709" s="648"/>
    </row>
    <row r="710" spans="1:71" s="665" customFormat="1" ht="15">
      <c r="A710" s="314" t="s">
        <v>89</v>
      </c>
      <c r="B710" s="321"/>
      <c r="C710" s="1349">
        <f t="shared" si="1439" ref="C710:AH710">C618</f>
        <v>139</v>
      </c>
      <c r="D710" s="1349">
        <f t="shared" si="1439"/>
        <v>133.50</v>
      </c>
      <c r="E710" s="1349">
        <f t="shared" si="1439"/>
        <v>132.69999999999999</v>
      </c>
      <c r="F710" s="1349">
        <f t="shared" si="1439"/>
        <v>123.80</v>
      </c>
      <c r="G710" s="1349">
        <f t="shared" si="1439"/>
        <v>118.20</v>
      </c>
      <c r="H710" s="1042">
        <f t="shared" si="1439"/>
        <v>26.70</v>
      </c>
      <c r="I710" s="1042">
        <f t="shared" si="1439"/>
        <v>29.60</v>
      </c>
      <c r="J710" s="1042">
        <f t="shared" si="1439"/>
        <v>30.70</v>
      </c>
      <c r="K710" s="1042">
        <f t="shared" si="1439"/>
        <v>29.900000000000006</v>
      </c>
      <c r="L710" s="1349">
        <f t="shared" si="1439"/>
        <v>116.90000000000001</v>
      </c>
      <c r="M710" s="1042">
        <f t="shared" si="1439"/>
        <v>32.50</v>
      </c>
      <c r="N710" s="1042">
        <f t="shared" si="1439"/>
        <v>34.90</v>
      </c>
      <c r="O710" s="1042">
        <f t="shared" si="1439"/>
        <v>34.50</v>
      </c>
      <c r="P710" s="1042">
        <f t="shared" si="1439"/>
        <v>34.099999999999994</v>
      </c>
      <c r="Q710" s="1349">
        <f t="shared" si="1439"/>
        <v>136</v>
      </c>
      <c r="R710" s="1042">
        <f t="shared" si="1439"/>
        <v>34.200000000000003</v>
      </c>
      <c r="S710" s="1042">
        <f t="shared" si="1439"/>
        <v>34.299999999999997</v>
      </c>
      <c r="T710" s="1042">
        <f t="shared" si="1439"/>
        <v>35.299999999999997</v>
      </c>
      <c r="U710" s="1042">
        <f t="shared" si="1439"/>
        <v>37.100000000000009</v>
      </c>
      <c r="V710" s="1349">
        <f t="shared" si="1439"/>
        <v>140.90000000000001</v>
      </c>
      <c r="W710" s="1042">
        <f t="shared" si="1439"/>
        <v>36.799999999999997</v>
      </c>
      <c r="X710" s="1042">
        <f t="shared" si="1439"/>
        <v>43.40</v>
      </c>
      <c r="Y710" s="1042">
        <f t="shared" si="1439"/>
        <v>37.40</v>
      </c>
      <c r="Z710" s="1042">
        <f t="shared" si="1439"/>
        <v>35.499999999999986</v>
      </c>
      <c r="AA710" s="1349">
        <f t="shared" si="1439"/>
        <v>153.09999999999999</v>
      </c>
      <c r="AB710" s="1042">
        <f t="shared" si="1439"/>
        <v>36.799999999999997</v>
      </c>
      <c r="AC710" s="1042">
        <f t="shared" si="1439"/>
        <v>41.70</v>
      </c>
      <c r="AD710" s="1042">
        <f t="shared" si="1439"/>
        <v>42</v>
      </c>
      <c r="AE710" s="1042">
        <f t="shared" si="1439"/>
        <v>46</v>
      </c>
      <c r="AF710" s="1349">
        <f t="shared" si="1439"/>
        <v>166.50</v>
      </c>
      <c r="AG710" s="1042">
        <f t="shared" si="1439"/>
        <v>47.40</v>
      </c>
      <c r="AH710" s="1042">
        <f t="shared" si="1439"/>
        <v>47.40</v>
      </c>
      <c r="AI710" s="1042">
        <f t="shared" si="1440" ref="AI710:AX710">AI618</f>
        <v>47.50</v>
      </c>
      <c r="AJ710" s="1042">
        <f t="shared" si="1440"/>
        <v>47.399999999999984</v>
      </c>
      <c r="AK710" s="1349">
        <f t="shared" si="1440"/>
        <v>189.70</v>
      </c>
      <c r="AL710" s="1042">
        <f t="shared" si="1440"/>
        <v>48</v>
      </c>
      <c r="AM710" s="1042">
        <f t="shared" si="1440"/>
        <v>56.40</v>
      </c>
      <c r="AN710" s="1042">
        <f t="shared" si="1440"/>
        <v>56.40</v>
      </c>
      <c r="AO710" s="1042">
        <f t="shared" si="1440"/>
        <v>56.199999999999989</v>
      </c>
      <c r="AP710" s="1349">
        <f t="shared" si="1440"/>
        <v>217</v>
      </c>
      <c r="AQ710" s="1042">
        <f t="shared" si="1440"/>
        <v>56.40</v>
      </c>
      <c r="AR710" s="1042">
        <f t="shared" si="1440"/>
        <v>56.40</v>
      </c>
      <c r="AS710" s="1042">
        <f t="shared" si="1440"/>
        <v>54.20</v>
      </c>
      <c r="AT710" s="1042">
        <f t="shared" si="1440"/>
        <v>51.599999999999973</v>
      </c>
      <c r="AU710" s="1349">
        <f t="shared" si="1440"/>
        <v>218.60</v>
      </c>
      <c r="AV710" s="1042">
        <f t="shared" si="1440"/>
        <v>54.30</v>
      </c>
      <c r="AW710" s="1042">
        <f t="shared" si="1440"/>
        <v>63</v>
      </c>
      <c r="AX710" s="1042">
        <f t="shared" si="1440"/>
        <v>63.10</v>
      </c>
      <c r="AY710" s="1042">
        <f>AY618</f>
        <v>63.100000000000009</v>
      </c>
      <c r="AZ710" s="1349">
        <f>AZ618</f>
        <v>243.50</v>
      </c>
      <c r="BA710" s="1042">
        <f>BA618</f>
        <v>63.30</v>
      </c>
      <c r="BB710" s="1042">
        <f>BB618</f>
        <v>65.70</v>
      </c>
      <c r="BC710" s="1042">
        <f>BC618</f>
        <v>69.70</v>
      </c>
      <c r="BD710" s="1042">
        <f t="shared" si="1441" ref="BD710:BE710">BD618</f>
        <v>69.70</v>
      </c>
      <c r="BE710" s="1349">
        <f t="shared" si="1441"/>
        <v>268.39999999999998</v>
      </c>
      <c r="BF710" s="1047">
        <f>BF618</f>
        <v>69.599999999999994</v>
      </c>
      <c r="BG710" s="1042">
        <f>BG618</f>
        <v>69.599999999999994</v>
      </c>
      <c r="BH710" s="1043">
        <f>BH618</f>
        <v>69.900000000000006</v>
      </c>
      <c r="BI710" s="1044">
        <f>MAX(0,BI711*AVERAGE(BI700,BH700)*BI3/BJ3)</f>
        <v>72.759331147540976</v>
      </c>
      <c r="BJ710" s="1350">
        <f>SUM(BF710,BG710,BH710,BI710)</f>
        <v>281.85933114754096</v>
      </c>
      <c r="BK710" s="1044">
        <f>MAX(0,BK711*AVERAGE(BK700,BJ700)*BK3/BO3)</f>
        <v>71.372613698630133</v>
      </c>
      <c r="BL710" s="1044">
        <f>MAX(0,BL711*AVERAGE(BL700,BK700)*BL3/BO3)</f>
        <v>72.165642739726039</v>
      </c>
      <c r="BM710" s="1044">
        <f>MAX(0,BM711*AVERAGE(BM700,BL700)*BM3/BO3)</f>
        <v>72.958671780821916</v>
      </c>
      <c r="BN710" s="1044">
        <f>MAX(0,BN711*AVERAGE(BN700,BM700)*BN3/BO3)</f>
        <v>72.958671780821916</v>
      </c>
      <c r="BO710" s="1350">
        <f>SUM(BK710,BL710,BM710,BN710)</f>
        <v>289.4556</v>
      </c>
      <c r="BP710" s="1351">
        <f>MAX(0,BP711*AVERAGE(BP700,BO700))</f>
        <v>289.45560000000006</v>
      </c>
      <c r="BQ710" s="1351">
        <f>MAX(0,BQ711*AVERAGE(BQ700,BP700))</f>
        <v>289.45560000000006</v>
      </c>
      <c r="BR710" s="1350">
        <f>MAX(0,BR711*AVERAGE(BR700,BQ700))</f>
        <v>289.45560000000006</v>
      </c>
      <c r="BS710" s="648"/>
    </row>
    <row r="711" spans="1:71" s="671" customFormat="1" ht="15">
      <c r="A711" s="931" t="s">
        <v>377</v>
      </c>
      <c r="B711" s="322"/>
      <c r="C711" s="1331"/>
      <c r="D711" s="1331">
        <f>IFERROR(IF(D710/AVERAGE(D700,C700)&lt;0,"n/a",D710/AVERAGE(D700,C700)),"n/a")</f>
        <v>0.064564491947574604</v>
      </c>
      <c r="E711" s="1331">
        <f>IFERROR(IF(E710/AVERAGE(E700,D700)&lt;0,"n/a",E710/AVERAGE(E700,D700)),"n/a")</f>
        <v>0.060314069495261677</v>
      </c>
      <c r="F711" s="1331">
        <f>IFERROR(IF(F710/AVERAGE(F700,E700)&lt;0,"n/a",F710/AVERAGE(F700,E700)),"n/a")</f>
        <v>0.054958714374500575</v>
      </c>
      <c r="G711" s="1331">
        <f>IFERROR(IF(G710/AVERAGE(G700,F700)&lt;0,"n/a",G710/AVERAGE(G700,F700)),"n/a")</f>
        <v>0.060244648318042812</v>
      </c>
      <c r="H711" s="289">
        <f>IFERROR(IF(H710/AVERAGE(H700,G700)&lt;0,"n/a",H710/AVERAGE(H700,G700)*L3/H3),"n/a")</f>
        <v>0.058182436910071099</v>
      </c>
      <c r="I711" s="289">
        <f>IFERROR(IF(I710/AVERAGE(I700,H700)&lt;0,"n/a",I710/AVERAGE(I700,H700)*L3/I3),"n/a")</f>
        <v>0.05835169425958997</v>
      </c>
      <c r="J711" s="289">
        <f>IFERROR(IF(J710/AVERAGE(J700,I700)&lt;0,"n/a",J710/AVERAGE(J700,I700)*L3/J3),"n/a")</f>
        <v>0.055713886532707389</v>
      </c>
      <c r="K711" s="289">
        <f>IFERROR(IF(K710/AVERAGE(K700,J700)&lt;0,"n/a",K710/AVERAGE(K700,J700)*L3/K3),"n/a")</f>
        <v>0.054804804804804819</v>
      </c>
      <c r="L711" s="1331">
        <f>IFERROR(IF(L710/AVERAGE(L700,K700)&lt;0,"n/a",L710/AVERAGE(L700,K700)),"n/a")</f>
        <v>0.054002864138217775</v>
      </c>
      <c r="M711" s="289">
        <f>IFERROR(IF(M710/AVERAGE(M700,L700)&lt;0,"n/a",M710/AVERAGE(M700,L700)*Q3/M3),"n/a")</f>
        <v>0.055793072957820676</v>
      </c>
      <c r="N711" s="289">
        <f>IFERROR(IF(N710/AVERAGE(N700,M700)&lt;0,"n/a",N710/AVERAGE(N700,M700)*Q3/N3),"n/a")</f>
        <v>0.052832940115686233</v>
      </c>
      <c r="O711" s="289">
        <f>IFERROR(IF(O710/AVERAGE(O700,N700)&lt;0,"n/a",O710/AVERAGE(O700,N700)*Q3/O3),"n/a")</f>
        <v>0.050198962096345327</v>
      </c>
      <c r="P711" s="289">
        <f>IFERROR(IF(P710/AVERAGE(P700,O700)&lt;0,"n/a",P710/AVERAGE(P700,O700)*Q3/P3),"n/a")</f>
        <v>0.049901532026948782</v>
      </c>
      <c r="Q711" s="1331">
        <f>IFERROR(IF(Q710/AVERAGE(Q700,P700)&lt;0,"n/a",Q710/AVERAGE(Q700,P700)),"n/a")</f>
        <v>0.050223420362642636</v>
      </c>
      <c r="R711" s="289">
        <f>IFERROR(IF(R710/AVERAGE(R700,Q700)&lt;0,"n/a",R710/AVERAGE(R700,Q700)*V3/R3),"n/a")</f>
        <v>0.05085558678312168</v>
      </c>
      <c r="S711" s="289">
        <f>IFERROR(IF(S710/AVERAGE(S700,R700)&lt;0,"n/a",S710/AVERAGE(S700,R700)*V3/S3),"n/a")</f>
        <v>0.051420633339115548</v>
      </c>
      <c r="T711" s="289">
        <f>IFERROR(IF(T710/AVERAGE(T700,S700)&lt;0,"n/a",T710/AVERAGE(T700,S700)*V3/T3),"n/a")</f>
        <v>0.048275217839687919</v>
      </c>
      <c r="U711" s="289">
        <f>IFERROR(IF(U710/AVERAGE(U700,T700)&lt;0,"n/a",U710/AVERAGE(U700,T700)*V3/U3),"n/a")</f>
        <v>0.04683945931066457</v>
      </c>
      <c r="V711" s="1331">
        <f>IFERROR(IF(V710/AVERAGE(V700,U700)&lt;0,"n/a",V710/AVERAGE(V700,U700)),"n/a")</f>
        <v>0.044755733434978726</v>
      </c>
      <c r="W711" s="289">
        <f>IFERROR(IF(W710/AVERAGE(W700,V700)&lt;0,"n/a",W710/AVERAGE(W700,V700)*AA3/W3),"n/a")</f>
        <v>0.047682692836768778</v>
      </c>
      <c r="X711" s="289">
        <f>IFERROR(IF(X710/AVERAGE(X700,W700)&lt;0,"n/a",X710/AVERAGE(X700,W700)*AA3/X3),"n/a")</f>
        <v>0.053602538244807034</v>
      </c>
      <c r="Y711" s="289">
        <f>IFERROR(IF(Y710/AVERAGE(Y700,X700)&lt;0,"n/a",Y710/AVERAGE(Y700,X700)*AA3/Y3),"n/a")</f>
        <v>0.044321773935900796</v>
      </c>
      <c r="Z711" s="289">
        <f>IFERROR(IF(Z710/AVERAGE(Z700,Y700)&lt;0,"n/a",Z710/AVERAGE(Z700,Y700)*AA3/Z3),"n/a")</f>
        <v>0.042560214944276732</v>
      </c>
      <c r="AA711" s="1331">
        <f>IFERROR(IF(AA710/AVERAGE(AA700,Z700)&lt;0,"n/a",AA710/AVERAGE(AA700,Z700)),"n/a")</f>
        <v>0.046305537912470128</v>
      </c>
      <c r="AB711" s="289">
        <f>IFERROR(IF(AB710/AVERAGE(AB700,AA700)&lt;0,"n/a",AB710/AVERAGE(AB700,AA700)*AF3/AB3),"n/a")</f>
        <v>0.041656393676489968</v>
      </c>
      <c r="AC711" s="289">
        <f>IFERROR(IF(AC710/AVERAGE(AC700,AB700)&lt;0,"n/a",AC710/AVERAGE(AC700,AB700)*AF3/AC3),"n/a")</f>
        <v>0.0433384486398595</v>
      </c>
      <c r="AD711" s="289">
        <f>IFERROR(IF(AD710/AVERAGE(AD700,AC700)&lt;0,"n/a",AD710/AVERAGE(AD700,AC700)*AF3/AD3),"n/a")</f>
        <v>0.043171861746407421</v>
      </c>
      <c r="AE711" s="289">
        <f>IFERROR(IF(AE710/AVERAGE(AE700,AD700)&lt;0,"n/a",AE710/AVERAGE(AE700,AD700)*AF3/AE3),"n/a")</f>
        <v>0.044163198141515835</v>
      </c>
      <c r="AF711" s="1331">
        <f>IFERROR(IF(AF710/AVERAGE(AF700,AE700)&lt;0,"n/a",AF710/AVERAGE(AF700,AE700)),"n/a")</f>
        <v>0.037798814956071652</v>
      </c>
      <c r="AG711" s="289">
        <f>IFERROR(IF(AG710/AVERAGE(AG700,AF700)&lt;0,"n/a",AG710/AVERAGE(AG700,AF700)*AK3/AG3),"n/a")</f>
        <v>0.043638317272586255</v>
      </c>
      <c r="AH711" s="289">
        <f>IFERROR(IF(AH710/AVERAGE(AH700,AG700)&lt;0,"n/a",AH710/AVERAGE(AH700,AG700)*AK3/AH3),"n/a")</f>
        <v>0.04315338745735732</v>
      </c>
      <c r="AI711" s="289">
        <f>IFERROR(IF(AI710/AVERAGE(AI700,AH700)&lt;0,"n/a",AI710/AVERAGE(AI700,AH700)*AK3/AI3),"n/a")</f>
        <v>0.042769041011409187</v>
      </c>
      <c r="AJ711" s="289">
        <f>IFERROR(IF(AJ710/AVERAGE(AJ700,AI700)&lt;0,"n/a",AJ710/AVERAGE(AJ700,AI700)*AK3/AJ3),"n/a")</f>
        <v>0.042673674282038415</v>
      </c>
      <c r="AK711" s="1331">
        <f>IFERROR(IF(AK710/AVERAGE(AK700,AJ700)&lt;0,"n/a",AK710/AVERAGE(AK700,AJ700)),"n/a")</f>
        <v>0.043044178711624421</v>
      </c>
      <c r="AL711" s="289">
        <f>IFERROR(IF(AL710/AVERAGE(AL700,AK700)&lt;0,"n/a",AL710/AVERAGE(AL700,AK700)*AP3/AL3),"n/a")</f>
        <v>0.039394546541703497</v>
      </c>
      <c r="AM711" s="199">
        <f>IFERROR(IF(AM710/AVERAGE(AM700,AL700)&lt;0,"n/a",AM710/AVERAGE(AM700,AL700)*AP3/AM3),"n/a")</f>
        <v>0.042051324152040638</v>
      </c>
      <c r="AN711" s="199">
        <f>IFERROR(IF(AN710/AVERAGE(AN700,AM700)&lt;0,"n/a",AN710/AVERAGE(AN700,AM700)*AP3/AN3),"n/a")</f>
        <v>0.041588847748116935</v>
      </c>
      <c r="AO711" s="289">
        <f>IFERROR(IF(AO710/AVERAGE(AO700,AN700)&lt;0,"n/a",AO710/AVERAGE(AO700,AN700)*AP3/AO3),"n/a")</f>
        <v>0.041435993303908666</v>
      </c>
      <c r="AP711" s="1331">
        <f>IFERROR(IF(AP710/AVERAGE(AP700,AO700)&lt;0,"n/a",AP710/AVERAGE(AP700,AO700)),"n/a")</f>
        <v>0.040214228794870369</v>
      </c>
      <c r="AQ711" s="199">
        <f>IFERROR(IF(AQ710/AVERAGE(AQ700,AP700)&lt;0,"n/a",AQ710/AVERAGE(AQ700,AP700)*AU3/AQ3),"n/a")</f>
        <v>0.042385889489077684</v>
      </c>
      <c r="AR711" s="199">
        <f>IFERROR(IF(AR710/AVERAGE(AR700,AQ700)&lt;0,"n/a",AR710/AVERAGE(AR700,AQ700)*AU3/AR3),"n/a")</f>
        <v>0.041914673525801624</v>
      </c>
      <c r="AS711" s="199">
        <f>IFERROR(IF(AS710/AVERAGE(AS700,AR700)&lt;0,"n/a",AS710/AVERAGE(AS700,AR700)*AU3/AS3),"n/a")</f>
        <v>0.041771343122983799</v>
      </c>
      <c r="AT711" s="289">
        <f>IFERROR(IF(AT710/AVERAGE(AT700,AS700)&lt;0,"n/a",AT710/AVERAGE(AT700,AS700)*AU3/AT3),"n/a")</f>
        <v>0.041791852874216127</v>
      </c>
      <c r="AU711" s="1331">
        <f>IFERROR(IF(AU710/AVERAGE(AU700,AT700)&lt;0,"n/a",AU710/AVERAGE(AU700,AT700)),"n/a")</f>
        <v>0.044623173021964557</v>
      </c>
      <c r="AV711" s="199">
        <f>IFERROR(IF(AV710/AVERAGE(AV700,AU700)&lt;0,"n/a",AV710/AVERAGE(AV700,AU700)*AZ3/AV3),"n/a")</f>
        <v>0.039030283695485203</v>
      </c>
      <c r="AW711" s="199">
        <f>IFERROR(IF(AW710/AVERAGE(AW700,AV700)&lt;0,"n/a",AW710/AVERAGE(AW700,AV700)*AZ3/AW3),"n/a")</f>
        <v>0.039569422051551069</v>
      </c>
      <c r="AX711" s="199">
        <f>IFERROR(IF(AX710/AVERAGE(AX700,AW700)&lt;0,"n/a",AX710/AVERAGE(AX700,AW700)*AZ3/AX3),"n/a")</f>
        <v>0.039195921575141165</v>
      </c>
      <c r="AY711" s="199">
        <f>IFERROR(IF(AY710/AVERAGE(AY700,AX700)&lt;0,"n/a",AY710/AVERAGE(AY700,AX700)*AZ3/AY3),"n/a")</f>
        <v>0.039190399164718615</v>
      </c>
      <c r="AZ711" s="1330">
        <f>IFERROR(IF(AZ710/AVERAGE(AZ700,AY700)&lt;0,"n/a",AZ710/AVERAGE(AZ700,AY700)),"n/a")</f>
        <v>0.038116556830455672</v>
      </c>
      <c r="BA711" s="199">
        <f>IFERROR(IF(BA710/AVERAGE(BA700,AZ700)&lt;0,"n/a",BA710/AVERAGE(BA700,AZ700)*BE3/BA3),"n/a")</f>
        <v>0.040182298188496529</v>
      </c>
      <c r="BB711" s="199">
        <f>IFERROR(IF(BB710/AVERAGE(BB700,BA700)&lt;0,"n/a",BB710/AVERAGE(BB700,BA700)*BE3/BB3),"n/a")</f>
        <v>0.039699600479365174</v>
      </c>
      <c r="BC711" s="199">
        <f>IFERROR(IF(BC710/AVERAGE(BC700,BB700)&lt;0,"n/a",BC710/AVERAGE(BC700,BB700)*BE3/BC3),"n/a")</f>
        <v>0.040151759303772079</v>
      </c>
      <c r="BD711" s="199">
        <f>IFERROR(IF(BD710/AVERAGE(BD700,BC700)&lt;0,"n/a",BD710/AVERAGE(BD700,BC700)*BE3/BD3),"n/a")</f>
        <v>0.040145638697615234</v>
      </c>
      <c r="BE711" s="1330">
        <f>IFERROR(IF(BE710/AVERAGE(BE700,BD700)&lt;0,"n/a",BE710/AVERAGE(BE700,BD700)),"n/a")</f>
        <v>0.038962924251662159</v>
      </c>
      <c r="BF711" s="289">
        <f>IFERROR(IF(BF710/AVERAGE(BF700,BE700)&lt;0,"n/a",BF710/AVERAGE(BF700,BE700)*BJ3/BF3),"n/a")</f>
        <v>0.040633412007238967</v>
      </c>
      <c r="BG711" s="199">
        <f>IFERROR(IF(BG710/AVERAGE(BG700,BF700)&lt;0,"n/a",BG710/AVERAGE(BG700,BF700)*BJ3/BG3),"n/a")</f>
        <v>0.040627219867299974</v>
      </c>
      <c r="BH711" s="810">
        <f>IFERROR(IF(BH710/AVERAGE(BH700,BG700)&lt;0,"n/a",BH710/AVERAGE(BH700,BG700)*BJ3/BH3),"n/a")</f>
        <v>0.040352684169433516</v>
      </c>
      <c r="BI711" s="1269">
        <v>0.042000000000000003</v>
      </c>
      <c r="BJ711" s="1353">
        <f>IFERROR(IF(BJ710/AVERAGE(BI700,BH700,BG700,BF700)&lt;0,"n/a",BJ710/AVERAGE(BI700,BH700,BG700,BF700)),"n/a")</f>
        <v>0.04090252955268335</v>
      </c>
      <c r="BK711" s="1269">
        <v>0.042000000000000003</v>
      </c>
      <c r="BL711" s="1269">
        <v>0.042000000000000003</v>
      </c>
      <c r="BM711" s="1269">
        <v>0.042000000000000003</v>
      </c>
      <c r="BN711" s="1269">
        <v>0.042000000000000003</v>
      </c>
      <c r="BO711" s="1353">
        <f>IFERROR(IF(BO710/AVERAGE(BN700,BM700,BL700,BK700)&lt;0,"n/a",BO710/AVERAGE(BN700,BM700,BL700,BK700)),"n/a")</f>
        <v>0.042000000000000003</v>
      </c>
      <c r="BP711" s="1441">
        <v>0.04200000000000001</v>
      </c>
      <c r="BQ711" s="1441">
        <v>0.04200000000000001</v>
      </c>
      <c r="BR711" s="1442">
        <v>0.04200000000000001</v>
      </c>
      <c r="BS711" s="648"/>
    </row>
    <row r="712" spans="1:71" s="664" customFormat="1" ht="15">
      <c r="A712" s="429"/>
      <c r="B712" s="429"/>
      <c r="C712" s="1474"/>
      <c r="D712" s="1474"/>
      <c r="E712" s="1474"/>
      <c r="F712" s="1474"/>
      <c r="G712" s="1474"/>
      <c r="H712" s="430"/>
      <c r="I712" s="430"/>
      <c r="J712" s="430"/>
      <c r="K712" s="430"/>
      <c r="L712" s="1474"/>
      <c r="M712" s="430"/>
      <c r="N712" s="430"/>
      <c r="O712" s="430"/>
      <c r="P712" s="430"/>
      <c r="Q712" s="1474"/>
      <c r="R712" s="430"/>
      <c r="S712" s="430"/>
      <c r="T712" s="430"/>
      <c r="U712" s="430"/>
      <c r="V712" s="1474"/>
      <c r="W712" s="430"/>
      <c r="X712" s="430"/>
      <c r="Y712" s="430"/>
      <c r="Z712" s="430"/>
      <c r="AA712" s="1474"/>
      <c r="AB712" s="430"/>
      <c r="AC712" s="430"/>
      <c r="AD712" s="430"/>
      <c r="AE712" s="430"/>
      <c r="AF712" s="1474"/>
      <c r="AG712" s="430"/>
      <c r="AH712" s="430"/>
      <c r="AI712" s="430"/>
      <c r="AJ712" s="430"/>
      <c r="AK712" s="1474"/>
      <c r="AL712" s="430"/>
      <c r="AM712" s="430"/>
      <c r="AN712" s="430"/>
      <c r="AO712" s="430"/>
      <c r="AP712" s="1474"/>
      <c r="AQ712" s="430"/>
      <c r="AR712" s="430"/>
      <c r="AS712" s="430"/>
      <c r="AT712" s="430"/>
      <c r="AU712" s="1474"/>
      <c r="AV712" s="430"/>
      <c r="AW712" s="430"/>
      <c r="AX712" s="430"/>
      <c r="AY712" s="430"/>
      <c r="AZ712" s="1474"/>
      <c r="BA712" s="430"/>
      <c r="BB712" s="430"/>
      <c r="BC712" s="430"/>
      <c r="BD712" s="430"/>
      <c r="BE712" s="1474"/>
      <c r="BF712" s="430"/>
      <c r="BG712" s="430"/>
      <c r="BH712" s="840"/>
      <c r="BI712" s="431"/>
      <c r="BJ712" s="1475"/>
      <c r="BK712" s="431"/>
      <c r="BL712" s="431"/>
      <c r="BM712" s="431"/>
      <c r="BN712" s="431"/>
      <c r="BO712" s="1475"/>
      <c r="BP712" s="1474"/>
      <c r="BQ712" s="1474"/>
      <c r="BR712" s="1475"/>
      <c r="BS712" s="648"/>
    </row>
    <row r="713" spans="1:71" s="668" customFormat="1" ht="15">
      <c r="A713" s="991" t="s">
        <v>131</v>
      </c>
      <c r="B713" s="991"/>
      <c r="C713" s="1035"/>
      <c r="D713" s="1035"/>
      <c r="E713" s="1035"/>
      <c r="F713" s="1035"/>
      <c r="G713" s="1035"/>
      <c r="H713" s="1035"/>
      <c r="I713" s="1035"/>
      <c r="J713" s="1035"/>
      <c r="K713" s="1035"/>
      <c r="L713" s="1035"/>
      <c r="M713" s="1035"/>
      <c r="N713" s="1035"/>
      <c r="O713" s="1035"/>
      <c r="P713" s="1035"/>
      <c r="Q713" s="1035"/>
      <c r="R713" s="1035"/>
      <c r="S713" s="1035"/>
      <c r="T713" s="1035"/>
      <c r="U713" s="1035"/>
      <c r="V713" s="1035"/>
      <c r="W713" s="1035"/>
      <c r="X713" s="1035"/>
      <c r="Y713" s="1035"/>
      <c r="Z713" s="1035"/>
      <c r="AA713" s="1035"/>
      <c r="AB713" s="1035"/>
      <c r="AC713" s="1035"/>
      <c r="AD713" s="1035"/>
      <c r="AE713" s="1035"/>
      <c r="AF713" s="1035"/>
      <c r="AG713" s="1035"/>
      <c r="AH713" s="1035"/>
      <c r="AI713" s="1035"/>
      <c r="AJ713" s="1035"/>
      <c r="AK713" s="1035"/>
      <c r="AL713" s="1035"/>
      <c r="AM713" s="1035"/>
      <c r="AN713" s="1035"/>
      <c r="AO713" s="1035"/>
      <c r="AP713" s="1035"/>
      <c r="AQ713" s="1035"/>
      <c r="AR713" s="1035"/>
      <c r="AS713" s="1035"/>
      <c r="AT713" s="1035"/>
      <c r="AU713" s="1035"/>
      <c r="AV713" s="1035"/>
      <c r="AW713" s="1035"/>
      <c r="AX713" s="1035"/>
      <c r="AY713" s="1035"/>
      <c r="AZ713" s="1035"/>
      <c r="BA713" s="1035"/>
      <c r="BB713" s="1035"/>
      <c r="BC713" s="1035"/>
      <c r="BD713" s="1035"/>
      <c r="BE713" s="1035"/>
      <c r="BF713" s="1035"/>
      <c r="BG713" s="1035"/>
      <c r="BH713" s="1036"/>
      <c r="BI713" s="1037"/>
      <c r="BJ713" s="1037"/>
      <c r="BK713" s="1037"/>
      <c r="BL713" s="1037"/>
      <c r="BM713" s="1037"/>
      <c r="BN713" s="1037"/>
      <c r="BO713" s="1037"/>
      <c r="BP713" s="1035"/>
      <c r="BQ713" s="1035"/>
      <c r="BR713" s="1037"/>
      <c r="BS713" s="648"/>
    </row>
    <row r="714" spans="1:71" s="665" customFormat="1" ht="15" hidden="1" outlineLevel="1">
      <c r="A714" s="647" t="s">
        <v>132</v>
      </c>
      <c r="B714" s="321"/>
      <c r="C714" s="1364">
        <v>4953.6000000000004</v>
      </c>
      <c r="D714" s="1364">
        <v>5073</v>
      </c>
      <c r="E714" s="1364">
        <v>5269.20</v>
      </c>
      <c r="F714" s="1364">
        <v>5605.20</v>
      </c>
      <c r="G714" s="1364">
        <v>5991</v>
      </c>
      <c r="H714" s="1047"/>
      <c r="I714" s="1047"/>
      <c r="J714" s="1047"/>
      <c r="K714" s="1047"/>
      <c r="L714" s="1364">
        <v>6442.80</v>
      </c>
      <c r="M714" s="1047"/>
      <c r="N714" s="1047"/>
      <c r="O714" s="1047"/>
      <c r="P714" s="1047"/>
      <c r="Q714" s="1364">
        <v>7575.50</v>
      </c>
      <c r="R714" s="1047"/>
      <c r="S714" s="1047"/>
      <c r="T714" s="1047"/>
      <c r="U714" s="1047"/>
      <c r="V714" s="1364">
        <v>8560</v>
      </c>
      <c r="W714" s="1047"/>
      <c r="X714" s="1047"/>
      <c r="Y714" s="1047"/>
      <c r="Z714" s="1047"/>
      <c r="AA714" s="1364">
        <v>9664.40</v>
      </c>
      <c r="AB714" s="1047"/>
      <c r="AC714" s="1047"/>
      <c r="AD714" s="1047"/>
      <c r="AE714" s="1047"/>
      <c r="AF714" s="1364">
        <v>11731.20</v>
      </c>
      <c r="AG714" s="1047"/>
      <c r="AH714" s="1047"/>
      <c r="AI714" s="1047"/>
      <c r="AJ714" s="1047"/>
      <c r="AK714" s="1364">
        <v>13671.10</v>
      </c>
      <c r="AL714" s="1047"/>
      <c r="AM714" s="1047"/>
      <c r="AN714" s="1047"/>
      <c r="AO714" s="1047"/>
      <c r="AP714" s="1364">
        <v>15194.60</v>
      </c>
      <c r="AQ714" s="1047"/>
      <c r="AR714" s="1047"/>
      <c r="AS714" s="1047"/>
      <c r="AT714" s="1047"/>
      <c r="AU714" s="1364">
        <v>16423.700000000001</v>
      </c>
      <c r="AV714" s="1047"/>
      <c r="AW714" s="1047"/>
      <c r="AX714" s="1047"/>
      <c r="AY714" s="1047"/>
      <c r="AZ714" s="1364">
        <v>17879.900000000001</v>
      </c>
      <c r="BA714" s="1047"/>
      <c r="BB714" s="1047"/>
      <c r="BC714" s="1047"/>
      <c r="BD714" s="1047"/>
      <c r="BE714" s="1364">
        <v>22249.60</v>
      </c>
      <c r="BF714" s="1047"/>
      <c r="BG714" s="1047"/>
      <c r="BH714" s="1048"/>
      <c r="BI714" s="1044"/>
      <c r="BJ714" s="1350"/>
      <c r="BK714" s="1044"/>
      <c r="BL714" s="1044"/>
      <c r="BM714" s="1044"/>
      <c r="BN714" s="1044"/>
      <c r="BO714" s="1350"/>
      <c r="BP714" s="1351"/>
      <c r="BQ714" s="1351"/>
      <c r="BR714" s="1350"/>
      <c r="BS714" s="648"/>
    </row>
    <row r="715" spans="1:71" s="665" customFormat="1" ht="15" hidden="1" outlineLevel="1">
      <c r="A715" s="647" t="s">
        <v>133</v>
      </c>
      <c r="B715" s="321"/>
      <c r="C715" s="1364">
        <v>1300.80</v>
      </c>
      <c r="D715" s="1364">
        <v>1049.0999999999999</v>
      </c>
      <c r="E715" s="1364">
        <v>1001.70</v>
      </c>
      <c r="F715" s="1364">
        <v>808.30</v>
      </c>
      <c r="G715" s="1364">
        <v>1086.30</v>
      </c>
      <c r="H715" s="1047"/>
      <c r="I715" s="1047"/>
      <c r="J715" s="1047"/>
      <c r="K715" s="1047"/>
      <c r="L715" s="1364">
        <v>1289.50</v>
      </c>
      <c r="M715" s="1047"/>
      <c r="N715" s="1047"/>
      <c r="O715" s="1047"/>
      <c r="P715" s="1047"/>
      <c r="Q715" s="1364">
        <v>1333.10</v>
      </c>
      <c r="R715" s="1047"/>
      <c r="S715" s="1047"/>
      <c r="T715" s="1047"/>
      <c r="U715" s="1047"/>
      <c r="V715" s="1364">
        <v>1022.30</v>
      </c>
      <c r="W715" s="1047"/>
      <c r="X715" s="1047"/>
      <c r="Y715" s="1047"/>
      <c r="Z715" s="1047"/>
      <c r="AA715" s="1364">
        <v>1416.20</v>
      </c>
      <c r="AB715" s="1047"/>
      <c r="AC715" s="1047"/>
      <c r="AD715" s="1047"/>
      <c r="AE715" s="1047"/>
      <c r="AF715" s="1364">
        <v>2916.90</v>
      </c>
      <c r="AG715" s="1047"/>
      <c r="AH715" s="1047"/>
      <c r="AI715" s="1047"/>
      <c r="AJ715" s="1047"/>
      <c r="AK715" s="1364">
        <v>3489.70</v>
      </c>
      <c r="AL715" s="1047"/>
      <c r="AM715" s="1047"/>
      <c r="AN715" s="1047"/>
      <c r="AO715" s="1047"/>
      <c r="AP715" s="1364">
        <v>4911.3999999999996</v>
      </c>
      <c r="AQ715" s="1047"/>
      <c r="AR715" s="1047"/>
      <c r="AS715" s="1047"/>
      <c r="AT715" s="1047"/>
      <c r="AU715" s="1364">
        <v>2283.90</v>
      </c>
      <c r="AV715" s="1047"/>
      <c r="AW715" s="1047"/>
      <c r="AX715" s="1047"/>
      <c r="AY715" s="1047"/>
      <c r="AZ715" s="1364">
        <v>2763.50</v>
      </c>
      <c r="BA715" s="1047"/>
      <c r="BB715" s="1047"/>
      <c r="BC715" s="1047"/>
      <c r="BD715" s="1047"/>
      <c r="BE715" s="1364">
        <v>3502.20</v>
      </c>
      <c r="BF715" s="1047"/>
      <c r="BG715" s="1047"/>
      <c r="BH715" s="1048"/>
      <c r="BI715" s="1044"/>
      <c r="BJ715" s="1350"/>
      <c r="BK715" s="1044"/>
      <c r="BL715" s="1044"/>
      <c r="BM715" s="1044"/>
      <c r="BN715" s="1044"/>
      <c r="BO715" s="1350"/>
      <c r="BP715" s="1351"/>
      <c r="BQ715" s="1351"/>
      <c r="BR715" s="1350"/>
      <c r="BS715" s="648"/>
    </row>
    <row r="716" spans="1:71" s="665" customFormat="1" ht="15" hidden="1" outlineLevel="1">
      <c r="A716" s="992"/>
      <c r="B716" s="321"/>
      <c r="C716" s="1351"/>
      <c r="D716" s="1351"/>
      <c r="E716" s="1351"/>
      <c r="F716" s="1351"/>
      <c r="G716" s="1351"/>
      <c r="H716" s="1047"/>
      <c r="I716" s="1047"/>
      <c r="J716" s="1047"/>
      <c r="K716" s="1047"/>
      <c r="L716" s="1351"/>
      <c r="M716" s="1047"/>
      <c r="N716" s="1047"/>
      <c r="O716" s="1047"/>
      <c r="P716" s="1047"/>
      <c r="Q716" s="1351"/>
      <c r="R716" s="1047"/>
      <c r="S716" s="1047"/>
      <c r="T716" s="1047"/>
      <c r="U716" s="1047"/>
      <c r="V716" s="1351"/>
      <c r="W716" s="1047"/>
      <c r="X716" s="1047"/>
      <c r="Y716" s="1047"/>
      <c r="Z716" s="1047"/>
      <c r="AA716" s="1351"/>
      <c r="AB716" s="1047"/>
      <c r="AC716" s="1047"/>
      <c r="AD716" s="1047"/>
      <c r="AE716" s="1047"/>
      <c r="AF716" s="1351"/>
      <c r="AG716" s="1047"/>
      <c r="AH716" s="1047"/>
      <c r="AI716" s="1047"/>
      <c r="AJ716" s="1047"/>
      <c r="AK716" s="1351"/>
      <c r="AL716" s="1047"/>
      <c r="AM716" s="1047"/>
      <c r="AN716" s="1047"/>
      <c r="AO716" s="1047"/>
      <c r="AP716" s="1351"/>
      <c r="AQ716" s="1047"/>
      <c r="AR716" s="1047"/>
      <c r="AS716" s="1047"/>
      <c r="AT716" s="1047"/>
      <c r="AU716" s="1351"/>
      <c r="AV716" s="1047"/>
      <c r="AW716" s="1047"/>
      <c r="AX716" s="1047"/>
      <c r="AY716" s="1047"/>
      <c r="AZ716" s="1351"/>
      <c r="BA716" s="1047"/>
      <c r="BB716" s="1047"/>
      <c r="BC716" s="1047"/>
      <c r="BD716" s="1047"/>
      <c r="BE716" s="1351"/>
      <c r="BF716" s="1047"/>
      <c r="BG716" s="1047"/>
      <c r="BH716" s="1048"/>
      <c r="BI716" s="1044"/>
      <c r="BJ716" s="1350"/>
      <c r="BK716" s="1044"/>
      <c r="BL716" s="1044"/>
      <c r="BM716" s="1044"/>
      <c r="BN716" s="1044"/>
      <c r="BO716" s="1350"/>
      <c r="BP716" s="1351"/>
      <c r="BQ716" s="1351"/>
      <c r="BR716" s="1350"/>
      <c r="BS716" s="648"/>
    </row>
    <row r="717" spans="1:71" s="665" customFormat="1" ht="15" hidden="1" outlineLevel="1">
      <c r="A717" s="647" t="s">
        <v>134</v>
      </c>
      <c r="B717" s="321"/>
      <c r="C717" s="1364">
        <v>477.70</v>
      </c>
      <c r="D717" s="1364">
        <v>454.90</v>
      </c>
      <c r="E717" s="1364">
        <v>472.60</v>
      </c>
      <c r="F717" s="1364">
        <v>501.90</v>
      </c>
      <c r="G717" s="1364">
        <v>524.79999999999995</v>
      </c>
      <c r="H717" s="1047"/>
      <c r="I717" s="1047"/>
      <c r="J717" s="1047"/>
      <c r="K717" s="1047"/>
      <c r="L717" s="1364">
        <v>549.20000000000005</v>
      </c>
      <c r="M717" s="1047"/>
      <c r="N717" s="1047"/>
      <c r="O717" s="1047"/>
      <c r="P717" s="1047"/>
      <c r="Q717" s="1364">
        <v>637.60</v>
      </c>
      <c r="R717" s="1047"/>
      <c r="S717" s="1047"/>
      <c r="T717" s="1047"/>
      <c r="U717" s="1047"/>
      <c r="V717" s="1364">
        <v>722.70</v>
      </c>
      <c r="W717" s="1047"/>
      <c r="X717" s="1047"/>
      <c r="Y717" s="1047"/>
      <c r="Z717" s="1047"/>
      <c r="AA717" s="1364">
        <v>830.10</v>
      </c>
      <c r="AB717" s="1047"/>
      <c r="AC717" s="1047"/>
      <c r="AD717" s="1047"/>
      <c r="AE717" s="1047"/>
      <c r="AF717" s="1351"/>
      <c r="AG717" s="1047"/>
      <c r="AH717" s="1047"/>
      <c r="AI717" s="1047"/>
      <c r="AJ717" s="1047"/>
      <c r="AK717" s="1351"/>
      <c r="AL717" s="1047"/>
      <c r="AM717" s="1047"/>
      <c r="AN717" s="1047"/>
      <c r="AO717" s="1047"/>
      <c r="AP717" s="1351"/>
      <c r="AQ717" s="1047"/>
      <c r="AR717" s="1047"/>
      <c r="AS717" s="1047"/>
      <c r="AT717" s="1047"/>
      <c r="AU717" s="1351"/>
      <c r="AV717" s="1047"/>
      <c r="AW717" s="1047"/>
      <c r="AX717" s="1047"/>
      <c r="AY717" s="1047"/>
      <c r="AZ717" s="1351"/>
      <c r="BA717" s="1047"/>
      <c r="BB717" s="1047"/>
      <c r="BC717" s="1047"/>
      <c r="BD717" s="1047"/>
      <c r="BE717" s="1351"/>
      <c r="BF717" s="1047"/>
      <c r="BG717" s="1047"/>
      <c r="BH717" s="1048"/>
      <c r="BI717" s="1044"/>
      <c r="BJ717" s="1350"/>
      <c r="BK717" s="1044"/>
      <c r="BL717" s="1044"/>
      <c r="BM717" s="1044"/>
      <c r="BN717" s="1044"/>
      <c r="BO717" s="1350"/>
      <c r="BP717" s="1351"/>
      <c r="BQ717" s="1351"/>
      <c r="BR717" s="1350"/>
      <c r="BS717" s="648"/>
    </row>
    <row r="718" spans="1:71" s="665" customFormat="1" ht="15" collapsed="1">
      <c r="A718" s="992"/>
      <c r="B718" s="321"/>
      <c r="C718" s="1351"/>
      <c r="D718" s="1351"/>
      <c r="E718" s="1351"/>
      <c r="F718" s="1351"/>
      <c r="G718" s="1351"/>
      <c r="H718" s="1047"/>
      <c r="I718" s="1047"/>
      <c r="J718" s="1047"/>
      <c r="K718" s="1047"/>
      <c r="L718" s="1351"/>
      <c r="M718" s="1047"/>
      <c r="N718" s="1047"/>
      <c r="O718" s="1047"/>
      <c r="P718" s="1047"/>
      <c r="Q718" s="1351"/>
      <c r="R718" s="1047"/>
      <c r="S718" s="1047"/>
      <c r="T718" s="1047"/>
      <c r="U718" s="1047"/>
      <c r="V718" s="1351"/>
      <c r="W718" s="1047"/>
      <c r="X718" s="1047"/>
      <c r="Y718" s="1047"/>
      <c r="Z718" s="1047"/>
      <c r="AA718" s="1351"/>
      <c r="AB718" s="1047"/>
      <c r="AC718" s="1047"/>
      <c r="AD718" s="1047"/>
      <c r="AE718" s="1047"/>
      <c r="AF718" s="1351"/>
      <c r="AG718" s="1047"/>
      <c r="AH718" s="1047"/>
      <c r="AI718" s="1047"/>
      <c r="AJ718" s="1047"/>
      <c r="AK718" s="1351"/>
      <c r="AL718" s="1047"/>
      <c r="AM718" s="1047"/>
      <c r="AN718" s="1047"/>
      <c r="AO718" s="1047"/>
      <c r="AP718" s="1351"/>
      <c r="AQ718" s="1047"/>
      <c r="AR718" s="1047"/>
      <c r="AS718" s="1047"/>
      <c r="AT718" s="1047"/>
      <c r="AU718" s="1351"/>
      <c r="AV718" s="1047"/>
      <c r="AW718" s="1047"/>
      <c r="AX718" s="1047"/>
      <c r="AY718" s="1047"/>
      <c r="AZ718" s="1351"/>
      <c r="BA718" s="1047"/>
      <c r="BB718" s="1047"/>
      <c r="BC718" s="1047"/>
      <c r="BD718" s="1047"/>
      <c r="BE718" s="1351"/>
      <c r="BF718" s="1047"/>
      <c r="BG718" s="1047"/>
      <c r="BH718" s="1048"/>
      <c r="BI718" s="1044"/>
      <c r="BJ718" s="1350"/>
      <c r="BK718" s="1044"/>
      <c r="BL718" s="1044"/>
      <c r="BM718" s="1044"/>
      <c r="BN718" s="1044"/>
      <c r="BO718" s="1350"/>
      <c r="BP718" s="1351"/>
      <c r="BQ718" s="1351"/>
      <c r="BR718" s="1350"/>
      <c r="BS718" s="648"/>
    </row>
    <row r="719" spans="1:71" s="668" customFormat="1" ht="15">
      <c r="A719" s="991" t="s">
        <v>135</v>
      </c>
      <c r="B719" s="991"/>
      <c r="C719" s="1035"/>
      <c r="D719" s="1035"/>
      <c r="E719" s="1035"/>
      <c r="F719" s="1035"/>
      <c r="G719" s="1035"/>
      <c r="H719" s="1035"/>
      <c r="I719" s="1035"/>
      <c r="J719" s="1035"/>
      <c r="K719" s="1035"/>
      <c r="L719" s="1035"/>
      <c r="M719" s="1035"/>
      <c r="N719" s="1035"/>
      <c r="O719" s="1035"/>
      <c r="P719" s="1035"/>
      <c r="Q719" s="1035"/>
      <c r="R719" s="1035"/>
      <c r="S719" s="1035"/>
      <c r="T719" s="1035"/>
      <c r="U719" s="1035"/>
      <c r="V719" s="1035"/>
      <c r="W719" s="1035"/>
      <c r="X719" s="1035"/>
      <c r="Y719" s="1035"/>
      <c r="Z719" s="1035"/>
      <c r="AA719" s="1035"/>
      <c r="AB719" s="1035"/>
      <c r="AC719" s="1035"/>
      <c r="AD719" s="1035"/>
      <c r="AE719" s="1035"/>
      <c r="AF719" s="1035"/>
      <c r="AG719" s="1035"/>
      <c r="AH719" s="1035"/>
      <c r="AI719" s="1035"/>
      <c r="AJ719" s="1035"/>
      <c r="AK719" s="1035"/>
      <c r="AL719" s="1035"/>
      <c r="AM719" s="1035"/>
      <c r="AN719" s="1035"/>
      <c r="AO719" s="1035"/>
      <c r="AP719" s="1035"/>
      <c r="AQ719" s="1035"/>
      <c r="AR719" s="1035"/>
      <c r="AS719" s="1035"/>
      <c r="AT719" s="1035"/>
      <c r="AU719" s="1035"/>
      <c r="AV719" s="1035"/>
      <c r="AW719" s="1035"/>
      <c r="AX719" s="1035"/>
      <c r="AY719" s="1035"/>
      <c r="AZ719" s="1035"/>
      <c r="BA719" s="1035"/>
      <c r="BB719" s="1035"/>
      <c r="BC719" s="1035"/>
      <c r="BD719" s="1035"/>
      <c r="BE719" s="1035"/>
      <c r="BF719" s="1035"/>
      <c r="BG719" s="1035"/>
      <c r="BH719" s="1036"/>
      <c r="BI719" s="1037"/>
      <c r="BJ719" s="1037"/>
      <c r="BK719" s="1037"/>
      <c r="BL719" s="1037"/>
      <c r="BM719" s="1037"/>
      <c r="BN719" s="1037"/>
      <c r="BO719" s="1037"/>
      <c r="BP719" s="1035"/>
      <c r="BQ719" s="1035"/>
      <c r="BR719" s="1037"/>
      <c r="BS719" s="648"/>
    </row>
    <row r="720" spans="1:71" s="692" customFormat="1" ht="15">
      <c r="A720" s="642" t="str">
        <f>"Stock Price (Reporting Cur.) - "&amp;MO.ValuationToggle&amp;", "&amp;MO.ReportCurrency</f>
        <v>Stock Price (Reporting Cur.) - EoP, USD</v>
      </c>
      <c r="B720" s="1290" t="s">
        <v>736</v>
      </c>
      <c r="C720" s="1479">
        <f t="shared" si="1442" ref="C720:AH720">IF(MO.ValuationToggle="EoP",INDEX(MO_VA_StockPrice_TradingCurrency,1,COLUMN())/INDEX(MO_VA_FX_EoP,1,COLUMN()),INDEX(MO_VA_StockPrice_TradingCurrency,1,COLUMN())/INDEX(MO_VA_FX_Average,1,COLUMN()))</f>
        <v>18.05</v>
      </c>
      <c r="D720" s="1479">
        <f t="shared" si="1442"/>
        <v>19.87</v>
      </c>
      <c r="E720" s="1479">
        <f t="shared" si="1442"/>
        <v>19.510000000000002</v>
      </c>
      <c r="F720" s="1479">
        <f t="shared" si="1442"/>
        <v>20.85</v>
      </c>
      <c r="G720" s="1479">
        <f t="shared" si="1442"/>
        <v>27.16</v>
      </c>
      <c r="H720" s="215">
        <f t="shared" si="1442"/>
        <v>23.98</v>
      </c>
      <c r="I720" s="215">
        <f t="shared" si="1442"/>
        <v>25.26</v>
      </c>
      <c r="J720" s="215">
        <f t="shared" si="1442"/>
        <v>25.49</v>
      </c>
      <c r="K720" s="215">
        <f t="shared" si="1442"/>
        <v>27.22</v>
      </c>
      <c r="L720" s="1479">
        <f t="shared" si="1442"/>
        <v>27.22</v>
      </c>
      <c r="M720" s="215">
        <f t="shared" si="1442"/>
        <v>27.37</v>
      </c>
      <c r="N720" s="215">
        <f t="shared" si="1442"/>
        <v>27.81</v>
      </c>
      <c r="O720" s="215">
        <f t="shared" si="1442"/>
        <v>30.44</v>
      </c>
      <c r="P720" s="215">
        <f t="shared" si="1442"/>
        <v>32.32</v>
      </c>
      <c r="Q720" s="1479">
        <f t="shared" si="1442"/>
        <v>32.32</v>
      </c>
      <c r="R720" s="215">
        <f t="shared" si="1442"/>
        <v>35.03</v>
      </c>
      <c r="S720" s="215">
        <f t="shared" si="1442"/>
        <v>32.630000000000003</v>
      </c>
      <c r="T720" s="215">
        <f t="shared" si="1442"/>
        <v>31.25</v>
      </c>
      <c r="U720" s="215">
        <f t="shared" si="1442"/>
        <v>35.50</v>
      </c>
      <c r="V720" s="1479">
        <f t="shared" si="1442"/>
        <v>35.50</v>
      </c>
      <c r="W720" s="215">
        <f t="shared" si="1442"/>
        <v>39.479999999999997</v>
      </c>
      <c r="X720" s="215">
        <f t="shared" si="1442"/>
        <v>44.15</v>
      </c>
      <c r="Y720" s="215">
        <f t="shared" si="1442"/>
        <v>48.42</v>
      </c>
      <c r="Z720" s="215">
        <f t="shared" si="1442"/>
        <v>56.32</v>
      </c>
      <c r="AA720" s="1479">
        <f t="shared" si="1442"/>
        <v>56.32</v>
      </c>
      <c r="AB720" s="215">
        <f t="shared" si="1442"/>
        <v>60.93</v>
      </c>
      <c r="AC720" s="215">
        <f t="shared" si="1442"/>
        <v>59.15</v>
      </c>
      <c r="AD720" s="215">
        <f t="shared" si="1442"/>
        <v>71.040000000000006</v>
      </c>
      <c r="AE720" s="215">
        <f t="shared" si="1442"/>
        <v>59.65</v>
      </c>
      <c r="AF720" s="1479">
        <f t="shared" si="1442"/>
        <v>59.65</v>
      </c>
      <c r="AG720" s="215">
        <f t="shared" si="1442"/>
        <v>72.09</v>
      </c>
      <c r="AH720" s="215">
        <f t="shared" si="1442"/>
        <v>79.930000000000007</v>
      </c>
      <c r="AI720" s="215">
        <f t="shared" si="1443" ref="AI720:BJ720">IF(MO.ValuationToggle="EoP",INDEX(MO_VA_StockPrice_TradingCurrency,1,COLUMN())/INDEX(MO_VA_FX_EoP,1,COLUMN()),INDEX(MO_VA_StockPrice_TradingCurrency,1,COLUMN())/INDEX(MO_VA_FX_Average,1,COLUMN()))</f>
        <v>77.099999999999994</v>
      </c>
      <c r="AJ720" s="215">
        <f t="shared" si="1443"/>
        <v>72.319999999999993</v>
      </c>
      <c r="AK720" s="1479">
        <f t="shared" si="1443"/>
        <v>72.319999999999993</v>
      </c>
      <c r="AL720" s="215">
        <f t="shared" si="1443"/>
        <v>76.180000000000007</v>
      </c>
      <c r="AM720" s="215">
        <f t="shared" si="1443"/>
        <v>78.400000000000006</v>
      </c>
      <c r="AN720" s="215">
        <f t="shared" si="1443"/>
        <v>94.15</v>
      </c>
      <c r="AO720" s="215">
        <f t="shared" si="1443"/>
        <v>97.41</v>
      </c>
      <c r="AP720" s="1479">
        <f t="shared" si="1443"/>
        <v>97.41</v>
      </c>
      <c r="AQ720" s="215">
        <f t="shared" si="1443"/>
        <v>95.55</v>
      </c>
      <c r="AR720" s="215">
        <f t="shared" si="1443"/>
        <v>98.44</v>
      </c>
      <c r="AS720" s="215">
        <f t="shared" si="1443"/>
        <v>91.14</v>
      </c>
      <c r="AT720" s="215">
        <f t="shared" si="1443"/>
        <v>103.05</v>
      </c>
      <c r="AU720" s="1480">
        <f t="shared" si="1443"/>
        <v>103.05</v>
      </c>
      <c r="AV720" s="215">
        <f t="shared" si="1443"/>
        <v>117.17</v>
      </c>
      <c r="AW720" s="215">
        <f t="shared" si="1443"/>
        <v>113.64</v>
      </c>
      <c r="AX720" s="215">
        <f t="shared" si="1443"/>
        <v>118.39</v>
      </c>
      <c r="AY720" s="215">
        <f t="shared" si="1443"/>
        <v>129.71000000000001</v>
      </c>
      <c r="AZ720" s="1480">
        <f t="shared" si="1443"/>
        <v>129.71000000000001</v>
      </c>
      <c r="BA720" s="716">
        <f t="shared" si="1443"/>
        <v>143.78999999999999</v>
      </c>
      <c r="BB720" s="716">
        <f t="shared" si="1443"/>
        <v>132.11000000000001</v>
      </c>
      <c r="BC720" s="716">
        <f t="shared" si="1443"/>
        <v>139.30000000000001</v>
      </c>
      <c r="BD720" s="716">
        <f t="shared" si="1443"/>
        <v>159.28</v>
      </c>
      <c r="BE720" s="1480">
        <f t="shared" si="1443"/>
        <v>159.28</v>
      </c>
      <c r="BF720" s="716">
        <f>IF(MO.ValuationToggle="EoP",INDEX(MO_VA_StockPrice_TradingCurrency,1,COLUMN())/INDEX(MO_VA_FX_EoP,1,COLUMN()),INDEX(MO_VA_StockPrice_TradingCurrency,1,COLUMN())/INDEX(MO_VA_FX_Average,1,COLUMN()))</f>
        <v>206.82</v>
      </c>
      <c r="BG720" s="716">
        <f>IF(MO.ValuationToggle="EoP",INDEX(MO_VA_StockPrice_TradingCurrency,1,COLUMN())/INDEX(MO_VA_FX_EoP,1,COLUMN()),INDEX(MO_VA_StockPrice_TradingCurrency,1,COLUMN())/INDEX(MO_VA_FX_Average,1,COLUMN()))</f>
        <v>207.71</v>
      </c>
      <c r="BH720" s="841">
        <f>IF(MO.ValuationToggle="EoP",INDEX(MO_VA_StockPrice_TradingCurrency,1,COLUMN())/INDEX(MO_VA_FX_EoP,1,COLUMN()),INDEX(MO_VA_StockPrice_TradingCurrency,1,COLUMN())/INDEX(MO_VA_FX_Average,1,COLUMN()))</f>
        <v>251.10</v>
      </c>
      <c r="BI720" s="659">
        <f ca="1">IF(MO.ValuationToggle="EoP",INDEX(MO_VA_StockPrice_TradingCurrency,1,COLUMN())/INDEX(MO_VA_FX_EoP,1,COLUMN()),INDEX(MO_VA_StockPrice_TradingCurrency,1,COLUMN())/INDEX(MO_VA_FX_Average,1,COLUMN()))</f>
        <v>257.50</v>
      </c>
      <c r="BJ720" s="1481">
        <f t="shared" ca="1" si="1443"/>
        <v>257.50</v>
      </c>
      <c r="BK720" s="659">
        <f ca="1" t="shared" si="1444" ref="BK720:BR720">IF(MO.ValuationToggle="EoP",INDEX(MO_VA_StockPrice_TradingCurrency,1,COLUMN())/INDEX(MO_VA_FX_EoP,1,COLUMN()),INDEX(MO_VA_StockPrice_TradingCurrency,1,COLUMN())/INDEX(MO_VA_FX_Average,1,COLUMN()))</f>
        <v>257.50</v>
      </c>
      <c r="BL720" s="659">
        <f t="shared" ca="1" si="1444"/>
        <v>257.50</v>
      </c>
      <c r="BM720" s="659">
        <f t="shared" ca="1" si="1444"/>
        <v>257.50</v>
      </c>
      <c r="BN720" s="659">
        <f t="shared" ca="1" si="1444"/>
        <v>257.50</v>
      </c>
      <c r="BO720" s="1481">
        <f t="shared" ca="1" si="1444"/>
        <v>257.50</v>
      </c>
      <c r="BP720" s="1480">
        <f t="shared" ca="1" si="1444"/>
        <v>257.50</v>
      </c>
      <c r="BQ720" s="1480">
        <f t="shared" ca="1" si="1444"/>
        <v>257.50</v>
      </c>
      <c r="BR720" s="1481">
        <f t="shared" ca="1" si="1444"/>
        <v>257.50</v>
      </c>
      <c r="BS720" s="648"/>
    </row>
    <row r="721" spans="1:71" s="665" customFormat="1" ht="15">
      <c r="A721" s="647" t="str">
        <f>"Market Cap - "&amp;MO.ValuationToggle</f>
        <v>Market Cap - EoP</v>
      </c>
      <c r="B721" s="321"/>
      <c r="C721" s="1349">
        <f t="shared" si="1445" ref="C721:AH721">INDEX(MO_VA_StockPrice,0,COLUMN())*INDEX(MO_SCA_ShareCount_EoP_Diluted,0,COLUMN())</f>
        <v>12237.900000000003</v>
      </c>
      <c r="D721" s="1349">
        <f t="shared" si="1445"/>
        <v>13269.186</v>
      </c>
      <c r="E721" s="1349">
        <f t="shared" si="1445"/>
        <v>12049.376000000002</v>
      </c>
      <c r="F721" s="1349">
        <f t="shared" si="1445"/>
        <v>12699.735000000001</v>
      </c>
      <c r="G721" s="1349">
        <f t="shared" si="1445"/>
        <v>16304.147999999999</v>
      </c>
      <c r="H721" s="1042">
        <f t="shared" si="1445"/>
        <v>14313.662000000002</v>
      </c>
      <c r="I721" s="1042">
        <f t="shared" si="1445"/>
        <v>15049.907999999999</v>
      </c>
      <c r="J721" s="1042">
        <f t="shared" si="1445"/>
        <v>15118.119000000002</v>
      </c>
      <c r="K721" s="1042">
        <f t="shared" si="1445"/>
        <v>16125.127999999999</v>
      </c>
      <c r="L721" s="1349">
        <f t="shared" si="1445"/>
        <v>16125.127999999999</v>
      </c>
      <c r="M721" s="1042">
        <f t="shared" si="1445"/>
        <v>16167.458999999999</v>
      </c>
      <c r="N721" s="1042">
        <f t="shared" si="1445"/>
        <v>16399.556999999997</v>
      </c>
      <c r="O721" s="1042">
        <f t="shared" si="1445"/>
        <v>17913.940000000002</v>
      </c>
      <c r="P721" s="1042">
        <f t="shared" si="1445"/>
        <v>18981.536000000004</v>
      </c>
      <c r="Q721" s="1349">
        <f t="shared" si="1445"/>
        <v>18981.536000000004</v>
      </c>
      <c r="R721" s="1042">
        <f t="shared" si="1445"/>
        <v>20503.058999999997</v>
      </c>
      <c r="S721" s="1042">
        <f t="shared" si="1445"/>
        <v>19075.498000000003</v>
      </c>
      <c r="T721" s="1042">
        <f t="shared" si="1445"/>
        <v>18246.875</v>
      </c>
      <c r="U721" s="1042">
        <f t="shared" si="1445"/>
        <v>20707.149999999998</v>
      </c>
      <c r="V721" s="1349">
        <f t="shared" si="1445"/>
        <v>20707.149999999998</v>
      </c>
      <c r="W721" s="1042">
        <f t="shared" si="1445"/>
        <v>23052.371999999996</v>
      </c>
      <c r="X721" s="1042">
        <f t="shared" si="1445"/>
        <v>25796.844999999998</v>
      </c>
      <c r="Y721" s="1042">
        <f t="shared" si="1445"/>
        <v>28369.278000000006</v>
      </c>
      <c r="Z721" s="1042">
        <f t="shared" si="1445"/>
        <v>33020.416000000005</v>
      </c>
      <c r="AA721" s="1349">
        <f t="shared" si="1445"/>
        <v>33020.416000000005</v>
      </c>
      <c r="AB721" s="1042">
        <f t="shared" si="1445"/>
        <v>35704.980000000003</v>
      </c>
      <c r="AC721" s="1042">
        <f t="shared" si="1445"/>
        <v>34679.644999999997</v>
      </c>
      <c r="AD721" s="1042">
        <f t="shared" si="1445"/>
        <v>41700.480000000003</v>
      </c>
      <c r="AE721" s="1042">
        <f t="shared" si="1445"/>
        <v>35020.514999999999</v>
      </c>
      <c r="AF721" s="1349">
        <f t="shared" si="1445"/>
        <v>35020.514999999999</v>
      </c>
      <c r="AG721" s="1042">
        <f t="shared" si="1445"/>
        <v>42208.695</v>
      </c>
      <c r="AH721" s="1042">
        <f t="shared" si="1445"/>
        <v>46950.882000000005</v>
      </c>
      <c r="AI721" s="1042">
        <f t="shared" si="1446" ref="AI721:BJ721">INDEX(MO_VA_StockPrice,0,COLUMN())*INDEX(MO_SCA_ShareCount_EoP_Diluted,0,COLUMN())</f>
        <v>45303.959999999999</v>
      </c>
      <c r="AJ721" s="1042">
        <f t="shared" si="1446"/>
        <v>42480.767999999996</v>
      </c>
      <c r="AK721" s="1349">
        <f t="shared" si="1446"/>
        <v>42480.767999999996</v>
      </c>
      <c r="AL721" s="1042">
        <f t="shared" si="1446"/>
        <v>44755.749999999993</v>
      </c>
      <c r="AM721" s="1042">
        <f t="shared" si="1446"/>
        <v>46083.520000000011</v>
      </c>
      <c r="AN721" s="1042">
        <f t="shared" si="1446"/>
        <v>55492.010000000046</v>
      </c>
      <c r="AO721" s="1042">
        <f t="shared" si="1446"/>
        <v>57267.338999999993</v>
      </c>
      <c r="AP721" s="1349">
        <f t="shared" si="1446"/>
        <v>57267.338999999993</v>
      </c>
      <c r="AQ721" s="1042">
        <f t="shared" si="1446"/>
        <v>56106.959999999999</v>
      </c>
      <c r="AR721" s="1042">
        <f t="shared" si="1446"/>
        <v>57813.811999999991</v>
      </c>
      <c r="AS721" s="1042">
        <f t="shared" si="1446"/>
        <v>53535.635999999999</v>
      </c>
      <c r="AT721" s="1042">
        <f t="shared" si="1446"/>
        <v>60490.350000000013</v>
      </c>
      <c r="AU721" s="1351">
        <f t="shared" si="1446"/>
        <v>60490.350000000013</v>
      </c>
      <c r="AV721" s="1042">
        <f t="shared" si="1446"/>
        <v>68755.356000000014</v>
      </c>
      <c r="AW721" s="1042">
        <f t="shared" si="1446"/>
        <v>66683.952000000005</v>
      </c>
      <c r="AX721" s="1042">
        <f t="shared" si="1446"/>
        <v>69577.803</v>
      </c>
      <c r="AY721" s="1042">
        <f t="shared" si="1446"/>
        <v>76204.625</v>
      </c>
      <c r="AZ721" s="1351">
        <f t="shared" si="1446"/>
        <v>76204.625</v>
      </c>
      <c r="BA721" s="1047">
        <f t="shared" si="1446"/>
        <v>84476.625</v>
      </c>
      <c r="BB721" s="1047">
        <f t="shared" si="1446"/>
        <v>77614.625000000015</v>
      </c>
      <c r="BC721" s="1047">
        <f t="shared" si="1446"/>
        <v>81866.610000000015</v>
      </c>
      <c r="BD721" s="1047">
        <f t="shared" si="1446"/>
        <v>93624.784000000029</v>
      </c>
      <c r="BE721" s="1351">
        <f t="shared" si="1446"/>
        <v>93624.784000000029</v>
      </c>
      <c r="BF721" s="1047">
        <f>INDEX(MO_VA_StockPrice,0,COLUMN())*INDEX(MO_SCA_ShareCount_EoP_Diluted,0,COLUMN())</f>
        <v>121527.432</v>
      </c>
      <c r="BG721" s="1047">
        <f>INDEX(MO_VA_StockPrice,0,COLUMN())*INDEX(MO_SCA_ShareCount_EoP_Diluted,0,COLUMN())</f>
        <v>122071.16700000002</v>
      </c>
      <c r="BH721" s="1048">
        <f>INDEX(MO_VA_StockPrice,0,COLUMN())*INDEX(MO_SCA_ShareCount_EoP_Diluted,0,COLUMN())</f>
        <v>147596.57999999999</v>
      </c>
      <c r="BI721" s="1044">
        <f ca="1">INDEX(MO_VA_StockPrice,0,COLUMN())*INDEX(MO_SCA_ShareCount_EoP_Diluted,0,COLUMN())</f>
        <v>151597.71749999997</v>
      </c>
      <c r="BJ721" s="1350">
        <f t="shared" ca="1" si="1446"/>
        <v>151597.71749999997</v>
      </c>
      <c r="BK721" s="1044">
        <f ca="1" t="shared" si="1447" ref="BK721:BR721">INDEX(MO_VA_StockPrice,0,COLUMN())*INDEX(MO_SCA_ShareCount_EoP_Diluted,0,COLUMN())</f>
        <v>151597.71749999997</v>
      </c>
      <c r="BL721" s="1044">
        <f t="shared" ca="1" si="1447"/>
        <v>151597.71749999997</v>
      </c>
      <c r="BM721" s="1044">
        <f t="shared" ca="1" si="1447"/>
        <v>151597.71749999997</v>
      </c>
      <c r="BN721" s="1044">
        <f t="shared" ca="1" si="1447"/>
        <v>151597.71749999997</v>
      </c>
      <c r="BO721" s="1350">
        <f t="shared" ca="1" si="1447"/>
        <v>151597.71749999997</v>
      </c>
      <c r="BP721" s="1351">
        <f t="shared" ca="1" si="1447"/>
        <v>151597.71749999997</v>
      </c>
      <c r="BQ721" s="1351">
        <f t="shared" ca="1" si="1447"/>
        <v>151597.71749999997</v>
      </c>
      <c r="BR721" s="1350">
        <f t="shared" ca="1" si="1447"/>
        <v>151597.71749999997</v>
      </c>
      <c r="BS721" s="648"/>
    </row>
    <row r="722" spans="1:71" s="693" customFormat="1" ht="15">
      <c r="A722" s="432"/>
      <c r="B722" s="433"/>
      <c r="C722" s="1482"/>
      <c r="D722" s="1482"/>
      <c r="E722" s="1482"/>
      <c r="F722" s="1482"/>
      <c r="G722" s="1482"/>
      <c r="H722" s="434"/>
      <c r="I722" s="434"/>
      <c r="J722" s="434"/>
      <c r="K722" s="434"/>
      <c r="L722" s="1482"/>
      <c r="M722" s="434"/>
      <c r="N722" s="434"/>
      <c r="O722" s="434"/>
      <c r="P722" s="434"/>
      <c r="Q722" s="1482"/>
      <c r="R722" s="434"/>
      <c r="S722" s="435"/>
      <c r="T722" s="434"/>
      <c r="U722" s="434"/>
      <c r="V722" s="1482"/>
      <c r="W722" s="434"/>
      <c r="X722" s="435"/>
      <c r="Y722" s="434"/>
      <c r="Z722" s="434"/>
      <c r="AA722" s="1482"/>
      <c r="AB722" s="434"/>
      <c r="AC722" s="435"/>
      <c r="AD722" s="434"/>
      <c r="AE722" s="434"/>
      <c r="AF722" s="1482"/>
      <c r="AG722" s="434"/>
      <c r="AH722" s="435"/>
      <c r="AI722" s="434"/>
      <c r="AJ722" s="434"/>
      <c r="AK722" s="1482"/>
      <c r="AL722" s="435"/>
      <c r="AM722" s="435"/>
      <c r="AN722" s="435"/>
      <c r="AO722" s="434"/>
      <c r="AP722" s="1482"/>
      <c r="AQ722" s="435"/>
      <c r="AR722" s="435"/>
      <c r="AS722" s="435"/>
      <c r="AT722" s="435"/>
      <c r="AU722" s="1482"/>
      <c r="AV722" s="435"/>
      <c r="AW722" s="435"/>
      <c r="AX722" s="435"/>
      <c r="AY722" s="435"/>
      <c r="AZ722" s="1482"/>
      <c r="BA722" s="435"/>
      <c r="BB722" s="435"/>
      <c r="BC722" s="435"/>
      <c r="BD722" s="435"/>
      <c r="BE722" s="1482"/>
      <c r="BF722" s="435"/>
      <c r="BG722" s="435"/>
      <c r="BH722" s="842"/>
      <c r="BI722" s="939"/>
      <c r="BJ722" s="1483"/>
      <c r="BK722" s="939"/>
      <c r="BL722" s="939"/>
      <c r="BM722" s="939"/>
      <c r="BN722" s="939"/>
      <c r="BO722" s="1483"/>
      <c r="BP722" s="1482"/>
      <c r="BQ722" s="1482"/>
      <c r="BR722" s="1483"/>
      <c r="BS722" s="648"/>
    </row>
    <row r="723" spans="1:71" s="693" customFormat="1" ht="15">
      <c r="A723" s="101" t="str">
        <f>"P/E - "&amp;MO.ValuationToggle</f>
        <v>P/E - EoP</v>
      </c>
      <c r="B723" s="433"/>
      <c r="C723" s="1484">
        <f>C720/C643</f>
        <v>11.473484633569736</v>
      </c>
      <c r="D723" s="1484">
        <f>D720/D643</f>
        <v>12.337144060657112</v>
      </c>
      <c r="E723" s="1484">
        <f>E720/E643</f>
        <v>12.236257016248139</v>
      </c>
      <c r="F723" s="1484">
        <f>F720/F643</f>
        <v>14.044807713620784</v>
      </c>
      <c r="G723" s="1484">
        <f>G720/G643</f>
        <v>14.067080830616074</v>
      </c>
      <c r="H723" s="434"/>
      <c r="I723" s="434"/>
      <c r="J723" s="434"/>
      <c r="K723" s="434"/>
      <c r="L723" s="1484">
        <f>L720/L643</f>
        <v>12.638919594067119</v>
      </c>
      <c r="M723" s="434"/>
      <c r="N723" s="434"/>
      <c r="O723" s="434"/>
      <c r="P723" s="434"/>
      <c r="Q723" s="1484">
        <f>Q720/Q643</f>
        <v>15.022833701483126</v>
      </c>
      <c r="R723" s="434"/>
      <c r="S723" s="435"/>
      <c r="T723" s="434"/>
      <c r="U723" s="434"/>
      <c r="V723" s="1484">
        <f>V720/V643</f>
        <v>20.143064985450952</v>
      </c>
      <c r="W723" s="434"/>
      <c r="X723" s="435"/>
      <c r="Y723" s="434"/>
      <c r="Z723" s="434"/>
      <c r="AA723" s="1484">
        <f>AA720/AA643</f>
        <v>20.717638487627188</v>
      </c>
      <c r="AB723" s="434"/>
      <c r="AC723" s="435"/>
      <c r="AD723" s="434"/>
      <c r="AE723" s="434"/>
      <c r="AF723" s="1484">
        <f>AF720/AF643</f>
        <v>13.491906010254832</v>
      </c>
      <c r="AG723" s="434"/>
      <c r="AH723" s="435"/>
      <c r="AI723" s="434"/>
      <c r="AJ723" s="434"/>
      <c r="AK723" s="1484">
        <f>AK720/AK643</f>
        <v>10.768956737840455</v>
      </c>
      <c r="AL723" s="435"/>
      <c r="AM723" s="435"/>
      <c r="AN723" s="435"/>
      <c r="AO723" s="434"/>
      <c r="AP723" s="1484">
        <f>AP720/AP643</f>
        <v>10.081215280835551</v>
      </c>
      <c r="AQ723" s="435"/>
      <c r="AR723" s="435"/>
      <c r="AS723" s="435"/>
      <c r="AT723" s="435"/>
      <c r="AU723" s="1482">
        <f>AU720/AU643</f>
        <v>18.201159747292447</v>
      </c>
      <c r="AV723" s="435"/>
      <c r="AW723" s="435"/>
      <c r="AX723" s="435"/>
      <c r="AY723" s="435"/>
      <c r="AZ723" s="1482">
        <f>AZ720/AZ643</f>
        <v>109.63538871292711</v>
      </c>
      <c r="BA723" s="435"/>
      <c r="BB723" s="435"/>
      <c r="BC723" s="435"/>
      <c r="BD723" s="435"/>
      <c r="BE723" s="1482">
        <f>BE720/BE643</f>
        <v>24.212637135168698</v>
      </c>
      <c r="BF723" s="435"/>
      <c r="BG723" s="435"/>
      <c r="BH723" s="842"/>
      <c r="BI723" s="939"/>
      <c r="BJ723" s="1483">
        <f ca="1">BJ720/BJ643</f>
        <v>19.537220014267927</v>
      </c>
      <c r="BK723" s="939"/>
      <c r="BL723" s="939"/>
      <c r="BM723" s="939"/>
      <c r="BN723" s="939"/>
      <c r="BO723" s="1483">
        <f ca="1">BO720/BO643</f>
        <v>22.010858207003448</v>
      </c>
      <c r="BP723" s="1482">
        <f ca="1">BP720/BP643</f>
        <v>20.406206624641502</v>
      </c>
      <c r="BQ723" s="1482">
        <f ca="1">BQ720/BQ643</f>
        <v>19.316677471610781</v>
      </c>
      <c r="BR723" s="1483">
        <f ca="1">BR720/BR643</f>
        <v>18.289665761834232</v>
      </c>
      <c r="BS723" s="648"/>
    </row>
    <row r="724" spans="1:71" s="693" customFormat="1" ht="15">
      <c r="A724" s="101" t="str">
        <f>"P/B - "&amp;MO.ValuationToggle</f>
        <v>P/B - EoP</v>
      </c>
      <c r="B724" s="433"/>
      <c r="C724" s="1484">
        <f>C720/C688</f>
        <v>2.1118933761780534</v>
      </c>
      <c r="D724" s="1484">
        <f>D720/D688</f>
        <v>2.1759144124270011</v>
      </c>
      <c r="E724" s="1484">
        <f>E720/E688</f>
        <v>2.0596259060612119</v>
      </c>
      <c r="F724" s="1484">
        <f>F720/F688</f>
        <v>2.0985366104054206</v>
      </c>
      <c r="G724" s="1484">
        <f>G720/G688</f>
        <v>2.614416078928413</v>
      </c>
      <c r="H724" s="434"/>
      <c r="I724" s="434"/>
      <c r="J724" s="434"/>
      <c r="K724" s="434"/>
      <c r="L724" s="1484">
        <f>L720/L688</f>
        <v>2.3092566323046677</v>
      </c>
      <c r="M724" s="434"/>
      <c r="N724" s="434"/>
      <c r="O724" s="434"/>
      <c r="P724" s="434"/>
      <c r="Q724" s="1484">
        <f>Q720/Q688</f>
        <v>2.5875864383569978</v>
      </c>
      <c r="R724" s="434"/>
      <c r="S724" s="435"/>
      <c r="T724" s="434"/>
      <c r="U724" s="434"/>
      <c r="V724" s="1484">
        <f>V720/V688</f>
        <v>2.5871799476209021</v>
      </c>
      <c r="W724" s="434"/>
      <c r="X724" s="435"/>
      <c r="Y724" s="434"/>
      <c r="Z724" s="434"/>
      <c r="AA724" s="1484">
        <f>AA720/AA688</f>
        <v>3.5284921985989781</v>
      </c>
      <c r="AB724" s="434"/>
      <c r="AC724" s="435"/>
      <c r="AD724" s="434"/>
      <c r="AE724" s="434"/>
      <c r="AF724" s="1484">
        <f>AF720/AF688</f>
        <v>3.3683401661040624</v>
      </c>
      <c r="AG724" s="434"/>
      <c r="AH724" s="435"/>
      <c r="AI724" s="434"/>
      <c r="AJ724" s="434"/>
      <c r="AK724" s="1484">
        <f>AK720/AK688</f>
        <v>3.2079299745082235</v>
      </c>
      <c r="AL724" s="435"/>
      <c r="AM724" s="435"/>
      <c r="AN724" s="435"/>
      <c r="AO724" s="434"/>
      <c r="AP724" s="1484">
        <f>AP720/AP688</f>
        <v>3.4454738814085646</v>
      </c>
      <c r="AQ724" s="435"/>
      <c r="AR724" s="435"/>
      <c r="AS724" s="435"/>
      <c r="AT724" s="435"/>
      <c r="AU724" s="1482">
        <f>AU720/AU688</f>
        <v>3.3951650938151161</v>
      </c>
      <c r="AV724" s="435"/>
      <c r="AW724" s="435"/>
      <c r="AX724" s="435"/>
      <c r="AY724" s="435"/>
      <c r="AZ724" s="1482">
        <f>AZ720/AZ688</f>
        <v>4.9273810549928934</v>
      </c>
      <c r="BA724" s="435"/>
      <c r="BB724" s="435"/>
      <c r="BC724" s="435"/>
      <c r="BD724" s="435"/>
      <c r="BE724" s="1482">
        <f>BE720/BE688</f>
        <v>4.7124116751951908</v>
      </c>
      <c r="BF724" s="435"/>
      <c r="BG724" s="435"/>
      <c r="BH724" s="842"/>
      <c r="BI724" s="939"/>
      <c r="BJ724" s="1483">
        <f ca="1">BJ720/BJ688</f>
        <v>5.2463726121338796</v>
      </c>
      <c r="BK724" s="939"/>
      <c r="BL724" s="939"/>
      <c r="BM724" s="939"/>
      <c r="BN724" s="939"/>
      <c r="BO724" s="1483">
        <f ca="1">BO720/BO688</f>
        <v>4.2545000631979137</v>
      </c>
      <c r="BP724" s="1482">
        <f ca="1">BP720/BP688</f>
        <v>3.5345776336896337</v>
      </c>
      <c r="BQ724" s="1482">
        <f ca="1">BQ720/BQ688</f>
        <v>2.9978617736346824</v>
      </c>
      <c r="BR724" s="1483">
        <f ca="1">BR720/BR688</f>
        <v>2.5830154067690532</v>
      </c>
      <c r="BS724" s="648"/>
    </row>
    <row r="725" spans="1:71" s="693" customFormat="1" ht="15" hidden="1" outlineLevel="1">
      <c r="A725" s="432"/>
      <c r="B725" s="433"/>
      <c r="C725" s="1482"/>
      <c r="D725" s="1482"/>
      <c r="E725" s="1482"/>
      <c r="F725" s="1482"/>
      <c r="G725" s="1482"/>
      <c r="H725" s="434"/>
      <c r="I725" s="434"/>
      <c r="J725" s="434"/>
      <c r="K725" s="434"/>
      <c r="L725" s="1482"/>
      <c r="M725" s="434"/>
      <c r="N725" s="434"/>
      <c r="O725" s="434"/>
      <c r="P725" s="434"/>
      <c r="Q725" s="1482"/>
      <c r="R725" s="434"/>
      <c r="S725" s="435"/>
      <c r="T725" s="434"/>
      <c r="U725" s="434"/>
      <c r="V725" s="1482"/>
      <c r="W725" s="434"/>
      <c r="X725" s="435"/>
      <c r="Y725" s="434"/>
      <c r="Z725" s="434"/>
      <c r="AA725" s="1482"/>
      <c r="AB725" s="434"/>
      <c r="AC725" s="435"/>
      <c r="AD725" s="434"/>
      <c r="AE725" s="434"/>
      <c r="AF725" s="1482"/>
      <c r="AG725" s="434"/>
      <c r="AH725" s="435"/>
      <c r="AI725" s="434"/>
      <c r="AJ725" s="434"/>
      <c r="AK725" s="1482"/>
      <c r="AL725" s="435"/>
      <c r="AM725" s="435"/>
      <c r="AN725" s="435"/>
      <c r="AO725" s="434"/>
      <c r="AP725" s="1482"/>
      <c r="AQ725" s="435"/>
      <c r="AR725" s="435"/>
      <c r="AS725" s="435"/>
      <c r="AT725" s="435"/>
      <c r="AU725" s="1482"/>
      <c r="AV725" s="435"/>
      <c r="AW725" s="435"/>
      <c r="AX725" s="435"/>
      <c r="AY725" s="435"/>
      <c r="AZ725" s="1482"/>
      <c r="BA725" s="435"/>
      <c r="BB725" s="435"/>
      <c r="BC725" s="435"/>
      <c r="BD725" s="435"/>
      <c r="BE725" s="1482"/>
      <c r="BF725" s="435"/>
      <c r="BG725" s="435"/>
      <c r="BH725" s="842"/>
      <c r="BI725" s="939"/>
      <c r="BJ725" s="1483"/>
      <c r="BK725" s="939"/>
      <c r="BL725" s="939"/>
      <c r="BM725" s="939"/>
      <c r="BN725" s="939"/>
      <c r="BO725" s="1483"/>
      <c r="BP725" s="1482"/>
      <c r="BQ725" s="1482"/>
      <c r="BR725" s="1483"/>
      <c r="BS725" s="648"/>
    </row>
    <row r="726" spans="1:71" s="694" customFormat="1" ht="15" hidden="1" outlineLevel="1">
      <c r="A726" s="180" t="str">
        <f ca="1">"Stock High, "&amp;HP.TradeCurrency</f>
        <v>Stock High, USD</v>
      </c>
      <c r="B726" s="436"/>
      <c r="C726" s="1485">
        <f ca="1" t="shared" si="1448" ref="C726:AU726">IF(INDEX(MO_SNA_IsHistoricalPeriod,1,COLUMN())=FALSE,0,INDEX(MO_SPT_StockHigh,1,COLUMN()))</f>
        <v>18.10</v>
      </c>
      <c r="D726" s="1485">
        <f t="shared" ca="1" si="1448"/>
        <v>22.13</v>
      </c>
      <c r="E726" s="1485">
        <f t="shared" ca="1" si="1448"/>
        <v>22.08</v>
      </c>
      <c r="F726" s="1485">
        <f t="shared" ca="1" si="1448"/>
        <v>23.41</v>
      </c>
      <c r="G726" s="1485">
        <f t="shared" ca="1" si="1448"/>
        <v>28.54</v>
      </c>
      <c r="H726" s="218">
        <f t="shared" ca="1" si="1448"/>
        <v>27.30</v>
      </c>
      <c r="I726" s="218">
        <f t="shared" ca="1" si="1448"/>
        <v>26.03</v>
      </c>
      <c r="J726" s="218">
        <f t="shared" ca="1" si="1448"/>
        <v>25.63</v>
      </c>
      <c r="K726" s="218">
        <f t="shared" ca="1" si="1448"/>
        <v>27.52</v>
      </c>
      <c r="L726" s="1485">
        <f t="shared" ca="1" si="1448"/>
        <v>27.52</v>
      </c>
      <c r="M726" s="218">
        <f t="shared" ca="1" si="1448"/>
        <v>27.90</v>
      </c>
      <c r="N726" s="218">
        <f t="shared" ca="1" si="1448"/>
        <v>28.50</v>
      </c>
      <c r="O726" s="218">
        <f t="shared" ca="1" si="1448"/>
        <v>31.70</v>
      </c>
      <c r="P726" s="218">
        <f t="shared" ca="1" si="1448"/>
        <v>33.950000000000003</v>
      </c>
      <c r="Q726" s="1485">
        <f t="shared" ca="1" si="1448"/>
        <v>33.950000000000003</v>
      </c>
      <c r="R726" s="218">
        <f t="shared" ca="1" si="1448"/>
        <v>35.270000000000003</v>
      </c>
      <c r="S726" s="218">
        <f t="shared" ca="1" si="1448"/>
        <v>35.54</v>
      </c>
      <c r="T726" s="218">
        <f t="shared" ca="1" si="1448"/>
        <v>34.29</v>
      </c>
      <c r="U726" s="218">
        <f t="shared" ca="1" si="1448"/>
        <v>35.950000000000003</v>
      </c>
      <c r="V726" s="1485">
        <f t="shared" ca="1" si="1448"/>
        <v>35.950000000000003</v>
      </c>
      <c r="W726" s="218">
        <f t="shared" ca="1" si="1448"/>
        <v>40.74</v>
      </c>
      <c r="X726" s="218">
        <f t="shared" ca="1" si="1448"/>
        <v>45.03</v>
      </c>
      <c r="Y726" s="218">
        <f t="shared" ca="1" si="1448"/>
        <v>49.01</v>
      </c>
      <c r="Z726" s="218">
        <f t="shared" ca="1" si="1448"/>
        <v>57.18</v>
      </c>
      <c r="AA726" s="1485">
        <f t="shared" ca="1" si="1448"/>
        <v>57.18</v>
      </c>
      <c r="AB726" s="218">
        <f t="shared" ca="1" si="1448"/>
        <v>62.33</v>
      </c>
      <c r="AC726" s="218">
        <f t="shared" ca="1" si="1448"/>
        <v>63</v>
      </c>
      <c r="AD726" s="218">
        <f t="shared" ca="1" si="1448"/>
        <v>71.20</v>
      </c>
      <c r="AE726" s="218">
        <f t="shared" ca="1" si="1448"/>
        <v>73.459999999999994</v>
      </c>
      <c r="AF726" s="1485">
        <f t="shared" ca="1" si="1448"/>
        <v>73.459999999999994</v>
      </c>
      <c r="AG726" s="218">
        <f t="shared" ca="1" si="1448"/>
        <v>73.61</v>
      </c>
      <c r="AH726" s="218">
        <f t="shared" ca="1" si="1448"/>
        <v>83.34</v>
      </c>
      <c r="AI726" s="218">
        <f t="shared" ca="1" si="1448"/>
        <v>84.39</v>
      </c>
      <c r="AJ726" s="218">
        <f t="shared" ca="1" si="1448"/>
        <v>76.900000000000006</v>
      </c>
      <c r="AK726" s="1485">
        <f t="shared" ca="1" si="1448"/>
        <v>84.39</v>
      </c>
      <c r="AL726" s="218">
        <f t="shared" ca="1" si="1448"/>
        <v>83.86</v>
      </c>
      <c r="AM726" s="218">
        <f t="shared" ca="1" si="1448"/>
        <v>82.96</v>
      </c>
      <c r="AN726" s="218">
        <f t="shared" ca="1" si="1448"/>
        <v>97.36</v>
      </c>
      <c r="AO726" s="218">
        <f ca="1">IF(INDEX(MO_SNA_IsHistoricalPeriod,1,COLUMN())=FALSE,0,INDEX(MO_SPT_StockHigh,1,COLUMN()))</f>
        <v>101.38</v>
      </c>
      <c r="AP726" s="1485">
        <f ca="1">IF(INDEX(MO_SNA_IsHistoricalPeriod,1,COLUMN())=FALSE,0,INDEX(MO_SPT_StockHigh,1,COLUMN()))</f>
        <v>101.38</v>
      </c>
      <c r="AQ726" s="218">
        <f t="shared" ca="1" si="1448"/>
        <v>98.79</v>
      </c>
      <c r="AR726" s="218">
        <f t="shared" ca="1" si="1448"/>
        <v>107.09999999999999</v>
      </c>
      <c r="AS726" s="218">
        <f ca="1">IF(INDEX(MO_SNA_IsHistoricalPeriod,1,COLUMN())=FALSE,0,INDEX(MO_SPT_StockHigh,1,COLUMN()))</f>
        <v>99.88</v>
      </c>
      <c r="AT726" s="218">
        <f t="shared" ca="1" si="1448"/>
        <v>103.97</v>
      </c>
      <c r="AU726" s="1486">
        <f t="shared" ca="1" si="1448"/>
        <v>107.09999999999999</v>
      </c>
      <c r="AV726" s="218">
        <f ca="1" t="shared" si="1449" ref="AV726:BJ726">IF(INDEX(MO_SNA_IsHistoricalPeriod,1,COLUMN())=FALSE,0,INDEX(MO_SPT_StockHigh,1,COLUMN()))</f>
        <v>117.17</v>
      </c>
      <c r="AW726" s="218">
        <f t="shared" ca="1" si="1449"/>
        <v>121.19</v>
      </c>
      <c r="AX726" s="218">
        <f t="shared" ca="1" si="1449"/>
        <v>129.22</v>
      </c>
      <c r="AY726" s="218">
        <f t="shared" ca="1" si="1449"/>
        <v>132.50999999999999</v>
      </c>
      <c r="AZ726" s="1486">
        <f t="shared" ca="1" si="1449"/>
        <v>132.50999999999999</v>
      </c>
      <c r="BA726" s="717">
        <f t="shared" ca="1" si="1449"/>
        <v>145.63999999999999</v>
      </c>
      <c r="BB726" s="717">
        <f t="shared" ca="1" si="1449"/>
        <v>132.77000000000001</v>
      </c>
      <c r="BC726" s="717">
        <f t="shared" ca="1" si="1449"/>
        <v>143.25999999999999</v>
      </c>
      <c r="BD726" s="717">
        <f t="shared" ca="1" si="1449"/>
        <v>165.13</v>
      </c>
      <c r="BE726" s="1486">
        <f t="shared" ca="1" si="1449"/>
        <v>165.13</v>
      </c>
      <c r="BF726" s="717">
        <f ca="1">IF(INDEX(MO_SNA_IsHistoricalPeriod,1,COLUMN())=FALSE,0,INDEX(MO_SPT_StockHigh,1,COLUMN()))</f>
        <v>206.82</v>
      </c>
      <c r="BG726" s="717">
        <f ca="1">IF(INDEX(MO_SNA_IsHistoricalPeriod,1,COLUMN())=FALSE,0,INDEX(MO_SPT_StockHigh,1,COLUMN()))</f>
        <v>215.90</v>
      </c>
      <c r="BH726" s="843">
        <f ca="1">IF(INDEX(MO_SNA_IsHistoricalPeriod,1,COLUMN())=FALSE,0,INDEX(MO_SPT_StockHigh,1,COLUMN()))</f>
        <v>259.24</v>
      </c>
      <c r="BI726" s="660">
        <f>IF(INDEX(MO_SNA_IsHistoricalPeriod,1,COLUMN())=FALSE,0,INDEX(MO_SPT_StockHigh,1,COLUMN()))</f>
        <v>0</v>
      </c>
      <c r="BJ726" s="1487">
        <f t="shared" si="1449"/>
        <v>0</v>
      </c>
      <c r="BK726" s="660">
        <f t="shared" si="1450" ref="BK726:BR726">IF(INDEX(MO_SNA_IsHistoricalPeriod,1,COLUMN())=FALSE,0,INDEX(MO_SPT_StockHigh,1,COLUMN()))</f>
        <v>0</v>
      </c>
      <c r="BL726" s="660">
        <f t="shared" si="1450"/>
        <v>0</v>
      </c>
      <c r="BM726" s="660">
        <f t="shared" si="1450"/>
        <v>0</v>
      </c>
      <c r="BN726" s="660">
        <f t="shared" si="1450"/>
        <v>0</v>
      </c>
      <c r="BO726" s="1487">
        <f t="shared" si="1450"/>
        <v>0</v>
      </c>
      <c r="BP726" s="1486">
        <f t="shared" si="1450"/>
        <v>0</v>
      </c>
      <c r="BQ726" s="1486">
        <f t="shared" si="1450"/>
        <v>0</v>
      </c>
      <c r="BR726" s="1487">
        <f t="shared" si="1450"/>
        <v>0</v>
      </c>
      <c r="BS726" s="648"/>
    </row>
    <row r="727" spans="1:71" s="694" customFormat="1" ht="15" hidden="1" outlineLevel="1">
      <c r="A727" s="180" t="str">
        <f ca="1">"Stock Low, "&amp;HP.TradeCurrency</f>
        <v>Stock Low, USD</v>
      </c>
      <c r="B727" s="436"/>
      <c r="C727" s="1485">
        <f ca="1" t="shared" si="1451" ref="C727:AU727">IF(INDEX(MO_SNA_IsHistoricalPeriod,1,COLUMN())=FALSE,0,INDEX(MO_SPT_StockLow,1,COLUMN()))</f>
        <v>9.76</v>
      </c>
      <c r="D727" s="1485">
        <f t="shared" ca="1" si="1451"/>
        <v>16.18</v>
      </c>
      <c r="E727" s="1485">
        <f t="shared" ca="1" si="1451"/>
        <v>16.88</v>
      </c>
      <c r="F727" s="1485">
        <f t="shared" ca="1" si="1451"/>
        <v>19.010000000000002</v>
      </c>
      <c r="G727" s="1485">
        <f t="shared" ca="1" si="1451"/>
        <v>21.36</v>
      </c>
      <c r="H727" s="218">
        <f t="shared" ca="1" si="1451"/>
        <v>22.53</v>
      </c>
      <c r="I727" s="218">
        <f t="shared" ca="1" si="1451"/>
        <v>23.40</v>
      </c>
      <c r="J727" s="218">
        <f t="shared" ca="1" si="1451"/>
        <v>23.20</v>
      </c>
      <c r="K727" s="218">
        <f t="shared" ca="1" si="1451"/>
        <v>24.16</v>
      </c>
      <c r="L727" s="1485">
        <f t="shared" ca="1" si="1451"/>
        <v>22.53</v>
      </c>
      <c r="M727" s="218">
        <f t="shared" ca="1" si="1451"/>
        <v>25.23</v>
      </c>
      <c r="N727" s="218">
        <f t="shared" ca="1" si="1451"/>
        <v>26.44</v>
      </c>
      <c r="O727" s="218">
        <f t="shared" ca="1" si="1451"/>
        <v>27.23</v>
      </c>
      <c r="P727" s="218">
        <f t="shared" ca="1" si="1451"/>
        <v>30.09</v>
      </c>
      <c r="Q727" s="1485">
        <f t="shared" ca="1" si="1451"/>
        <v>25.23</v>
      </c>
      <c r="R727" s="218">
        <f t="shared" ca="1" si="1451"/>
        <v>29.32</v>
      </c>
      <c r="S727" s="218">
        <f t="shared" ca="1" si="1451"/>
        <v>31.14</v>
      </c>
      <c r="T727" s="218">
        <f t="shared" ca="1" si="1451"/>
        <v>30.54</v>
      </c>
      <c r="U727" s="218">
        <f t="shared" ca="1" si="1451"/>
        <v>30.66</v>
      </c>
      <c r="V727" s="1485">
        <f t="shared" ca="1" si="1451"/>
        <v>29.32</v>
      </c>
      <c r="W727" s="218">
        <f t="shared" ca="1" si="1451"/>
        <v>35.229999999999997</v>
      </c>
      <c r="X727" s="218">
        <f t="shared" ca="1" si="1451"/>
        <v>38.61</v>
      </c>
      <c r="Y727" s="218">
        <f t="shared" ca="1" si="1451"/>
        <v>43.59</v>
      </c>
      <c r="Z727" s="218">
        <f t="shared" ca="1" si="1451"/>
        <v>47.89</v>
      </c>
      <c r="AA727" s="1485">
        <f t="shared" ca="1" si="1451"/>
        <v>35.229999999999997</v>
      </c>
      <c r="AB727" s="218">
        <f t="shared" ca="1" si="1451"/>
        <v>51.07</v>
      </c>
      <c r="AC727" s="218">
        <f t="shared" ca="1" si="1451"/>
        <v>58.71</v>
      </c>
      <c r="AD727" s="218">
        <f t="shared" ca="1" si="1451"/>
        <v>58.42</v>
      </c>
      <c r="AE727" s="218">
        <f t="shared" ca="1" si="1451"/>
        <v>57.07</v>
      </c>
      <c r="AF727" s="1485">
        <f t="shared" ca="1" si="1451"/>
        <v>51.07</v>
      </c>
      <c r="AG727" s="218">
        <f t="shared" ca="1" si="1451"/>
        <v>58.23</v>
      </c>
      <c r="AH727" s="218">
        <f t="shared" ca="1" si="1451"/>
        <v>71.53</v>
      </c>
      <c r="AI727" s="218">
        <f t="shared" ca="1" si="1451"/>
        <v>72.680000000000007</v>
      </c>
      <c r="AJ727" s="218">
        <f t="shared" ca="1" si="1451"/>
        <v>68.400000000000006</v>
      </c>
      <c r="AK727" s="1485">
        <f t="shared" ca="1" si="1451"/>
        <v>58.23</v>
      </c>
      <c r="AL727" s="218">
        <f t="shared" ca="1" si="1451"/>
        <v>66.55</v>
      </c>
      <c r="AM727" s="218">
        <f t="shared" ca="1" si="1451"/>
        <v>72.19</v>
      </c>
      <c r="AN727" s="218">
        <f t="shared" ca="1" si="1451"/>
        <v>77.370000000000005</v>
      </c>
      <c r="AO727" s="218">
        <f ca="1">IF(INDEX(MO_SNA_IsHistoricalPeriod,1,COLUMN())=FALSE,0,INDEX(MO_SPT_StockLow,1,COLUMN()))</f>
        <v>87.11</v>
      </c>
      <c r="AP727" s="1485">
        <f ca="1">IF(INDEX(MO_SNA_IsHistoricalPeriod,1,COLUMN())=FALSE,0,INDEX(MO_SPT_StockLow,1,COLUMN()))</f>
        <v>66.55</v>
      </c>
      <c r="AQ727" s="218">
        <f t="shared" ca="1" si="1451"/>
        <v>85.13</v>
      </c>
      <c r="AR727" s="218">
        <f t="shared" ca="1" si="1451"/>
        <v>91.84</v>
      </c>
      <c r="AS727" s="218">
        <f ca="1">IF(INDEX(MO_SNA_IsHistoricalPeriod,1,COLUMN())=FALSE,0,INDEX(MO_SPT_StockLow,1,COLUMN()))</f>
        <v>90.35</v>
      </c>
      <c r="AT727" s="218">
        <f t="shared" ca="1" si="1451"/>
        <v>90.01</v>
      </c>
      <c r="AU727" s="1486">
        <f t="shared" ca="1" si="1451"/>
        <v>85.13</v>
      </c>
      <c r="AV727" s="218">
        <f ca="1" t="shared" si="1452" ref="AV727:BJ727">IF(INDEX(MO_SNA_IsHistoricalPeriod,1,COLUMN())=FALSE,0,INDEX(MO_SPT_StockLow,1,COLUMN()))</f>
        <v>102</v>
      </c>
      <c r="AW727" s="218">
        <f t="shared" ca="1" si="1452"/>
        <v>106.95</v>
      </c>
      <c r="AX727" s="218">
        <f t="shared" ca="1" si="1452"/>
        <v>110.29000000000001</v>
      </c>
      <c r="AY727" s="218">
        <f t="shared" ca="1" si="1452"/>
        <v>115.89</v>
      </c>
      <c r="AZ727" s="1486">
        <f t="shared" ca="1" si="1452"/>
        <v>102</v>
      </c>
      <c r="BA727" s="717">
        <f t="shared" ca="1" si="1452"/>
        <v>125.92</v>
      </c>
      <c r="BB727" s="717">
        <f t="shared" ca="1" si="1452"/>
        <v>126.93000000000001</v>
      </c>
      <c r="BC727" s="717">
        <f t="shared" ca="1" si="1452"/>
        <v>114.78</v>
      </c>
      <c r="BD727" s="717">
        <f t="shared" ca="1" si="1452"/>
        <v>138.97</v>
      </c>
      <c r="BE727" s="1486">
        <f t="shared" ca="1" si="1452"/>
        <v>114.78</v>
      </c>
      <c r="BF727" s="717">
        <f ca="1">IF(INDEX(MO_SNA_IsHistoricalPeriod,1,COLUMN())=FALSE,0,INDEX(MO_SPT_StockLow,1,COLUMN()))</f>
        <v>161.63</v>
      </c>
      <c r="BG727" s="717">
        <f ca="1">IF(INDEX(MO_SNA_IsHistoricalPeriod,1,COLUMN())=FALSE,0,INDEX(MO_SPT_StockLow,1,COLUMN()))</f>
        <v>202.26</v>
      </c>
      <c r="BH727" s="843">
        <f ca="1">IF(INDEX(MO_SNA_IsHistoricalPeriod,1,COLUMN())=FALSE,0,INDEX(MO_SPT_StockLow,1,COLUMN()))</f>
        <v>209.46</v>
      </c>
      <c r="BI727" s="660">
        <f>IF(INDEX(MO_SNA_IsHistoricalPeriod,1,COLUMN())=FALSE,0,INDEX(MO_SPT_StockLow,1,COLUMN()))</f>
        <v>0</v>
      </c>
      <c r="BJ727" s="1487">
        <f t="shared" si="1452"/>
        <v>0</v>
      </c>
      <c r="BK727" s="660">
        <f t="shared" si="1453" ref="BK727:BR727">IF(INDEX(MO_SNA_IsHistoricalPeriod,1,COLUMN())=FALSE,0,INDEX(MO_SPT_StockLow,1,COLUMN()))</f>
        <v>0</v>
      </c>
      <c r="BL727" s="660">
        <f t="shared" si="1453"/>
        <v>0</v>
      </c>
      <c r="BM727" s="660">
        <f t="shared" si="1453"/>
        <v>0</v>
      </c>
      <c r="BN727" s="660">
        <f t="shared" si="1453"/>
        <v>0</v>
      </c>
      <c r="BO727" s="1487">
        <f t="shared" si="1453"/>
        <v>0</v>
      </c>
      <c r="BP727" s="1486">
        <f t="shared" si="1453"/>
        <v>0</v>
      </c>
      <c r="BQ727" s="1486">
        <f t="shared" si="1453"/>
        <v>0</v>
      </c>
      <c r="BR727" s="1487">
        <f t="shared" si="1453"/>
        <v>0</v>
      </c>
      <c r="BS727" s="648"/>
    </row>
    <row r="728" spans="1:71" s="694" customFormat="1" ht="15" hidden="1" outlineLevel="1">
      <c r="A728" s="180" t="str">
        <f ca="1">"Stock Average, "&amp;HP.TradeCurrency</f>
        <v>Stock Average, USD</v>
      </c>
      <c r="B728" s="436"/>
      <c r="C728" s="1485">
        <f ca="1" t="shared" si="1454" ref="C728:AU728">IF(INDEX(MO_SNA_IsHistoricalPeriod,1,COLUMN())=FALSE,0,INDEX(MO_SPT_StockAverage,1,COLUMN()))</f>
        <v>13.93</v>
      </c>
      <c r="D728" s="1485">
        <f t="shared" ca="1" si="1454"/>
        <v>19.155</v>
      </c>
      <c r="E728" s="1485">
        <f t="shared" ca="1" si="1454"/>
        <v>19.48</v>
      </c>
      <c r="F728" s="1485">
        <f t="shared" ca="1" si="1454"/>
        <v>21.21</v>
      </c>
      <c r="G728" s="1485">
        <f t="shared" ca="1" si="1454"/>
        <v>24.95</v>
      </c>
      <c r="H728" s="218">
        <f t="shared" ca="1" si="1454"/>
        <v>24.915</v>
      </c>
      <c r="I728" s="218">
        <f t="shared" ca="1" si="1454"/>
        <v>24.715</v>
      </c>
      <c r="J728" s="218">
        <f t="shared" ca="1" si="1454"/>
        <v>24.415</v>
      </c>
      <c r="K728" s="218">
        <f t="shared" ca="1" si="1454"/>
        <v>25.84</v>
      </c>
      <c r="L728" s="1485">
        <f t="shared" ca="1" si="1454"/>
        <v>24.97125</v>
      </c>
      <c r="M728" s="218">
        <f t="shared" ca="1" si="1454"/>
        <v>26.565</v>
      </c>
      <c r="N728" s="218">
        <f t="shared" ca="1" si="1454"/>
        <v>27.47</v>
      </c>
      <c r="O728" s="218">
        <f t="shared" ca="1" si="1454"/>
        <v>29.465</v>
      </c>
      <c r="P728" s="218">
        <f t="shared" ca="1" si="1454"/>
        <v>32.020000000000003</v>
      </c>
      <c r="Q728" s="1485">
        <f t="shared" ca="1" si="1454"/>
        <v>28.88</v>
      </c>
      <c r="R728" s="218">
        <f t="shared" ca="1" si="1454"/>
        <v>32.295</v>
      </c>
      <c r="S728" s="218">
        <f t="shared" ca="1" si="1454"/>
        <v>33.340000000000003</v>
      </c>
      <c r="T728" s="218">
        <f t="shared" ca="1" si="1454"/>
        <v>32.415</v>
      </c>
      <c r="U728" s="218">
        <f t="shared" ca="1" si="1454"/>
        <v>33.305</v>
      </c>
      <c r="V728" s="1485">
        <f t="shared" ca="1" si="1454"/>
        <v>32.838749999999997</v>
      </c>
      <c r="W728" s="218">
        <f t="shared" ca="1" si="1454"/>
        <v>37.985</v>
      </c>
      <c r="X728" s="218">
        <f t="shared" ca="1" si="1454"/>
        <v>41.82</v>
      </c>
      <c r="Y728" s="218">
        <f t="shared" ca="1" si="1454"/>
        <v>46.30</v>
      </c>
      <c r="Z728" s="218">
        <f t="shared" ca="1" si="1454"/>
        <v>52.535</v>
      </c>
      <c r="AA728" s="1485">
        <f t="shared" ca="1" si="1454"/>
        <v>44.66</v>
      </c>
      <c r="AB728" s="218">
        <f t="shared" ca="1" si="1454"/>
        <v>56.700247540983597</v>
      </c>
      <c r="AC728" s="218">
        <f t="shared" ca="1" si="1454"/>
        <v>61.215625</v>
      </c>
      <c r="AD728" s="218">
        <f t="shared" ca="1" si="1454"/>
        <v>64.326984126984101</v>
      </c>
      <c r="AE728" s="218">
        <f t="shared" ca="1" si="1454"/>
        <v>66.530476190476193</v>
      </c>
      <c r="AF728" s="1485">
        <f t="shared" ca="1" si="1454"/>
        <v>62.233207569721102</v>
      </c>
      <c r="AG728" s="218">
        <f t="shared" ca="1" si="1454"/>
        <v>68.514918032786895</v>
      </c>
      <c r="AH728" s="218">
        <f t="shared" ca="1" si="1454"/>
        <v>77.352222222222196</v>
      </c>
      <c r="AI728" s="218">
        <f t="shared" ca="1" si="1454"/>
        <v>78.6621875</v>
      </c>
      <c r="AJ728" s="218">
        <f t="shared" ca="1" si="1454"/>
        <v>72.09</v>
      </c>
      <c r="AK728" s="1485">
        <f t="shared" ca="1" si="1454"/>
        <v>74.209285714285699</v>
      </c>
      <c r="AL728" s="218">
        <f t="shared" ca="1" si="1454"/>
        <v>77.076935483870997</v>
      </c>
      <c r="AM728" s="218">
        <f t="shared" ca="1" si="1454"/>
        <v>78.059206349206406</v>
      </c>
      <c r="AN728" s="218">
        <f t="shared" ca="1" si="1454"/>
        <v>89.875468749999996</v>
      </c>
      <c r="AO728" s="218">
        <f ca="1">IF(INDEX(MO_SNA_IsHistoricalPeriod,1,COLUMN())=FALSE,0,INDEX(MO_SPT_StockAverage,1,COLUMN()))</f>
        <v>94.600781249999997</v>
      </c>
      <c r="AP728" s="1485">
        <f ca="1">IF(INDEX(MO_SNA_IsHistoricalPeriod,1,COLUMN())=FALSE,0,INDEX(MO_SPT_StockAverage,1,COLUMN()))</f>
        <v>84.992015810276698</v>
      </c>
      <c r="AQ728" s="218">
        <f t="shared" ca="1" si="1454"/>
        <v>90.860491803278705</v>
      </c>
      <c r="AR728" s="218">
        <f t="shared" ca="1" si="1454"/>
        <v>98.916190476190494</v>
      </c>
      <c r="AS728" s="218">
        <f ca="1">IF(INDEX(MO_SNA_IsHistoricalPeriod,1,COLUMN())=FALSE,0,INDEX(MO_SPT_StockAverage,1,COLUMN()))</f>
        <v>95.3071875</v>
      </c>
      <c r="AT728" s="218">
        <f t="shared" ca="1" si="1454"/>
        <v>95.455156250000002</v>
      </c>
      <c r="AU728" s="1486">
        <f t="shared" ca="1" si="1454"/>
        <v>95.170634920634996</v>
      </c>
      <c r="AV728" s="218">
        <f ca="1" t="shared" si="1455" ref="AV728:BJ728">IF(INDEX(MO_SNA_IsHistoricalPeriod,1,COLUMN())=FALSE,0,INDEX(MO_SPT_StockAverage,1,COLUMN()))</f>
        <v>108.15564516129</v>
      </c>
      <c r="AW728" s="218">
        <f t="shared" ca="1" si="1455"/>
        <v>113.384193548387</v>
      </c>
      <c r="AX728" s="218">
        <f t="shared" ca="1" si="1455"/>
        <v>120.41374999999999</v>
      </c>
      <c r="AY728" s="218">
        <f t="shared" ca="1" si="1455"/>
        <v>126.716825396825</v>
      </c>
      <c r="AZ728" s="1486">
        <f t="shared" ca="1" si="1455"/>
        <v>117.231513944223</v>
      </c>
      <c r="BA728" s="717">
        <f t="shared" ca="1" si="1455"/>
        <v>137.88580645161301</v>
      </c>
      <c r="BB728" s="717">
        <f t="shared" ca="1" si="1455"/>
        <v>131.20476190476199</v>
      </c>
      <c r="BC728" s="717">
        <f t="shared" ca="1" si="1455"/>
        <v>131.536507936508</v>
      </c>
      <c r="BD728" s="717">
        <f t="shared" ca="1" si="1455"/>
        <v>156.55936507936499</v>
      </c>
      <c r="BE728" s="1486">
        <f t="shared" ca="1" si="1455"/>
        <v>140.04292000000001</v>
      </c>
      <c r="BF728" s="717">
        <f ca="1">IF(INDEX(MO_SNA_IsHistoricalPeriod,1,COLUMN())=FALSE,0,INDEX(MO_SPT_StockAverage,1,COLUMN()))</f>
        <v>185.54442622950799</v>
      </c>
      <c r="BG728" s="717">
        <f ca="1">IF(INDEX(MO_SNA_IsHistoricalPeriod,1,COLUMN())=FALSE,0,INDEX(MO_SPT_StockAverage,1,COLUMN()))</f>
        <v>209.31079365079401</v>
      </c>
      <c r="BH728" s="843">
        <f ca="1">IF(INDEX(MO_SNA_IsHistoricalPeriod,1,COLUMN())=FALSE,0,INDEX(MO_SPT_StockAverage,1,COLUMN()))</f>
        <v>232.495</v>
      </c>
      <c r="BI728" s="660">
        <f>IF(INDEX(MO_SNA_IsHistoricalPeriod,1,COLUMN())=FALSE,0,INDEX(MO_SPT_StockAverage,1,COLUMN()))</f>
        <v>0</v>
      </c>
      <c r="BJ728" s="1487">
        <f t="shared" si="1455"/>
        <v>0</v>
      </c>
      <c r="BK728" s="660">
        <f t="shared" si="1456" ref="BK728:BR728">IF(INDEX(MO_SNA_IsHistoricalPeriod,1,COLUMN())=FALSE,0,INDEX(MO_SPT_StockAverage,1,COLUMN()))</f>
        <v>0</v>
      </c>
      <c r="BL728" s="660">
        <f t="shared" si="1456"/>
        <v>0</v>
      </c>
      <c r="BM728" s="660">
        <f t="shared" si="1456"/>
        <v>0</v>
      </c>
      <c r="BN728" s="660">
        <f t="shared" si="1456"/>
        <v>0</v>
      </c>
      <c r="BO728" s="1487">
        <f t="shared" si="1456"/>
        <v>0</v>
      </c>
      <c r="BP728" s="1486">
        <f t="shared" si="1456"/>
        <v>0</v>
      </c>
      <c r="BQ728" s="1486">
        <f t="shared" si="1456"/>
        <v>0</v>
      </c>
      <c r="BR728" s="1487">
        <f t="shared" si="1456"/>
        <v>0</v>
      </c>
      <c r="BS728" s="648"/>
    </row>
    <row r="729" spans="1:71" s="694" customFormat="1" ht="15" hidden="1" outlineLevel="1">
      <c r="A729" s="180" t="str">
        <f ca="1">"Stock EoP, "&amp;HP.TradeCurrency</f>
        <v>Stock EoP, USD</v>
      </c>
      <c r="B729" s="436"/>
      <c r="C729" s="1488">
        <f t="shared" si="1457" ref="C729:AH729">IF(INDEX(MO_SNA_IsHistoricalPeriod,1,COLUMN())=FALSE,MO.LastPrice,INDEX(MO_SPT_StockEoP,1,COLUMN()))</f>
        <v>18.05</v>
      </c>
      <c r="D729" s="1488">
        <f t="shared" si="1457"/>
        <v>19.87</v>
      </c>
      <c r="E729" s="1488">
        <f t="shared" si="1457"/>
        <v>19.510000000000002</v>
      </c>
      <c r="F729" s="1488">
        <f t="shared" si="1457"/>
        <v>20.85</v>
      </c>
      <c r="G729" s="1488">
        <f t="shared" si="1457"/>
        <v>27.16</v>
      </c>
      <c r="H729" s="620">
        <f t="shared" si="1457"/>
        <v>23.98</v>
      </c>
      <c r="I729" s="620">
        <f t="shared" si="1457"/>
        <v>25.26</v>
      </c>
      <c r="J729" s="620">
        <f t="shared" si="1457"/>
        <v>25.49</v>
      </c>
      <c r="K729" s="620">
        <f t="shared" si="1457"/>
        <v>27.22</v>
      </c>
      <c r="L729" s="1488">
        <f t="shared" si="1457"/>
        <v>27.22</v>
      </c>
      <c r="M729" s="620">
        <f t="shared" si="1457"/>
        <v>27.37</v>
      </c>
      <c r="N729" s="620">
        <f t="shared" si="1457"/>
        <v>27.81</v>
      </c>
      <c r="O729" s="620">
        <f t="shared" si="1457"/>
        <v>30.44</v>
      </c>
      <c r="P729" s="620">
        <f t="shared" si="1457"/>
        <v>32.32</v>
      </c>
      <c r="Q729" s="1488">
        <f t="shared" si="1457"/>
        <v>32.32</v>
      </c>
      <c r="R729" s="620">
        <f t="shared" si="1457"/>
        <v>35.03</v>
      </c>
      <c r="S729" s="620">
        <f t="shared" si="1457"/>
        <v>32.630000000000003</v>
      </c>
      <c r="T729" s="620">
        <f t="shared" si="1457"/>
        <v>31.25</v>
      </c>
      <c r="U729" s="620">
        <f t="shared" si="1457"/>
        <v>35.50</v>
      </c>
      <c r="V729" s="1488">
        <f t="shared" si="1457"/>
        <v>35.50</v>
      </c>
      <c r="W729" s="620">
        <f t="shared" si="1457"/>
        <v>39.479999999999997</v>
      </c>
      <c r="X729" s="620">
        <f t="shared" si="1457"/>
        <v>44.15</v>
      </c>
      <c r="Y729" s="620">
        <f t="shared" si="1457"/>
        <v>48.42</v>
      </c>
      <c r="Z729" s="620">
        <f t="shared" si="1457"/>
        <v>56.32</v>
      </c>
      <c r="AA729" s="1488">
        <f t="shared" si="1457"/>
        <v>56.32</v>
      </c>
      <c r="AB729" s="620">
        <f t="shared" si="1457"/>
        <v>60.93</v>
      </c>
      <c r="AC729" s="620">
        <f t="shared" si="1457"/>
        <v>59.15</v>
      </c>
      <c r="AD729" s="620">
        <f t="shared" si="1457"/>
        <v>71.040000000000006</v>
      </c>
      <c r="AE729" s="620">
        <f t="shared" si="1457"/>
        <v>59.65</v>
      </c>
      <c r="AF729" s="1488">
        <f t="shared" si="1457"/>
        <v>59.65</v>
      </c>
      <c r="AG729" s="620">
        <f t="shared" si="1457"/>
        <v>72.09</v>
      </c>
      <c r="AH729" s="620">
        <f t="shared" si="1457"/>
        <v>79.930000000000007</v>
      </c>
      <c r="AI729" s="620">
        <f t="shared" si="1458" ref="AI729:BE729">IF(INDEX(MO_SNA_IsHistoricalPeriod,1,COLUMN())=FALSE,MO.LastPrice,INDEX(MO_SPT_StockEoP,1,COLUMN()))</f>
        <v>77.099999999999994</v>
      </c>
      <c r="AJ729" s="620">
        <f t="shared" si="1458"/>
        <v>72.319999999999993</v>
      </c>
      <c r="AK729" s="1488">
        <f t="shared" si="1458"/>
        <v>72.319999999999993</v>
      </c>
      <c r="AL729" s="620">
        <f t="shared" si="1458"/>
        <v>76.180000000000007</v>
      </c>
      <c r="AM729" s="620">
        <f t="shared" si="1458"/>
        <v>78.400000000000006</v>
      </c>
      <c r="AN729" s="620">
        <f t="shared" si="1458"/>
        <v>94.15</v>
      </c>
      <c r="AO729" s="620">
        <f t="shared" si="1458"/>
        <v>97.41</v>
      </c>
      <c r="AP729" s="1488">
        <f t="shared" si="1458"/>
        <v>97.41</v>
      </c>
      <c r="AQ729" s="620">
        <f t="shared" si="1458"/>
        <v>95.55</v>
      </c>
      <c r="AR729" s="620">
        <f t="shared" si="1458"/>
        <v>98.44</v>
      </c>
      <c r="AS729" s="620">
        <f t="shared" si="1458"/>
        <v>91.14</v>
      </c>
      <c r="AT729" s="620">
        <f t="shared" si="1458"/>
        <v>103.05</v>
      </c>
      <c r="AU729" s="1489">
        <f t="shared" si="1458"/>
        <v>103.05</v>
      </c>
      <c r="AV729" s="620">
        <f t="shared" si="1458"/>
        <v>117.17</v>
      </c>
      <c r="AW729" s="620">
        <f t="shared" si="1458"/>
        <v>113.64</v>
      </c>
      <c r="AX729" s="620">
        <f>IF(INDEX(MO_SNA_IsHistoricalPeriod,1,COLUMN())=FALSE,MO.LastPrice,INDEX(MO_SPT_StockEoP,1,COLUMN()))</f>
        <v>118.39</v>
      </c>
      <c r="AY729" s="620">
        <f t="shared" si="1458"/>
        <v>129.71000000000001</v>
      </c>
      <c r="AZ729" s="1489">
        <f t="shared" si="1458"/>
        <v>129.71000000000001</v>
      </c>
      <c r="BA729" s="718">
        <f>IF(INDEX(MO_SNA_IsHistoricalPeriod,1,COLUMN())=FALSE,MO.LastPrice,INDEX(MO_SPT_StockEoP,1,COLUMN()))</f>
        <v>143.78999999999999</v>
      </c>
      <c r="BB729" s="718">
        <f>IF(INDEX(MO_SNA_IsHistoricalPeriod,1,COLUMN())=FALSE,MO.LastPrice,INDEX(MO_SPT_StockEoP,1,COLUMN()))</f>
        <v>132.11000000000001</v>
      </c>
      <c r="BC729" s="718">
        <f>IF(INDEX(MO_SNA_IsHistoricalPeriod,1,COLUMN())=FALSE,MO.LastPrice,INDEX(MO_SPT_StockEoP,1,COLUMN()))</f>
        <v>139.30000000000001</v>
      </c>
      <c r="BD729" s="718">
        <f>IF(INDEX(MO_SNA_IsHistoricalPeriod,1,COLUMN())=FALSE,MO.LastPrice,INDEX(MO_SPT_StockEoP,1,COLUMN()))</f>
        <v>159.28</v>
      </c>
      <c r="BE729" s="1489">
        <f t="shared" si="1458"/>
        <v>159.28</v>
      </c>
      <c r="BF729" s="718">
        <f t="shared" si="1459" ref="BF729:BR729">IF(INDEX(MO_SNA_IsHistoricalPeriod,1,COLUMN())=FALSE,MO.LastPrice,INDEX(MO_SPT_StockEoP,1,COLUMN()))</f>
        <v>206.82</v>
      </c>
      <c r="BG729" s="718">
        <f t="shared" si="1459"/>
        <v>207.71</v>
      </c>
      <c r="BH729" s="844">
        <f t="shared" si="1459"/>
        <v>251.10</v>
      </c>
      <c r="BI729" s="661">
        <f t="shared" ca="1" si="1459"/>
        <v>257.50</v>
      </c>
      <c r="BJ729" s="1490">
        <f t="shared" ca="1" si="1459"/>
        <v>257.50</v>
      </c>
      <c r="BK729" s="661">
        <f t="shared" ca="1" si="1459"/>
        <v>257.50</v>
      </c>
      <c r="BL729" s="661">
        <f t="shared" ca="1" si="1459"/>
        <v>257.50</v>
      </c>
      <c r="BM729" s="661">
        <f t="shared" ca="1" si="1459"/>
        <v>257.50</v>
      </c>
      <c r="BN729" s="661">
        <f t="shared" ca="1" si="1459"/>
        <v>257.50</v>
      </c>
      <c r="BO729" s="1490">
        <f t="shared" ca="1" si="1459"/>
        <v>257.50</v>
      </c>
      <c r="BP729" s="1489">
        <f t="shared" ca="1" si="1459"/>
        <v>257.50</v>
      </c>
      <c r="BQ729" s="1489">
        <f t="shared" ca="1" si="1459"/>
        <v>257.50</v>
      </c>
      <c r="BR729" s="1490">
        <f t="shared" ca="1" si="1459"/>
        <v>257.50</v>
      </c>
      <c r="BS729" s="648"/>
    </row>
    <row r="730" spans="1:71" s="695" customFormat="1" ht="15" hidden="1" outlineLevel="1">
      <c r="A730" s="182" t="str">
        <f ca="1">"Average FX Rate, "&amp;HP.TradeCurrency&amp;"/"&amp;MO.ReportCurrency</f>
        <v>Average FX Rate, USD/USD</v>
      </c>
      <c r="B730" s="437"/>
      <c r="C730" s="1491">
        <f ca="1" t="shared" si="1460" ref="C730:AU730">IF(INDEX(MO_SPT_FXAverage,1,COLUMN())=0,1,INDEX(MO_SPT_FXAverage,1,COLUMN()))</f>
        <v>1</v>
      </c>
      <c r="D730" s="1491">
        <f t="shared" ca="1" si="1460"/>
        <v>1</v>
      </c>
      <c r="E730" s="1491">
        <f t="shared" ca="1" si="1460"/>
        <v>1</v>
      </c>
      <c r="F730" s="1491">
        <f t="shared" ca="1" si="1460"/>
        <v>1</v>
      </c>
      <c r="G730" s="1491">
        <f t="shared" ca="1" si="1460"/>
        <v>1</v>
      </c>
      <c r="H730" s="624">
        <f t="shared" ca="1" si="1460"/>
        <v>1</v>
      </c>
      <c r="I730" s="624">
        <f t="shared" ca="1" si="1460"/>
        <v>1</v>
      </c>
      <c r="J730" s="624">
        <f t="shared" ca="1" si="1460"/>
        <v>1</v>
      </c>
      <c r="K730" s="624">
        <f t="shared" ca="1" si="1460"/>
        <v>1</v>
      </c>
      <c r="L730" s="1491">
        <f t="shared" ca="1" si="1460"/>
        <v>1</v>
      </c>
      <c r="M730" s="624">
        <f t="shared" ca="1" si="1460"/>
        <v>1</v>
      </c>
      <c r="N730" s="624">
        <f t="shared" ca="1" si="1460"/>
        <v>1</v>
      </c>
      <c r="O730" s="624">
        <f t="shared" ca="1" si="1460"/>
        <v>1</v>
      </c>
      <c r="P730" s="624">
        <f t="shared" ca="1" si="1460"/>
        <v>1</v>
      </c>
      <c r="Q730" s="1491">
        <f t="shared" ca="1" si="1460"/>
        <v>1</v>
      </c>
      <c r="R730" s="624">
        <f t="shared" ca="1" si="1460"/>
        <v>1</v>
      </c>
      <c r="S730" s="624">
        <f t="shared" ca="1" si="1460"/>
        <v>1</v>
      </c>
      <c r="T730" s="624">
        <f t="shared" ca="1" si="1460"/>
        <v>1</v>
      </c>
      <c r="U730" s="624">
        <f t="shared" ca="1" si="1460"/>
        <v>1</v>
      </c>
      <c r="V730" s="1491">
        <f t="shared" ca="1" si="1460"/>
        <v>1</v>
      </c>
      <c r="W730" s="624">
        <f t="shared" ca="1" si="1460"/>
        <v>1</v>
      </c>
      <c r="X730" s="624">
        <f t="shared" ca="1" si="1460"/>
        <v>1</v>
      </c>
      <c r="Y730" s="624">
        <f t="shared" ca="1" si="1460"/>
        <v>1</v>
      </c>
      <c r="Z730" s="624">
        <f t="shared" ca="1" si="1460"/>
        <v>1</v>
      </c>
      <c r="AA730" s="1491">
        <f t="shared" ca="1" si="1460"/>
        <v>1</v>
      </c>
      <c r="AB730" s="624">
        <f t="shared" ca="1" si="1460"/>
        <v>1</v>
      </c>
      <c r="AC730" s="624">
        <f t="shared" ca="1" si="1460"/>
        <v>1</v>
      </c>
      <c r="AD730" s="624">
        <f t="shared" ca="1" si="1460"/>
        <v>1</v>
      </c>
      <c r="AE730" s="624">
        <f t="shared" ca="1" si="1460"/>
        <v>1</v>
      </c>
      <c r="AF730" s="1491">
        <f t="shared" ca="1" si="1460"/>
        <v>1</v>
      </c>
      <c r="AG730" s="624">
        <f t="shared" ca="1" si="1460"/>
        <v>1</v>
      </c>
      <c r="AH730" s="624">
        <f t="shared" ca="1" si="1460"/>
        <v>1</v>
      </c>
      <c r="AI730" s="624">
        <f t="shared" ca="1" si="1460"/>
        <v>1</v>
      </c>
      <c r="AJ730" s="624">
        <f t="shared" ca="1" si="1460"/>
        <v>1</v>
      </c>
      <c r="AK730" s="1491">
        <f t="shared" ca="1" si="1460"/>
        <v>1</v>
      </c>
      <c r="AL730" s="624">
        <f t="shared" ca="1" si="1460"/>
        <v>1</v>
      </c>
      <c r="AM730" s="624">
        <f t="shared" ca="1" si="1460"/>
        <v>1</v>
      </c>
      <c r="AN730" s="624">
        <f t="shared" ca="1" si="1460"/>
        <v>1</v>
      </c>
      <c r="AO730" s="624">
        <f ca="1">IF(INDEX(MO_SPT_FXAverage,1,COLUMN())=0,1,INDEX(MO_SPT_FXAverage,1,COLUMN()))</f>
        <v>1</v>
      </c>
      <c r="AP730" s="1491">
        <f ca="1">IF(INDEX(MO_SPT_FXAverage,1,COLUMN())=0,1,INDEX(MO_SPT_FXAverage,1,COLUMN()))</f>
        <v>1</v>
      </c>
      <c r="AQ730" s="624">
        <f t="shared" ca="1" si="1460"/>
        <v>1</v>
      </c>
      <c r="AR730" s="624">
        <f t="shared" ca="1" si="1460"/>
        <v>1</v>
      </c>
      <c r="AS730" s="624">
        <f ca="1">IF(INDEX(MO_SPT_FXAverage,1,COLUMN())=0,1,INDEX(MO_SPT_FXAverage,1,COLUMN()))</f>
        <v>1</v>
      </c>
      <c r="AT730" s="624">
        <f t="shared" ca="1" si="1460"/>
        <v>1</v>
      </c>
      <c r="AU730" s="1492">
        <f t="shared" ca="1" si="1460"/>
        <v>1</v>
      </c>
      <c r="AV730" s="624">
        <f ca="1" t="shared" si="1461" ref="AV730:BJ730">IF(INDEX(MO_SPT_FXAverage,1,COLUMN())=0,1,INDEX(MO_SPT_FXAverage,1,COLUMN()))</f>
        <v>1</v>
      </c>
      <c r="AW730" s="624">
        <f t="shared" ca="1" si="1461"/>
        <v>1</v>
      </c>
      <c r="AX730" s="624">
        <f t="shared" ca="1" si="1461"/>
        <v>1</v>
      </c>
      <c r="AY730" s="624">
        <f t="shared" ca="1" si="1461"/>
        <v>1</v>
      </c>
      <c r="AZ730" s="1492">
        <f t="shared" ca="1" si="1461"/>
        <v>1</v>
      </c>
      <c r="BA730" s="719">
        <f t="shared" ca="1" si="1461"/>
        <v>1</v>
      </c>
      <c r="BB730" s="719">
        <f t="shared" ca="1" si="1461"/>
        <v>1</v>
      </c>
      <c r="BC730" s="719">
        <f t="shared" ca="1" si="1461"/>
        <v>1</v>
      </c>
      <c r="BD730" s="719">
        <f t="shared" ca="1" si="1461"/>
        <v>1</v>
      </c>
      <c r="BE730" s="1492">
        <f t="shared" ca="1" si="1461"/>
        <v>1</v>
      </c>
      <c r="BF730" s="719">
        <f ca="1">IF(INDEX(MO_SPT_FXAverage,1,COLUMN())=0,1,INDEX(MO_SPT_FXAverage,1,COLUMN()))</f>
        <v>1</v>
      </c>
      <c r="BG730" s="719">
        <f ca="1">IF(INDEX(MO_SPT_FXAverage,1,COLUMN())=0,1,INDEX(MO_SPT_FXAverage,1,COLUMN()))</f>
        <v>1</v>
      </c>
      <c r="BH730" s="845">
        <f ca="1">IF(INDEX(MO_SPT_FXAverage,1,COLUMN())=0,1,INDEX(MO_SPT_FXAverage,1,COLUMN()))</f>
        <v>1</v>
      </c>
      <c r="BI730" s="662">
        <f ca="1">IF(INDEX(MO_SPT_FXAverage,1,COLUMN())=0,1,INDEX(MO_SPT_FXAverage,1,COLUMN()))</f>
        <v>1</v>
      </c>
      <c r="BJ730" s="1493">
        <f t="shared" ca="1" si="1461"/>
        <v>1</v>
      </c>
      <c r="BK730" s="662">
        <f ca="1" t="shared" si="1462" ref="BK730:BR730">IF(INDEX(MO_SPT_FXAverage,1,COLUMN())=0,1,INDEX(MO_SPT_FXAverage,1,COLUMN()))</f>
        <v>1</v>
      </c>
      <c r="BL730" s="662">
        <f t="shared" ca="1" si="1462"/>
        <v>1</v>
      </c>
      <c r="BM730" s="662">
        <f t="shared" ca="1" si="1462"/>
        <v>1</v>
      </c>
      <c r="BN730" s="662">
        <f t="shared" ca="1" si="1462"/>
        <v>1</v>
      </c>
      <c r="BO730" s="1493">
        <f t="shared" ca="1" si="1462"/>
        <v>1</v>
      </c>
      <c r="BP730" s="1492">
        <f t="shared" ca="1" si="1462"/>
        <v>1</v>
      </c>
      <c r="BQ730" s="1492">
        <f t="shared" ca="1" si="1462"/>
        <v>1</v>
      </c>
      <c r="BR730" s="1493">
        <f t="shared" ca="1" si="1462"/>
        <v>1</v>
      </c>
      <c r="BS730" s="648"/>
    </row>
    <row r="731" spans="1:71" s="695" customFormat="1" ht="15" hidden="1" outlineLevel="1">
      <c r="A731" s="182" t="str">
        <f ca="1">"EoP FX Rate, "&amp;HP.TradeCurrency&amp;"/"&amp;MO.ReportCurrency</f>
        <v>EoP FX Rate, USD/USD</v>
      </c>
      <c r="B731" s="437"/>
      <c r="C731" s="1491">
        <f t="shared" si="1463" ref="C731:AH731">IF(INDEX(MO_SNA_IsHistoricalPeriod,1,COLUMN())=FALSE,HP.MRFX,INDEX(MO_SPT_FXEoP,1,COLUMN()))</f>
        <v>1</v>
      </c>
      <c r="D731" s="1491">
        <f t="shared" si="1463"/>
        <v>1</v>
      </c>
      <c r="E731" s="1491">
        <f t="shared" si="1463"/>
        <v>1</v>
      </c>
      <c r="F731" s="1491">
        <f t="shared" si="1463"/>
        <v>1</v>
      </c>
      <c r="G731" s="1491">
        <f t="shared" si="1463"/>
        <v>1</v>
      </c>
      <c r="H731" s="624">
        <f t="shared" si="1463"/>
        <v>1</v>
      </c>
      <c r="I731" s="624">
        <f t="shared" si="1463"/>
        <v>1</v>
      </c>
      <c r="J731" s="624">
        <f t="shared" si="1463"/>
        <v>1</v>
      </c>
      <c r="K731" s="624">
        <f t="shared" si="1463"/>
        <v>1</v>
      </c>
      <c r="L731" s="1491">
        <f t="shared" si="1463"/>
        <v>1</v>
      </c>
      <c r="M731" s="624">
        <f t="shared" si="1463"/>
        <v>1</v>
      </c>
      <c r="N731" s="624">
        <f t="shared" si="1463"/>
        <v>1</v>
      </c>
      <c r="O731" s="624">
        <f t="shared" si="1463"/>
        <v>1</v>
      </c>
      <c r="P731" s="624">
        <f t="shared" si="1463"/>
        <v>1</v>
      </c>
      <c r="Q731" s="1491">
        <f t="shared" si="1463"/>
        <v>1</v>
      </c>
      <c r="R731" s="624">
        <f t="shared" si="1463"/>
        <v>1</v>
      </c>
      <c r="S731" s="624">
        <f t="shared" si="1463"/>
        <v>1</v>
      </c>
      <c r="T731" s="624">
        <f t="shared" si="1463"/>
        <v>1</v>
      </c>
      <c r="U731" s="624">
        <f t="shared" si="1463"/>
        <v>1</v>
      </c>
      <c r="V731" s="1491">
        <f t="shared" si="1463"/>
        <v>1</v>
      </c>
      <c r="W731" s="624">
        <f t="shared" si="1463"/>
        <v>1</v>
      </c>
      <c r="X731" s="624">
        <f t="shared" si="1463"/>
        <v>1</v>
      </c>
      <c r="Y731" s="624">
        <f t="shared" si="1463"/>
        <v>1</v>
      </c>
      <c r="Z731" s="624">
        <f t="shared" si="1463"/>
        <v>1</v>
      </c>
      <c r="AA731" s="1491">
        <f t="shared" si="1463"/>
        <v>1</v>
      </c>
      <c r="AB731" s="624">
        <f t="shared" si="1463"/>
        <v>1</v>
      </c>
      <c r="AC731" s="624">
        <f t="shared" si="1463"/>
        <v>1</v>
      </c>
      <c r="AD731" s="624">
        <f t="shared" si="1463"/>
        <v>1</v>
      </c>
      <c r="AE731" s="624">
        <f t="shared" si="1463"/>
        <v>1</v>
      </c>
      <c r="AF731" s="1491">
        <f t="shared" si="1463"/>
        <v>1</v>
      </c>
      <c r="AG731" s="624">
        <f t="shared" si="1463"/>
        <v>1</v>
      </c>
      <c r="AH731" s="624">
        <f t="shared" si="1463"/>
        <v>1</v>
      </c>
      <c r="AI731" s="624">
        <f t="shared" si="1464" ref="AI731:BE731">IF(INDEX(MO_SNA_IsHistoricalPeriod,1,COLUMN())=FALSE,HP.MRFX,INDEX(MO_SPT_FXEoP,1,COLUMN()))</f>
        <v>1</v>
      </c>
      <c r="AJ731" s="624">
        <f t="shared" si="1464"/>
        <v>1</v>
      </c>
      <c r="AK731" s="1491">
        <f t="shared" si="1464"/>
        <v>1</v>
      </c>
      <c r="AL731" s="624">
        <f t="shared" si="1464"/>
        <v>1</v>
      </c>
      <c r="AM731" s="624">
        <f t="shared" si="1464"/>
        <v>1</v>
      </c>
      <c r="AN731" s="624">
        <f t="shared" si="1464"/>
        <v>1</v>
      </c>
      <c r="AO731" s="624">
        <f t="shared" si="1464"/>
        <v>1</v>
      </c>
      <c r="AP731" s="1491">
        <f t="shared" si="1464"/>
        <v>1</v>
      </c>
      <c r="AQ731" s="624">
        <f t="shared" si="1464"/>
        <v>1</v>
      </c>
      <c r="AR731" s="624">
        <f t="shared" si="1464"/>
        <v>1</v>
      </c>
      <c r="AS731" s="624">
        <f t="shared" si="1464"/>
        <v>1</v>
      </c>
      <c r="AT731" s="624">
        <f t="shared" si="1464"/>
        <v>1</v>
      </c>
      <c r="AU731" s="1492">
        <f t="shared" si="1464"/>
        <v>1</v>
      </c>
      <c r="AV731" s="624">
        <f t="shared" si="1464"/>
        <v>1</v>
      </c>
      <c r="AW731" s="624">
        <f t="shared" si="1464"/>
        <v>1</v>
      </c>
      <c r="AX731" s="624">
        <f>IF(INDEX(MO_SNA_IsHistoricalPeriod,1,COLUMN())=FALSE,HP.MRFX,INDEX(MO_SPT_FXEoP,1,COLUMN()))</f>
        <v>1</v>
      </c>
      <c r="AY731" s="624">
        <f t="shared" si="1464"/>
        <v>1</v>
      </c>
      <c r="AZ731" s="1492">
        <f t="shared" si="1464"/>
        <v>1</v>
      </c>
      <c r="BA731" s="719">
        <f>IF(INDEX(MO_SNA_IsHistoricalPeriod,1,COLUMN())=FALSE,HP.MRFX,INDEX(MO_SPT_FXEoP,1,COLUMN()))</f>
        <v>1</v>
      </c>
      <c r="BB731" s="719">
        <f>IF(INDEX(MO_SNA_IsHistoricalPeriod,1,COLUMN())=FALSE,HP.MRFX,INDEX(MO_SPT_FXEoP,1,COLUMN()))</f>
        <v>1</v>
      </c>
      <c r="BC731" s="719">
        <f>IF(INDEX(MO_SNA_IsHistoricalPeriod,1,COLUMN())=FALSE,HP.MRFX,INDEX(MO_SPT_FXEoP,1,COLUMN()))</f>
        <v>1</v>
      </c>
      <c r="BD731" s="719">
        <f>IF(INDEX(MO_SNA_IsHistoricalPeriod,1,COLUMN())=FALSE,HP.MRFX,INDEX(MO_SPT_FXEoP,1,COLUMN()))</f>
        <v>1</v>
      </c>
      <c r="BE731" s="1492">
        <f t="shared" si="1464"/>
        <v>1</v>
      </c>
      <c r="BF731" s="719">
        <f t="shared" si="1465" ref="BF731:BR731">IF(INDEX(MO_SNA_IsHistoricalPeriod,1,COLUMN())=FALSE,HP.MRFX,INDEX(MO_SPT_FXEoP,1,COLUMN()))</f>
        <v>1</v>
      </c>
      <c r="BG731" s="719">
        <f t="shared" si="1465"/>
        <v>1</v>
      </c>
      <c r="BH731" s="845">
        <f t="shared" si="1465"/>
        <v>1</v>
      </c>
      <c r="BI731" s="662">
        <f t="shared" ca="1" si="1465"/>
        <v>1</v>
      </c>
      <c r="BJ731" s="1493">
        <f t="shared" ca="1" si="1465"/>
        <v>1</v>
      </c>
      <c r="BK731" s="662">
        <f t="shared" ca="1" si="1465"/>
        <v>1</v>
      </c>
      <c r="BL731" s="662">
        <f t="shared" ca="1" si="1465"/>
        <v>1</v>
      </c>
      <c r="BM731" s="662">
        <f t="shared" ca="1" si="1465"/>
        <v>1</v>
      </c>
      <c r="BN731" s="662">
        <f t="shared" ca="1" si="1465"/>
        <v>1</v>
      </c>
      <c r="BO731" s="1493">
        <f t="shared" ca="1" si="1465"/>
        <v>1</v>
      </c>
      <c r="BP731" s="1492">
        <f t="shared" ca="1" si="1465"/>
        <v>1</v>
      </c>
      <c r="BQ731" s="1492">
        <f t="shared" ca="1" si="1465"/>
        <v>1</v>
      </c>
      <c r="BR731" s="1493">
        <f t="shared" ca="1" si="1465"/>
        <v>1</v>
      </c>
      <c r="BS731" s="648"/>
    </row>
    <row r="732" spans="1:71" s="694" customFormat="1" ht="15" hidden="1" outlineLevel="1">
      <c r="A732" s="180" t="str">
        <f ca="1">"Stock Price (Trading Cur.) - "&amp;MO.ValuationToggle&amp;", "&amp;HP.TradeCurrency</f>
        <v>Stock Price (Trading Cur.) - EoP, USD</v>
      </c>
      <c r="B732" s="436"/>
      <c r="C732" s="1485">
        <f t="shared" si="1466" ref="C732:AH732">IF(INDEX(MO_SNA_IsHistoricalPeriod,1,COLUMN())=FALSE,MO.LastPrice,CHOOSE(VLOOKUP(MO.ValuationToggle,tb_ValuationToggle,COLUMNS(tb_ValuationToggle),FALSE),C726,C727,C728,C729))</f>
        <v>18.05</v>
      </c>
      <c r="D732" s="1485">
        <f t="shared" si="1466"/>
        <v>19.87</v>
      </c>
      <c r="E732" s="1485">
        <f t="shared" si="1466"/>
        <v>19.510000000000002</v>
      </c>
      <c r="F732" s="1485">
        <f t="shared" si="1466"/>
        <v>20.85</v>
      </c>
      <c r="G732" s="1485">
        <f t="shared" si="1466"/>
        <v>27.16</v>
      </c>
      <c r="H732" s="218">
        <f t="shared" si="1466"/>
        <v>23.98</v>
      </c>
      <c r="I732" s="218">
        <f t="shared" si="1466"/>
        <v>25.26</v>
      </c>
      <c r="J732" s="218">
        <f t="shared" si="1466"/>
        <v>25.49</v>
      </c>
      <c r="K732" s="218">
        <f t="shared" si="1466"/>
        <v>27.22</v>
      </c>
      <c r="L732" s="1485">
        <f t="shared" si="1466"/>
        <v>27.22</v>
      </c>
      <c r="M732" s="218">
        <f t="shared" si="1466"/>
        <v>27.37</v>
      </c>
      <c r="N732" s="218">
        <f t="shared" si="1466"/>
        <v>27.81</v>
      </c>
      <c r="O732" s="218">
        <f t="shared" si="1466"/>
        <v>30.44</v>
      </c>
      <c r="P732" s="218">
        <f t="shared" si="1466"/>
        <v>32.32</v>
      </c>
      <c r="Q732" s="1485">
        <f t="shared" si="1466"/>
        <v>32.32</v>
      </c>
      <c r="R732" s="218">
        <f t="shared" si="1466"/>
        <v>35.03</v>
      </c>
      <c r="S732" s="218">
        <f t="shared" si="1466"/>
        <v>32.630000000000003</v>
      </c>
      <c r="T732" s="218">
        <f t="shared" si="1466"/>
        <v>31.25</v>
      </c>
      <c r="U732" s="218">
        <f t="shared" si="1466"/>
        <v>35.50</v>
      </c>
      <c r="V732" s="1485">
        <f t="shared" si="1466"/>
        <v>35.50</v>
      </c>
      <c r="W732" s="218">
        <f t="shared" si="1466"/>
        <v>39.479999999999997</v>
      </c>
      <c r="X732" s="218">
        <f t="shared" si="1466"/>
        <v>44.15</v>
      </c>
      <c r="Y732" s="218">
        <f t="shared" si="1466"/>
        <v>48.42</v>
      </c>
      <c r="Z732" s="218">
        <f t="shared" si="1466"/>
        <v>56.32</v>
      </c>
      <c r="AA732" s="1485">
        <f t="shared" si="1466"/>
        <v>56.32</v>
      </c>
      <c r="AB732" s="218">
        <f t="shared" si="1466"/>
        <v>60.93</v>
      </c>
      <c r="AC732" s="218">
        <f t="shared" si="1466"/>
        <v>59.15</v>
      </c>
      <c r="AD732" s="218">
        <f t="shared" si="1466"/>
        <v>71.040000000000006</v>
      </c>
      <c r="AE732" s="218">
        <f t="shared" si="1466"/>
        <v>59.65</v>
      </c>
      <c r="AF732" s="1485">
        <f t="shared" si="1466"/>
        <v>59.65</v>
      </c>
      <c r="AG732" s="218">
        <f t="shared" si="1466"/>
        <v>72.09</v>
      </c>
      <c r="AH732" s="218">
        <f t="shared" si="1466"/>
        <v>79.930000000000007</v>
      </c>
      <c r="AI732" s="218">
        <f t="shared" si="1467" ref="AI732:BJ732">IF(INDEX(MO_SNA_IsHistoricalPeriod,1,COLUMN())=FALSE,MO.LastPrice,CHOOSE(VLOOKUP(MO.ValuationToggle,tb_ValuationToggle,COLUMNS(tb_ValuationToggle),FALSE),AI726,AI727,AI728,AI729))</f>
        <v>77.099999999999994</v>
      </c>
      <c r="AJ732" s="218">
        <f t="shared" si="1467"/>
        <v>72.319999999999993</v>
      </c>
      <c r="AK732" s="1485">
        <f t="shared" si="1467"/>
        <v>72.319999999999993</v>
      </c>
      <c r="AL732" s="218">
        <f t="shared" si="1467"/>
        <v>76.180000000000007</v>
      </c>
      <c r="AM732" s="218">
        <f t="shared" si="1467"/>
        <v>78.400000000000006</v>
      </c>
      <c r="AN732" s="218">
        <f t="shared" si="1467"/>
        <v>94.15</v>
      </c>
      <c r="AO732" s="218">
        <f t="shared" si="1467"/>
        <v>97.41</v>
      </c>
      <c r="AP732" s="1485">
        <f t="shared" si="1467"/>
        <v>97.41</v>
      </c>
      <c r="AQ732" s="218">
        <f t="shared" si="1467"/>
        <v>95.55</v>
      </c>
      <c r="AR732" s="218">
        <f t="shared" si="1467"/>
        <v>98.44</v>
      </c>
      <c r="AS732" s="218">
        <f t="shared" si="1467"/>
        <v>91.14</v>
      </c>
      <c r="AT732" s="218">
        <f t="shared" si="1467"/>
        <v>103.05</v>
      </c>
      <c r="AU732" s="1486">
        <f t="shared" si="1467"/>
        <v>103.05</v>
      </c>
      <c r="AV732" s="218">
        <f t="shared" si="1467"/>
        <v>117.17</v>
      </c>
      <c r="AW732" s="218">
        <f t="shared" si="1467"/>
        <v>113.64</v>
      </c>
      <c r="AX732" s="218">
        <f t="shared" si="1467"/>
        <v>118.39</v>
      </c>
      <c r="AY732" s="218">
        <f t="shared" si="1467"/>
        <v>129.71000000000001</v>
      </c>
      <c r="AZ732" s="1486">
        <f t="shared" si="1467"/>
        <v>129.71000000000001</v>
      </c>
      <c r="BA732" s="717">
        <f t="shared" si="1467"/>
        <v>143.78999999999999</v>
      </c>
      <c r="BB732" s="717">
        <f t="shared" si="1467"/>
        <v>132.11000000000001</v>
      </c>
      <c r="BC732" s="717">
        <f t="shared" si="1467"/>
        <v>139.30000000000001</v>
      </c>
      <c r="BD732" s="717">
        <f t="shared" si="1467"/>
        <v>159.28</v>
      </c>
      <c r="BE732" s="1486">
        <f t="shared" si="1467"/>
        <v>159.28</v>
      </c>
      <c r="BF732" s="717">
        <f>IF(INDEX(MO_SNA_IsHistoricalPeriod,1,COLUMN())=FALSE,MO.LastPrice,CHOOSE(VLOOKUP(MO.ValuationToggle,tb_ValuationToggle,COLUMNS(tb_ValuationToggle),FALSE),BF726,BF727,BF728,BF729))</f>
        <v>206.82</v>
      </c>
      <c r="BG732" s="717">
        <f>IF(INDEX(MO_SNA_IsHistoricalPeriod,1,COLUMN())=FALSE,MO.LastPrice,CHOOSE(VLOOKUP(MO.ValuationToggle,tb_ValuationToggle,COLUMNS(tb_ValuationToggle),FALSE),BG726,BG727,BG728,BG729))</f>
        <v>207.71</v>
      </c>
      <c r="BH732" s="843">
        <f>IF(INDEX(MO_SNA_IsHistoricalPeriod,1,COLUMN())=FALSE,MO.LastPrice,CHOOSE(VLOOKUP(MO.ValuationToggle,tb_ValuationToggle,COLUMNS(tb_ValuationToggle),FALSE),BH726,BH727,BH728,BH729))</f>
        <v>251.10</v>
      </c>
      <c r="BI732" s="660">
        <f ca="1">IF(INDEX(MO_SNA_IsHistoricalPeriod,1,COLUMN())=FALSE,MO.LastPrice,CHOOSE(VLOOKUP(MO.ValuationToggle,tb_ValuationToggle,COLUMNS(tb_ValuationToggle),FALSE),BI726,BI727,BI728,BI729))</f>
        <v>257.50</v>
      </c>
      <c r="BJ732" s="1487">
        <f t="shared" ca="1" si="1467"/>
        <v>257.50</v>
      </c>
      <c r="BK732" s="660">
        <f ca="1" t="shared" si="1468" ref="BK732:BR732">IF(INDEX(MO_SNA_IsHistoricalPeriod,1,COLUMN())=FALSE,MO.LastPrice,CHOOSE(VLOOKUP(MO.ValuationToggle,tb_ValuationToggle,COLUMNS(tb_ValuationToggle),FALSE),BK726,BK727,BK728,BK729))</f>
        <v>257.50</v>
      </c>
      <c r="BL732" s="660">
        <f t="shared" ca="1" si="1468"/>
        <v>257.50</v>
      </c>
      <c r="BM732" s="660">
        <f t="shared" ca="1" si="1468"/>
        <v>257.50</v>
      </c>
      <c r="BN732" s="660">
        <f t="shared" ca="1" si="1468"/>
        <v>257.50</v>
      </c>
      <c r="BO732" s="1487">
        <f t="shared" ca="1" si="1468"/>
        <v>257.50</v>
      </c>
      <c r="BP732" s="1486">
        <f t="shared" ca="1" si="1468"/>
        <v>257.50</v>
      </c>
      <c r="BQ732" s="1486">
        <f t="shared" ca="1" si="1468"/>
        <v>257.50</v>
      </c>
      <c r="BR732" s="1487">
        <f t="shared" ca="1" si="1468"/>
        <v>257.50</v>
      </c>
      <c r="BS732" s="647"/>
    </row>
    <row r="733" spans="1:71" s="665" customFormat="1" ht="15" collapsed="1">
      <c r="A733" s="307"/>
      <c r="B733" s="321"/>
      <c r="C733" s="1351"/>
      <c r="D733" s="1351"/>
      <c r="E733" s="1351"/>
      <c r="F733" s="1351"/>
      <c r="G733" s="1351"/>
      <c r="H733" s="1047"/>
      <c r="I733" s="1047"/>
      <c r="J733" s="1047"/>
      <c r="K733" s="1047"/>
      <c r="L733" s="1351"/>
      <c r="M733" s="1047"/>
      <c r="N733" s="1047"/>
      <c r="O733" s="1047"/>
      <c r="P733" s="1047"/>
      <c r="Q733" s="1351"/>
      <c r="R733" s="1047"/>
      <c r="S733" s="1047"/>
      <c r="T733" s="1047"/>
      <c r="U733" s="1047"/>
      <c r="V733" s="1351"/>
      <c r="W733" s="1047"/>
      <c r="X733" s="1047"/>
      <c r="Y733" s="1047"/>
      <c r="Z733" s="1047"/>
      <c r="AA733" s="1351"/>
      <c r="AB733" s="1047"/>
      <c r="AC733" s="1047"/>
      <c r="AD733" s="1047"/>
      <c r="AE733" s="1047"/>
      <c r="AF733" s="1351"/>
      <c r="AG733" s="1047"/>
      <c r="AH733" s="1047"/>
      <c r="AI733" s="1047"/>
      <c r="AJ733" s="1047"/>
      <c r="AK733" s="1351"/>
      <c r="AL733" s="1047"/>
      <c r="AM733" s="1047"/>
      <c r="AN733" s="1047"/>
      <c r="AO733" s="1047"/>
      <c r="AP733" s="1351"/>
      <c r="AQ733" s="1047"/>
      <c r="AR733" s="1047"/>
      <c r="AS733" s="1047"/>
      <c r="AT733" s="1047"/>
      <c r="AU733" s="1351"/>
      <c r="AV733" s="1047"/>
      <c r="AW733" s="1047"/>
      <c r="AX733" s="1047"/>
      <c r="AY733" s="1047"/>
      <c r="AZ733" s="1351"/>
      <c r="BA733" s="1047"/>
      <c r="BB733" s="1047"/>
      <c r="BC733" s="1047"/>
      <c r="BD733" s="1047"/>
      <c r="BE733" s="1351"/>
      <c r="BF733" s="1047"/>
      <c r="BG733" s="1047"/>
      <c r="BH733" s="1048"/>
      <c r="BI733" s="1044"/>
      <c r="BJ733" s="1350"/>
      <c r="BK733" s="1044"/>
      <c r="BL733" s="1044"/>
      <c r="BM733" s="1044"/>
      <c r="BN733" s="1044"/>
      <c r="BO733" s="1350"/>
      <c r="BP733" s="1351"/>
      <c r="BQ733" s="1351"/>
      <c r="BR733" s="1350"/>
      <c r="BS733" s="648"/>
    </row>
    <row r="734" spans="1:71" s="668" customFormat="1" ht="15">
      <c r="A734" s="991" t="s">
        <v>137</v>
      </c>
      <c r="B734" s="991"/>
      <c r="C734" s="1035"/>
      <c r="D734" s="1035"/>
      <c r="E734" s="1035"/>
      <c r="F734" s="1035"/>
      <c r="G734" s="1035"/>
      <c r="H734" s="1035"/>
      <c r="I734" s="1035"/>
      <c r="J734" s="1035"/>
      <c r="K734" s="1035"/>
      <c r="L734" s="1035"/>
      <c r="M734" s="1035"/>
      <c r="N734" s="1035"/>
      <c r="O734" s="1035"/>
      <c r="P734" s="1035"/>
      <c r="Q734" s="1035"/>
      <c r="R734" s="1035"/>
      <c r="S734" s="1035"/>
      <c r="T734" s="1035"/>
      <c r="U734" s="1035"/>
      <c r="V734" s="1035"/>
      <c r="W734" s="1035"/>
      <c r="X734" s="1035"/>
      <c r="Y734" s="1035"/>
      <c r="Z734" s="1035"/>
      <c r="AA734" s="1035"/>
      <c r="AB734" s="1035"/>
      <c r="AC734" s="1035"/>
      <c r="AD734" s="1035"/>
      <c r="AE734" s="1035"/>
      <c r="AF734" s="1035"/>
      <c r="AG734" s="1035"/>
      <c r="AH734" s="1035"/>
      <c r="AI734" s="1035"/>
      <c r="AJ734" s="1035"/>
      <c r="AK734" s="1035"/>
      <c r="AL734" s="1035"/>
      <c r="AM734" s="1035"/>
      <c r="AN734" s="1035"/>
      <c r="AO734" s="1035"/>
      <c r="AP734" s="1035"/>
      <c r="AQ734" s="1035"/>
      <c r="AR734" s="1035"/>
      <c r="AS734" s="1035"/>
      <c r="AT734" s="1035"/>
      <c r="AU734" s="1035"/>
      <c r="AV734" s="1035"/>
      <c r="AW734" s="1035"/>
      <c r="AX734" s="1035"/>
      <c r="AY734" s="1035"/>
      <c r="AZ734" s="1035"/>
      <c r="BA734" s="1035"/>
      <c r="BB734" s="1035"/>
      <c r="BC734" s="1035"/>
      <c r="BD734" s="1035"/>
      <c r="BE734" s="1035"/>
      <c r="BF734" s="1035"/>
      <c r="BG734" s="1035"/>
      <c r="BH734" s="1036"/>
      <c r="BI734" s="1037"/>
      <c r="BJ734" s="1037"/>
      <c r="BK734" s="1037"/>
      <c r="BL734" s="1037"/>
      <c r="BM734" s="1037"/>
      <c r="BN734" s="1037"/>
      <c r="BO734" s="1037"/>
      <c r="BP734" s="1035"/>
      <c r="BQ734" s="1035"/>
      <c r="BR734" s="1037"/>
      <c r="BS734" s="648"/>
    </row>
    <row r="735" spans="1:71" s="668" customFormat="1" ht="15" hidden="1" outlineLevel="1">
      <c r="A735" s="25" t="s">
        <v>138</v>
      </c>
      <c r="B735" s="367"/>
      <c r="C735" s="1322"/>
      <c r="D735" s="1322"/>
      <c r="E735" s="1322"/>
      <c r="F735" s="1322"/>
      <c r="G735" s="1322"/>
      <c r="H735" s="1031"/>
      <c r="I735" s="1031"/>
      <c r="J735" s="1031"/>
      <c r="K735" s="1031"/>
      <c r="L735" s="1322"/>
      <c r="M735" s="1031"/>
      <c r="N735" s="1031"/>
      <c r="O735" s="1031"/>
      <c r="P735" s="1031"/>
      <c r="Q735" s="1322"/>
      <c r="R735" s="1031"/>
      <c r="S735" s="1031"/>
      <c r="T735" s="1031"/>
      <c r="U735" s="1031"/>
      <c r="V735" s="1322"/>
      <c r="W735" s="1031"/>
      <c r="X735" s="1031"/>
      <c r="Y735" s="1031"/>
      <c r="Z735" s="1031"/>
      <c r="AA735" s="1322"/>
      <c r="AB735" s="1031"/>
      <c r="AC735" s="1031"/>
      <c r="AD735" s="1031"/>
      <c r="AE735" s="1031"/>
      <c r="AF735" s="1322"/>
      <c r="AG735" s="1031"/>
      <c r="AH735" s="1031"/>
      <c r="AI735" s="1031"/>
      <c r="AJ735" s="1031"/>
      <c r="AK735" s="1322"/>
      <c r="AL735" s="1031"/>
      <c r="AM735" s="1031"/>
      <c r="AN735" s="1031"/>
      <c r="AO735" s="1031"/>
      <c r="AP735" s="1322"/>
      <c r="AQ735" s="1031"/>
      <c r="AR735" s="1031"/>
      <c r="AS735" s="1031"/>
      <c r="AT735" s="1031"/>
      <c r="AU735" s="1322"/>
      <c r="AV735" s="1031"/>
      <c r="AW735" s="1031"/>
      <c r="AX735" s="1031"/>
      <c r="AY735" s="1031"/>
      <c r="AZ735" s="1322"/>
      <c r="BA735" s="1031"/>
      <c r="BB735" s="1031"/>
      <c r="BC735" s="1031"/>
      <c r="BD735" s="1031"/>
      <c r="BE735" s="1322"/>
      <c r="BF735" s="1031"/>
      <c r="BG735" s="1031"/>
      <c r="BH735" s="1049"/>
      <c r="BI735" s="1023"/>
      <c r="BJ735" s="1321"/>
      <c r="BK735" s="1023"/>
      <c r="BL735" s="1023"/>
      <c r="BM735" s="1023"/>
      <c r="BN735" s="1023"/>
      <c r="BO735" s="1321"/>
      <c r="BP735" s="1322"/>
      <c r="BQ735" s="1322"/>
      <c r="BR735" s="1321"/>
      <c r="BS735" s="648"/>
    </row>
    <row r="736" spans="1:71" s="665" customFormat="1" ht="15" hidden="1" outlineLevel="1">
      <c r="A736" s="371" t="s">
        <v>72</v>
      </c>
      <c r="B736" s="321"/>
      <c r="C736" s="1364">
        <v>1057.50</v>
      </c>
      <c r="D736" s="1364">
        <v>1068.30</v>
      </c>
      <c r="E736" s="1364">
        <v>1015.50</v>
      </c>
      <c r="F736" s="1364">
        <v>902.30</v>
      </c>
      <c r="G736" s="1364">
        <v>1165.4000000000001</v>
      </c>
      <c r="H736" s="1225">
        <v>321.30</v>
      </c>
      <c r="I736" s="1225">
        <v>614.70000000000005</v>
      </c>
      <c r="J736" s="1225">
        <v>910.80</v>
      </c>
      <c r="K736" s="1042">
        <f t="shared" si="1469" ref="K736:K744">L736</f>
        <v>1281</v>
      </c>
      <c r="L736" s="1364">
        <v>1281</v>
      </c>
      <c r="M736" s="1225">
        <v>295.60000000000002</v>
      </c>
      <c r="N736" s="1225">
        <v>664.10</v>
      </c>
      <c r="O736" s="1225">
        <v>950.60</v>
      </c>
      <c r="P736" s="1042">
        <f t="shared" si="1470" ref="P736:P744">Q736</f>
        <v>1300.50</v>
      </c>
      <c r="Q736" s="1364">
        <v>1300.50</v>
      </c>
      <c r="R736" s="1225">
        <v>258.70</v>
      </c>
      <c r="S736" s="1225">
        <v>453.60</v>
      </c>
      <c r="T736" s="1225">
        <v>659.10</v>
      </c>
      <c r="U736" s="1042">
        <f t="shared" si="1471" ref="U736:U744">V736</f>
        <v>1057.20</v>
      </c>
      <c r="V736" s="1364">
        <v>1057.20</v>
      </c>
      <c r="W736" s="1225">
        <v>430.30</v>
      </c>
      <c r="X736" s="1225">
        <v>803</v>
      </c>
      <c r="Y736" s="1225">
        <v>1017.80</v>
      </c>
      <c r="Z736" s="1042">
        <f t="shared" si="1472" ref="Z736:Z744">AA736</f>
        <v>1598.10</v>
      </c>
      <c r="AA736" s="1364">
        <v>1598.10</v>
      </c>
      <c r="AB736" s="1225">
        <v>729.80</v>
      </c>
      <c r="AC736" s="1225">
        <v>1431</v>
      </c>
      <c r="AD736" s="1225">
        <v>2361.1999999999998</v>
      </c>
      <c r="AE736" s="1042">
        <f t="shared" si="1473" ref="AE736:AE744">AF736</f>
        <v>2621</v>
      </c>
      <c r="AF736" s="1364">
        <v>2621</v>
      </c>
      <c r="AG736" s="1225">
        <v>1082.80</v>
      </c>
      <c r="AH736" s="1225">
        <v>2061.8000000000002</v>
      </c>
      <c r="AI736" s="1225">
        <v>2905.40</v>
      </c>
      <c r="AJ736" s="1042">
        <f t="shared" si="1474" ref="AJ736:AJ744">AK736</f>
        <v>3980</v>
      </c>
      <c r="AK736" s="1364">
        <v>3980</v>
      </c>
      <c r="AL736" s="1225">
        <v>699.10</v>
      </c>
      <c r="AM736" s="1225">
        <v>2489.50</v>
      </c>
      <c r="AN736" s="1225">
        <v>4020.30</v>
      </c>
      <c r="AO736" s="1042">
        <f t="shared" si="1475" ref="AO736:AO744">AP736</f>
        <v>5704.60</v>
      </c>
      <c r="AP736" s="1364">
        <v>5704.60</v>
      </c>
      <c r="AQ736" s="1225">
        <v>1480</v>
      </c>
      <c r="AR736" s="1225">
        <v>2270.10</v>
      </c>
      <c r="AS736" s="1225">
        <v>2388.60</v>
      </c>
      <c r="AT736" s="1047">
        <f t="shared" si="1476" ref="AT736:AT744">AU736</f>
        <v>3350.90</v>
      </c>
      <c r="AU736" s="1364">
        <v>3350.90</v>
      </c>
      <c r="AV736" s="1225">
        <v>313.89999999999998</v>
      </c>
      <c r="AW736" s="1225">
        <v>-229</v>
      </c>
      <c r="AX736" s="1225">
        <v>-104.90000000000001</v>
      </c>
      <c r="AY736" s="1047">
        <f t="shared" si="1477" ref="AY736:AY745">AZ736</f>
        <v>721.50</v>
      </c>
      <c r="AZ736" s="1364">
        <v>721.50</v>
      </c>
      <c r="BA736" s="1225">
        <v>447.90</v>
      </c>
      <c r="BB736" s="1225">
        <v>793.30</v>
      </c>
      <c r="BC736" s="1225">
        <v>1914.60</v>
      </c>
      <c r="BD736" s="1047">
        <f t="shared" si="1478" ref="BD736:BD743">BE736</f>
        <v>3902.40</v>
      </c>
      <c r="BE736" s="1364">
        <v>3902.40</v>
      </c>
      <c r="BF736" s="1225">
        <v>2331.40</v>
      </c>
      <c r="BG736" s="1225">
        <v>3790.10</v>
      </c>
      <c r="BH736" s="1226">
        <v>6123.50</v>
      </c>
      <c r="BI736" s="1044">
        <f t="shared" si="1479" ref="BI736:BI742">BJ736</f>
        <v>0</v>
      </c>
      <c r="BJ736" s="1350"/>
      <c r="BK736" s="1044"/>
      <c r="BL736" s="1044"/>
      <c r="BM736" s="1044"/>
      <c r="BN736" s="1044">
        <f t="shared" si="1480" ref="BN736:BN742">BO736</f>
        <v>0</v>
      </c>
      <c r="BO736" s="1350"/>
      <c r="BP736" s="1351"/>
      <c r="BQ736" s="1351"/>
      <c r="BR736" s="1350"/>
      <c r="BS736" s="648"/>
    </row>
    <row r="737" spans="1:71" s="665" customFormat="1" ht="15" hidden="1" outlineLevel="1">
      <c r="A737" s="371" t="s">
        <v>139</v>
      </c>
      <c r="B737" s="321"/>
      <c r="C737" s="1364">
        <v>87.30</v>
      </c>
      <c r="D737" s="1364">
        <v>83.10</v>
      </c>
      <c r="E737" s="1364">
        <v>88.50</v>
      </c>
      <c r="F737" s="1364">
        <v>94.40</v>
      </c>
      <c r="G737" s="1364">
        <v>101.30</v>
      </c>
      <c r="H737" s="1225">
        <v>22.80</v>
      </c>
      <c r="I737" s="1225">
        <v>46.70</v>
      </c>
      <c r="J737" s="1225">
        <v>71.80</v>
      </c>
      <c r="K737" s="1042">
        <f t="shared" si="1469"/>
        <v>97.10</v>
      </c>
      <c r="L737" s="1364">
        <v>97.10</v>
      </c>
      <c r="M737" s="1225">
        <v>23.80</v>
      </c>
      <c r="N737" s="1225">
        <v>49.70</v>
      </c>
      <c r="O737" s="1225">
        <v>76.099999999999994</v>
      </c>
      <c r="P737" s="1042">
        <f t="shared" si="1470"/>
        <v>103.70</v>
      </c>
      <c r="Q737" s="1364">
        <v>103.70</v>
      </c>
      <c r="R737" s="1225">
        <v>27.50</v>
      </c>
      <c r="S737" s="1225">
        <v>58.10</v>
      </c>
      <c r="T737" s="1225">
        <v>94.60</v>
      </c>
      <c r="U737" s="1042">
        <f t="shared" si="1471"/>
        <v>137.40000000000001</v>
      </c>
      <c r="V737" s="1364">
        <v>137.40000000000001</v>
      </c>
      <c r="W737" s="1225">
        <v>41</v>
      </c>
      <c r="X737" s="1225">
        <v>84</v>
      </c>
      <c r="Y737" s="1225">
        <v>126.70</v>
      </c>
      <c r="Z737" s="1042">
        <f t="shared" si="1472"/>
        <v>169.90</v>
      </c>
      <c r="AA737" s="1364">
        <v>169.90</v>
      </c>
      <c r="AB737" s="1225">
        <v>40.90</v>
      </c>
      <c r="AC737" s="1225">
        <v>86.60</v>
      </c>
      <c r="AD737" s="1225">
        <v>137.80000000000001</v>
      </c>
      <c r="AE737" s="1042">
        <f t="shared" si="1473"/>
        <v>190.40</v>
      </c>
      <c r="AF737" s="1364">
        <v>190.40</v>
      </c>
      <c r="AG737" s="1225">
        <v>52.60</v>
      </c>
      <c r="AH737" s="1225">
        <v>114.59999999999999</v>
      </c>
      <c r="AI737" s="1225">
        <v>171</v>
      </c>
      <c r="AJ737" s="1042">
        <f t="shared" si="1474"/>
        <v>239.80</v>
      </c>
      <c r="AK737" s="1364">
        <v>239.80</v>
      </c>
      <c r="AL737" s="1225">
        <v>62.60</v>
      </c>
      <c r="AM737" s="1225">
        <v>130.30000000000001</v>
      </c>
      <c r="AN737" s="1225">
        <v>201.20</v>
      </c>
      <c r="AO737" s="1042">
        <f t="shared" si="1475"/>
        <v>274.89999999999998</v>
      </c>
      <c r="AP737" s="1364">
        <v>274.89999999999998</v>
      </c>
      <c r="AQ737" s="1225">
        <v>62.90</v>
      </c>
      <c r="AR737" s="1225">
        <v>129.40000000000001</v>
      </c>
      <c r="AS737" s="1225">
        <v>203.90</v>
      </c>
      <c r="AT737" s="1047">
        <f t="shared" si="1476"/>
        <v>279.70</v>
      </c>
      <c r="AU737" s="1364">
        <v>279.70</v>
      </c>
      <c r="AV737" s="1225">
        <v>71.099999999999994</v>
      </c>
      <c r="AW737" s="1225">
        <v>149.59999999999999</v>
      </c>
      <c r="AX737" s="1225">
        <v>227.50</v>
      </c>
      <c r="AY737" s="1047">
        <f t="shared" si="1477"/>
        <v>305.60000000000002</v>
      </c>
      <c r="AZ737" s="1364">
        <v>305.60000000000002</v>
      </c>
      <c r="BA737" s="1225">
        <v>68</v>
      </c>
      <c r="BB737" s="1225">
        <v>140.59999999999999</v>
      </c>
      <c r="BC737" s="1225">
        <v>212</v>
      </c>
      <c r="BD737" s="1047">
        <f t="shared" si="1478"/>
        <v>285.50</v>
      </c>
      <c r="BE737" s="1364">
        <v>285.50</v>
      </c>
      <c r="BF737" s="1225">
        <v>69.70</v>
      </c>
      <c r="BG737" s="1225">
        <v>137.50</v>
      </c>
      <c r="BH737" s="1226">
        <v>208.20</v>
      </c>
      <c r="BI737" s="1044">
        <f t="shared" si="1479"/>
        <v>0</v>
      </c>
      <c r="BJ737" s="1350"/>
      <c r="BK737" s="1044"/>
      <c r="BL737" s="1044"/>
      <c r="BM737" s="1044"/>
      <c r="BN737" s="1044">
        <f t="shared" si="1480"/>
        <v>0</v>
      </c>
      <c r="BO737" s="1350"/>
      <c r="BP737" s="1351"/>
      <c r="BQ737" s="1351"/>
      <c r="BR737" s="1350"/>
      <c r="BS737" s="648"/>
    </row>
    <row r="738" spans="1:71" s="665" customFormat="1" ht="15" hidden="1" outlineLevel="1">
      <c r="A738" s="371" t="s">
        <v>140</v>
      </c>
      <c r="B738" s="321"/>
      <c r="C738" s="1351"/>
      <c r="D738" s="1351"/>
      <c r="E738" s="1351"/>
      <c r="F738" s="1351"/>
      <c r="G738" s="1351"/>
      <c r="H738" s="1047"/>
      <c r="I738" s="1225">
        <v>0</v>
      </c>
      <c r="J738" s="1225">
        <v>0</v>
      </c>
      <c r="K738" s="1042">
        <f t="shared" si="1469"/>
        <v>0</v>
      </c>
      <c r="L738" s="1364">
        <v>0</v>
      </c>
      <c r="M738" s="1225">
        <v>0</v>
      </c>
      <c r="N738" s="1225">
        <v>15.70</v>
      </c>
      <c r="O738" s="1225">
        <v>31.20</v>
      </c>
      <c r="P738" s="1042">
        <f t="shared" si="1470"/>
        <v>46.80</v>
      </c>
      <c r="Q738" s="1364">
        <v>46.80</v>
      </c>
      <c r="R738" s="1225">
        <v>15.50</v>
      </c>
      <c r="S738" s="1225">
        <v>31.10</v>
      </c>
      <c r="T738" s="1225">
        <v>46.60</v>
      </c>
      <c r="U738" s="1042">
        <f t="shared" si="1471"/>
        <v>62.10</v>
      </c>
      <c r="V738" s="1364">
        <v>62.10</v>
      </c>
      <c r="W738" s="1225">
        <v>15.50</v>
      </c>
      <c r="X738" s="1225">
        <v>31</v>
      </c>
      <c r="Y738" s="1225">
        <v>48.20</v>
      </c>
      <c r="Z738" s="1042">
        <f t="shared" si="1472"/>
        <v>66.20</v>
      </c>
      <c r="AA738" s="1364">
        <v>66.20</v>
      </c>
      <c r="AB738" s="1225">
        <v>18</v>
      </c>
      <c r="AC738" s="1225">
        <v>36</v>
      </c>
      <c r="AD738" s="1225">
        <v>54</v>
      </c>
      <c r="AE738" s="1042">
        <f t="shared" si="1473"/>
        <v>72</v>
      </c>
      <c r="AF738" s="1364">
        <v>72</v>
      </c>
      <c r="AG738" s="1225">
        <v>17.90</v>
      </c>
      <c r="AH738" s="1225">
        <v>35.90</v>
      </c>
      <c r="AI738" s="1225">
        <v>51.70</v>
      </c>
      <c r="AJ738" s="1042">
        <f t="shared" si="1474"/>
        <v>66.30</v>
      </c>
      <c r="AK738" s="1364">
        <v>66.30</v>
      </c>
      <c r="AL738" s="1225">
        <v>14.50</v>
      </c>
      <c r="AM738" s="1225">
        <v>28.60</v>
      </c>
      <c r="AN738" s="1225">
        <v>42.80</v>
      </c>
      <c r="AO738" s="1042">
        <f t="shared" si="1475"/>
        <v>56.90</v>
      </c>
      <c r="AP738" s="1364">
        <v>56.90</v>
      </c>
      <c r="AQ738" s="1225">
        <v>14.20</v>
      </c>
      <c r="AR738" s="1225">
        <v>28.50</v>
      </c>
      <c r="AS738" s="1225">
        <v>43.10</v>
      </c>
      <c r="AT738" s="1047">
        <f t="shared" si="1476"/>
        <v>57.70</v>
      </c>
      <c r="AU738" s="1364">
        <v>57.70</v>
      </c>
      <c r="AV738" s="1225">
        <v>14.60</v>
      </c>
      <c r="AW738" s="1225">
        <v>20.10</v>
      </c>
      <c r="AX738" s="1225">
        <v>25.50</v>
      </c>
      <c r="AY738" s="1047">
        <f t="shared" si="1477"/>
        <v>31</v>
      </c>
      <c r="AZ738" s="1364">
        <v>31</v>
      </c>
      <c r="BA738" s="1225">
        <v>5.40</v>
      </c>
      <c r="BB738" s="1225">
        <v>8.50</v>
      </c>
      <c r="BC738" s="1225">
        <v>11.40</v>
      </c>
      <c r="BD738" s="1047">
        <f t="shared" si="1478"/>
        <v>14.20</v>
      </c>
      <c r="BE738" s="1364">
        <v>14.20</v>
      </c>
      <c r="BF738" s="1047"/>
      <c r="BG738" s="1047"/>
      <c r="BH738" s="1048"/>
      <c r="BI738" s="1044">
        <f t="shared" si="1479"/>
        <v>0</v>
      </c>
      <c r="BJ738" s="1350"/>
      <c r="BK738" s="1044"/>
      <c r="BL738" s="1044"/>
      <c r="BM738" s="1044"/>
      <c r="BN738" s="1044">
        <f t="shared" si="1480"/>
        <v>0</v>
      </c>
      <c r="BO738" s="1350"/>
      <c r="BP738" s="1351"/>
      <c r="BQ738" s="1351"/>
      <c r="BR738" s="1350"/>
      <c r="BS738" s="648"/>
    </row>
    <row r="739" spans="1:71" s="665" customFormat="1" ht="15" hidden="1" outlineLevel="1">
      <c r="A739" s="371" t="s">
        <v>141</v>
      </c>
      <c r="B739" s="321"/>
      <c r="C739" s="1364">
        <v>230.80</v>
      </c>
      <c r="D739" s="1364">
        <v>229.20</v>
      </c>
      <c r="E739" s="1364">
        <v>233</v>
      </c>
      <c r="F739" s="1364">
        <v>186.70</v>
      </c>
      <c r="G739" s="1364">
        <v>134</v>
      </c>
      <c r="H739" s="1225">
        <v>19</v>
      </c>
      <c r="I739" s="1225">
        <v>38.10</v>
      </c>
      <c r="J739" s="1225">
        <v>59.50</v>
      </c>
      <c r="K739" s="1042">
        <f t="shared" si="1469"/>
        <v>78.20</v>
      </c>
      <c r="L739" s="1364">
        <v>78.20</v>
      </c>
      <c r="M739" s="1225">
        <v>17.30</v>
      </c>
      <c r="N739" s="1225">
        <v>43.50</v>
      </c>
      <c r="O739" s="1225">
        <v>71.20</v>
      </c>
      <c r="P739" s="1042">
        <f t="shared" si="1470"/>
        <v>98.40</v>
      </c>
      <c r="Q739" s="1364">
        <v>98.40</v>
      </c>
      <c r="R739" s="1225">
        <v>20.50</v>
      </c>
      <c r="S739" s="1225">
        <v>42.10</v>
      </c>
      <c r="T739" s="1225">
        <v>57.10</v>
      </c>
      <c r="U739" s="1042">
        <f t="shared" si="1471"/>
        <v>77.20</v>
      </c>
      <c r="V739" s="1364">
        <v>77.20</v>
      </c>
      <c r="W739" s="1225">
        <v>22.10</v>
      </c>
      <c r="X739" s="1225">
        <v>44.10</v>
      </c>
      <c r="Y739" s="1225">
        <v>67.50</v>
      </c>
      <c r="Z739" s="1042">
        <f t="shared" si="1472"/>
        <v>86.20</v>
      </c>
      <c r="AA739" s="1364">
        <v>86.20</v>
      </c>
      <c r="AB739" s="1225">
        <v>15</v>
      </c>
      <c r="AC739" s="1225">
        <v>23.20</v>
      </c>
      <c r="AD739" s="1225">
        <v>29.70</v>
      </c>
      <c r="AE739" s="1042">
        <f t="shared" si="1473"/>
        <v>34.299999999999997</v>
      </c>
      <c r="AF739" s="1364">
        <v>34.299999999999997</v>
      </c>
      <c r="AG739" s="1225">
        <v>0.20</v>
      </c>
      <c r="AH739" s="1225">
        <v>1.90</v>
      </c>
      <c r="AI739" s="1225">
        <v>14.10</v>
      </c>
      <c r="AJ739" s="1042">
        <f t="shared" si="1474"/>
        <v>33.299999999999997</v>
      </c>
      <c r="AK739" s="1364">
        <v>33.299999999999997</v>
      </c>
      <c r="AL739" s="1225">
        <v>18.90</v>
      </c>
      <c r="AM739" s="1225">
        <v>42.50</v>
      </c>
      <c r="AN739" s="1225">
        <v>72.400000000000006</v>
      </c>
      <c r="AO739" s="1042">
        <f t="shared" si="1475"/>
        <v>100.90000000000001</v>
      </c>
      <c r="AP739" s="1364">
        <v>100.90000000000001</v>
      </c>
      <c r="AQ739" s="1225">
        <v>31.70</v>
      </c>
      <c r="AR739" s="1225">
        <v>62.10</v>
      </c>
      <c r="AS739" s="1225">
        <v>97.20</v>
      </c>
      <c r="AT739" s="1047">
        <f t="shared" si="1476"/>
        <v>130.30000000000001</v>
      </c>
      <c r="AU739" s="1364">
        <v>130.30000000000001</v>
      </c>
      <c r="AV739" s="1225">
        <v>27</v>
      </c>
      <c r="AW739" s="1225">
        <v>29.20</v>
      </c>
      <c r="AX739" s="1225">
        <v>1.60</v>
      </c>
      <c r="AY739" s="1047">
        <f t="shared" si="1477"/>
        <v>-25.20</v>
      </c>
      <c r="AZ739" s="1364">
        <v>-25.20</v>
      </c>
      <c r="BA739" s="1225">
        <v>-5</v>
      </c>
      <c r="BB739" s="1225">
        <v>-5.50</v>
      </c>
      <c r="BC739" s="1225">
        <v>-7.60</v>
      </c>
      <c r="BD739" s="1047">
        <f t="shared" si="1478"/>
        <v>41.40</v>
      </c>
      <c r="BE739" s="1364">
        <v>41.40</v>
      </c>
      <c r="BF739" s="1225">
        <v>-7.50</v>
      </c>
      <c r="BG739" s="1225">
        <v>-20.10</v>
      </c>
      <c r="BH739" s="1226">
        <v>-23.50</v>
      </c>
      <c r="BI739" s="1044">
        <f t="shared" si="1479"/>
        <v>0</v>
      </c>
      <c r="BJ739" s="1350"/>
      <c r="BK739" s="1044"/>
      <c r="BL739" s="1044"/>
      <c r="BM739" s="1044"/>
      <c r="BN739" s="1044">
        <f t="shared" si="1480"/>
        <v>0</v>
      </c>
      <c r="BO739" s="1350"/>
      <c r="BP739" s="1351"/>
      <c r="BQ739" s="1351"/>
      <c r="BR739" s="1350"/>
      <c r="BS739" s="648"/>
    </row>
    <row r="740" spans="1:71" s="665" customFormat="1" ht="15" hidden="1" outlineLevel="1">
      <c r="A740" s="371" t="s">
        <v>142</v>
      </c>
      <c r="B740" s="321"/>
      <c r="C740" s="1364">
        <v>40.299999999999997</v>
      </c>
      <c r="D740" s="1364">
        <v>45.90</v>
      </c>
      <c r="E740" s="1364">
        <v>50.50</v>
      </c>
      <c r="F740" s="1364">
        <v>63.40</v>
      </c>
      <c r="G740" s="1364">
        <v>64.900000000000006</v>
      </c>
      <c r="H740" s="1225">
        <v>15.20</v>
      </c>
      <c r="I740" s="1225">
        <v>29.80</v>
      </c>
      <c r="J740" s="1225">
        <v>38.40</v>
      </c>
      <c r="K740" s="1042">
        <f t="shared" si="1469"/>
        <v>51.40</v>
      </c>
      <c r="L740" s="1364">
        <v>51.40</v>
      </c>
      <c r="M740" s="1225">
        <v>13.10</v>
      </c>
      <c r="N740" s="1225">
        <v>26.50</v>
      </c>
      <c r="O740" s="1225">
        <v>45.90</v>
      </c>
      <c r="P740" s="1042">
        <f t="shared" si="1470"/>
        <v>66.20</v>
      </c>
      <c r="Q740" s="1364">
        <v>66.20</v>
      </c>
      <c r="R740" s="1225">
        <v>12.80</v>
      </c>
      <c r="S740" s="1225">
        <v>42.10</v>
      </c>
      <c r="T740" s="1225">
        <v>64.599999999999994</v>
      </c>
      <c r="U740" s="1042">
        <f t="shared" si="1471"/>
        <v>85.20</v>
      </c>
      <c r="V740" s="1364">
        <v>85.20</v>
      </c>
      <c r="W740" s="1225">
        <v>30.90</v>
      </c>
      <c r="X740" s="1225">
        <v>53.90</v>
      </c>
      <c r="Y740" s="1225">
        <v>76.599999999999994</v>
      </c>
      <c r="Z740" s="1042">
        <f t="shared" si="1472"/>
        <v>95.40</v>
      </c>
      <c r="AA740" s="1364">
        <v>95.40</v>
      </c>
      <c r="AB740" s="1225">
        <v>17.40</v>
      </c>
      <c r="AC740" s="1225">
        <v>38.50</v>
      </c>
      <c r="AD740" s="1225">
        <v>54</v>
      </c>
      <c r="AE740" s="1042">
        <f t="shared" si="1473"/>
        <v>77.20</v>
      </c>
      <c r="AF740" s="1364">
        <v>77.20</v>
      </c>
      <c r="AG740" s="1225">
        <v>19.20</v>
      </c>
      <c r="AH740" s="1225">
        <v>46</v>
      </c>
      <c r="AI740" s="1225">
        <v>64.70</v>
      </c>
      <c r="AJ740" s="1042">
        <f t="shared" si="1474"/>
        <v>90.20</v>
      </c>
      <c r="AK740" s="1364">
        <v>90.20</v>
      </c>
      <c r="AL740" s="1225">
        <v>23.30</v>
      </c>
      <c r="AM740" s="1225">
        <v>45.20</v>
      </c>
      <c r="AN740" s="1225">
        <v>61.90</v>
      </c>
      <c r="AO740" s="1042">
        <f t="shared" si="1475"/>
        <v>89.40</v>
      </c>
      <c r="AP740" s="1364">
        <v>89.40</v>
      </c>
      <c r="AQ740" s="1225">
        <v>15.80</v>
      </c>
      <c r="AR740" s="1225">
        <v>42.70</v>
      </c>
      <c r="AS740" s="1225">
        <v>68.70</v>
      </c>
      <c r="AT740" s="1047">
        <f t="shared" si="1476"/>
        <v>100.70</v>
      </c>
      <c r="AU740" s="1364">
        <v>100.70</v>
      </c>
      <c r="AV740" s="1225">
        <v>17.30</v>
      </c>
      <c r="AW740" s="1225">
        <v>43.70</v>
      </c>
      <c r="AX740" s="1225">
        <v>69.70</v>
      </c>
      <c r="AY740" s="1047">
        <f t="shared" si="1477"/>
        <v>122.70</v>
      </c>
      <c r="AZ740" s="1364">
        <v>122.70</v>
      </c>
      <c r="BA740" s="1225">
        <v>15.90</v>
      </c>
      <c r="BB740" s="1225">
        <v>43.80</v>
      </c>
      <c r="BC740" s="1225">
        <v>86.70</v>
      </c>
      <c r="BD740" s="1047">
        <f t="shared" si="1478"/>
        <v>121.30</v>
      </c>
      <c r="BE740" s="1364">
        <v>121.30</v>
      </c>
      <c r="BF740" s="1225">
        <v>16.80</v>
      </c>
      <c r="BG740" s="1225">
        <v>48.50</v>
      </c>
      <c r="BH740" s="1226">
        <v>85.80</v>
      </c>
      <c r="BI740" s="1044">
        <f t="shared" si="1479"/>
        <v>0</v>
      </c>
      <c r="BJ740" s="1350"/>
      <c r="BK740" s="1044"/>
      <c r="BL740" s="1044"/>
      <c r="BM740" s="1044"/>
      <c r="BN740" s="1044">
        <f t="shared" si="1480"/>
        <v>0</v>
      </c>
      <c r="BO740" s="1350"/>
      <c r="BP740" s="1351"/>
      <c r="BQ740" s="1351"/>
      <c r="BR740" s="1350"/>
      <c r="BS740" s="648"/>
    </row>
    <row r="741" spans="1:71" s="665" customFormat="1" ht="15" hidden="1" outlineLevel="1">
      <c r="A741" s="371" t="s">
        <v>143</v>
      </c>
      <c r="B741" s="321"/>
      <c r="C741" s="1364">
        <v>-27.10</v>
      </c>
      <c r="D741" s="1364">
        <v>-96.10</v>
      </c>
      <c r="E741" s="1364">
        <v>-102.59999999999999</v>
      </c>
      <c r="F741" s="1364">
        <v>-306.80</v>
      </c>
      <c r="G741" s="1364">
        <v>-318.39999999999998</v>
      </c>
      <c r="H741" s="1225">
        <v>-119.40000000000001</v>
      </c>
      <c r="I741" s="1225">
        <v>-159.80000000000001</v>
      </c>
      <c r="J741" s="1225">
        <v>-198</v>
      </c>
      <c r="K741" s="1042">
        <f t="shared" si="1469"/>
        <v>-224.20</v>
      </c>
      <c r="L741" s="1364">
        <v>-224.20</v>
      </c>
      <c r="M741" s="1225">
        <v>-33</v>
      </c>
      <c r="N741" s="1225">
        <v>-109</v>
      </c>
      <c r="O741" s="1225">
        <v>-93.20</v>
      </c>
      <c r="P741" s="1042">
        <f t="shared" si="1470"/>
        <v>-112.70</v>
      </c>
      <c r="Q741" s="1364">
        <v>-112.70</v>
      </c>
      <c r="R741" s="1225">
        <v>-17.40</v>
      </c>
      <c r="S741" s="1225">
        <v>-49.70</v>
      </c>
      <c r="T741" s="1225">
        <v>-29</v>
      </c>
      <c r="U741" s="1042">
        <f t="shared" si="1471"/>
        <v>-51.10</v>
      </c>
      <c r="V741" s="1364">
        <v>-51.10</v>
      </c>
      <c r="W741" s="1225">
        <v>-51.90</v>
      </c>
      <c r="X741" s="1225">
        <v>-84</v>
      </c>
      <c r="Y741" s="1225">
        <v>-59.30</v>
      </c>
      <c r="Z741" s="1042">
        <f t="shared" si="1472"/>
        <v>-49.60</v>
      </c>
      <c r="AA741" s="1364">
        <v>-49.60</v>
      </c>
      <c r="AB741" s="1225">
        <v>48.20</v>
      </c>
      <c r="AC741" s="1225">
        <v>15.40</v>
      </c>
      <c r="AD741" s="1225">
        <v>-166.70</v>
      </c>
      <c r="AE741" s="1042">
        <f t="shared" si="1473"/>
        <v>405.50</v>
      </c>
      <c r="AF741" s="1364">
        <v>405.50</v>
      </c>
      <c r="AG741" s="1225">
        <v>-414.50</v>
      </c>
      <c r="AH741" s="1225">
        <v>-594.40</v>
      </c>
      <c r="AI741" s="1225">
        <v>-659.80</v>
      </c>
      <c r="AJ741" s="1042">
        <f t="shared" si="1474"/>
        <v>-1029.20</v>
      </c>
      <c r="AK741" s="1364">
        <v>-1029.20</v>
      </c>
      <c r="AL741" s="1225">
        <v>553.60</v>
      </c>
      <c r="AM741" s="1225">
        <v>-337.20</v>
      </c>
      <c r="AN741" s="1225">
        <v>-869.80</v>
      </c>
      <c r="AO741" s="1042">
        <f t="shared" si="1475"/>
        <v>-1630</v>
      </c>
      <c r="AP741" s="1364">
        <v>-1630</v>
      </c>
      <c r="AQ741" s="1225">
        <v>-585.29999999999995</v>
      </c>
      <c r="AR741" s="1225">
        <v>-1047.0999999999999</v>
      </c>
      <c r="AS741" s="1225">
        <v>-1083.9000000000001</v>
      </c>
      <c r="AT741" s="1047">
        <f t="shared" si="1476"/>
        <v>-1509.20</v>
      </c>
      <c r="AU741" s="1364">
        <v>-1509.20</v>
      </c>
      <c r="AV741" s="1225">
        <v>445.30</v>
      </c>
      <c r="AW741" s="1225">
        <v>1623</v>
      </c>
      <c r="AX741" s="1225">
        <v>1839.40</v>
      </c>
      <c r="AY741" s="1047">
        <f t="shared" si="1477"/>
        <v>1912.20</v>
      </c>
      <c r="AZ741" s="1364">
        <v>1912.20</v>
      </c>
      <c r="BA741" s="1225">
        <v>-71.80</v>
      </c>
      <c r="BB741" s="1225">
        <v>-198.70</v>
      </c>
      <c r="BC741" s="1225">
        <v>-49.70</v>
      </c>
      <c r="BD741" s="1047">
        <f t="shared" si="1478"/>
        <v>-353.10</v>
      </c>
      <c r="BE741" s="1364">
        <v>-353.10</v>
      </c>
      <c r="BF741" s="1225">
        <v>-155.59999999999999</v>
      </c>
      <c r="BG741" s="1225">
        <v>-29.30</v>
      </c>
      <c r="BH741" s="1226">
        <v>-316.70</v>
      </c>
      <c r="BI741" s="1044">
        <f t="shared" si="1479"/>
        <v>0</v>
      </c>
      <c r="BJ741" s="1350"/>
      <c r="BK741" s="1044"/>
      <c r="BL741" s="1044"/>
      <c r="BM741" s="1044"/>
      <c r="BN741" s="1044">
        <f t="shared" si="1480"/>
        <v>0</v>
      </c>
      <c r="BO741" s="1350"/>
      <c r="BP741" s="1351"/>
      <c r="BQ741" s="1351"/>
      <c r="BR741" s="1350"/>
      <c r="BS741" s="648"/>
    </row>
    <row r="742" spans="1:71" s="665" customFormat="1" ht="15" hidden="1" outlineLevel="1">
      <c r="A742" s="371" t="s">
        <v>144</v>
      </c>
      <c r="B742" s="321"/>
      <c r="C742" s="1364">
        <v>13.30</v>
      </c>
      <c r="D742" s="1364">
        <v>2.2999999999999998</v>
      </c>
      <c r="E742" s="1364">
        <v>8.6999999999999993</v>
      </c>
      <c r="F742" s="1364">
        <v>7.10</v>
      </c>
      <c r="G742" s="1364">
        <v>5.60</v>
      </c>
      <c r="H742" s="1225">
        <v>2.10</v>
      </c>
      <c r="I742" s="1225">
        <v>3.30</v>
      </c>
      <c r="J742" s="1225">
        <v>4.20</v>
      </c>
      <c r="K742" s="1042">
        <f t="shared" si="1469"/>
        <v>5.40</v>
      </c>
      <c r="L742" s="1364">
        <v>5.40</v>
      </c>
      <c r="M742" s="1225">
        <v>0.10000000000000001</v>
      </c>
      <c r="N742" s="1225">
        <v>0.70</v>
      </c>
      <c r="O742" s="1225">
        <v>0.50</v>
      </c>
      <c r="P742" s="1042">
        <f t="shared" si="1470"/>
        <v>2</v>
      </c>
      <c r="Q742" s="1364">
        <v>2</v>
      </c>
      <c r="R742" s="1225">
        <v>0.10000000000000001</v>
      </c>
      <c r="S742" s="1225">
        <v>1.20</v>
      </c>
      <c r="T742" s="1225">
        <v>4.0999999999999996</v>
      </c>
      <c r="U742" s="1042">
        <f t="shared" si="1471"/>
        <v>6.60</v>
      </c>
      <c r="V742" s="1364">
        <v>6.60</v>
      </c>
      <c r="W742" s="1225">
        <v>1.30</v>
      </c>
      <c r="X742" s="1225">
        <v>3.20</v>
      </c>
      <c r="Y742" s="1225">
        <v>5.30</v>
      </c>
      <c r="Z742" s="1042">
        <f t="shared" si="1472"/>
        <v>7.20</v>
      </c>
      <c r="AA742" s="1364">
        <v>7.20</v>
      </c>
      <c r="AB742" s="1225">
        <v>1.20</v>
      </c>
      <c r="AC742" s="1225">
        <v>1.70</v>
      </c>
      <c r="AD742" s="1225">
        <v>7.40</v>
      </c>
      <c r="AE742" s="1042">
        <f t="shared" si="1473"/>
        <v>32.10</v>
      </c>
      <c r="AF742" s="1364">
        <v>32.10</v>
      </c>
      <c r="AG742" s="1225">
        <v>5.0999999999999996</v>
      </c>
      <c r="AH742" s="1225">
        <v>-1.60</v>
      </c>
      <c r="AI742" s="1225">
        <v>-0.10000000000000001</v>
      </c>
      <c r="AJ742" s="1042">
        <f t="shared" si="1474"/>
        <v>11</v>
      </c>
      <c r="AK742" s="1364">
        <v>11</v>
      </c>
      <c r="AL742" s="1225">
        <v>0.10000000000000001</v>
      </c>
      <c r="AM742" s="1225">
        <v>1.80</v>
      </c>
      <c r="AN742" s="1225">
        <v>4.80</v>
      </c>
      <c r="AO742" s="1042">
        <f t="shared" si="1475"/>
        <v>12.50</v>
      </c>
      <c r="AP742" s="1364">
        <v>12.50</v>
      </c>
      <c r="AQ742" s="1225">
        <v>-1.1000000000000001</v>
      </c>
      <c r="AR742" s="1225">
        <v>0.50</v>
      </c>
      <c r="AS742" s="1225">
        <v>-4</v>
      </c>
      <c r="AT742" s="1047">
        <f t="shared" si="1476"/>
        <v>-3.60</v>
      </c>
      <c r="AU742" s="1364">
        <v>-3.60</v>
      </c>
      <c r="AV742" s="1225">
        <v>3.30</v>
      </c>
      <c r="AW742" s="1225">
        <v>2</v>
      </c>
      <c r="AX742" s="1225">
        <v>5.30</v>
      </c>
      <c r="AY742" s="1047">
        <f t="shared" si="1477"/>
        <v>-0.60</v>
      </c>
      <c r="AZ742" s="1364">
        <v>-0.60</v>
      </c>
      <c r="BA742" s="1225">
        <v>16.50</v>
      </c>
      <c r="BB742" s="1225">
        <v>6.20</v>
      </c>
      <c r="BC742" s="1225">
        <v>23</v>
      </c>
      <c r="BD742" s="1047">
        <f t="shared" si="1478"/>
        <v>36.200000000000003</v>
      </c>
      <c r="BE742" s="1364">
        <v>36.200000000000003</v>
      </c>
      <c r="BF742" s="1225">
        <v>-1.70</v>
      </c>
      <c r="BG742" s="1225">
        <v>-1.1000000000000001</v>
      </c>
      <c r="BH742" s="1226">
        <v>-1.90</v>
      </c>
      <c r="BI742" s="1044">
        <f t="shared" si="1479"/>
        <v>0</v>
      </c>
      <c r="BJ742" s="1350"/>
      <c r="BK742" s="1044"/>
      <c r="BL742" s="1044"/>
      <c r="BM742" s="1044"/>
      <c r="BN742" s="1044">
        <f t="shared" si="1480"/>
        <v>0</v>
      </c>
      <c r="BO742" s="1350"/>
      <c r="BP742" s="1351"/>
      <c r="BQ742" s="1351"/>
      <c r="BR742" s="1350"/>
      <c r="BS742" s="648"/>
    </row>
    <row r="743" spans="1:71" s="665" customFormat="1" ht="15" hidden="1" outlineLevel="1">
      <c r="A743" s="371" t="s">
        <v>706</v>
      </c>
      <c r="B743" s="321"/>
      <c r="C743" s="1351"/>
      <c r="D743" s="1351"/>
      <c r="E743" s="1351"/>
      <c r="F743" s="1351"/>
      <c r="G743" s="1351"/>
      <c r="H743" s="1047"/>
      <c r="I743" s="1047"/>
      <c r="J743" s="1047"/>
      <c r="K743" s="1047"/>
      <c r="L743" s="1351"/>
      <c r="M743" s="1047"/>
      <c r="N743" s="1047"/>
      <c r="O743" s="1047"/>
      <c r="P743" s="1047"/>
      <c r="Q743" s="1351"/>
      <c r="R743" s="1047"/>
      <c r="S743" s="1047"/>
      <c r="T743" s="1047"/>
      <c r="U743" s="1047"/>
      <c r="V743" s="1351"/>
      <c r="W743" s="1047"/>
      <c r="X743" s="1047"/>
      <c r="Y743" s="1047"/>
      <c r="Z743" s="1047"/>
      <c r="AA743" s="1351"/>
      <c r="AB743" s="1047"/>
      <c r="AC743" s="1047"/>
      <c r="AD743" s="1047"/>
      <c r="AE743" s="1047"/>
      <c r="AF743" s="1351"/>
      <c r="AG743" s="1047"/>
      <c r="AH743" s="1047"/>
      <c r="AI743" s="1047"/>
      <c r="AJ743" s="1047"/>
      <c r="AK743" s="1351"/>
      <c r="AL743" s="1047"/>
      <c r="AM743" s="1047"/>
      <c r="AN743" s="1047"/>
      <c r="AO743" s="1047"/>
      <c r="AP743" s="1351"/>
      <c r="AQ743" s="1047"/>
      <c r="AR743" s="1047"/>
      <c r="AS743" s="1047"/>
      <c r="AT743" s="1047"/>
      <c r="AU743" s="1351"/>
      <c r="AV743" s="1047"/>
      <c r="AW743" s="1225">
        <v>224.80</v>
      </c>
      <c r="AX743" s="1225">
        <v>224.80</v>
      </c>
      <c r="AY743" s="1047">
        <f t="shared" si="1477"/>
        <v>224.80</v>
      </c>
      <c r="AZ743" s="1364">
        <v>224.80</v>
      </c>
      <c r="BA743" s="1047"/>
      <c r="BB743" s="1225">
        <v>0</v>
      </c>
      <c r="BC743" s="1047"/>
      <c r="BD743" s="1047">
        <f t="shared" si="1478"/>
        <v>0</v>
      </c>
      <c r="BE743" s="1364">
        <v>0</v>
      </c>
      <c r="BF743" s="1047"/>
      <c r="BG743" s="1047"/>
      <c r="BH743" s="1048"/>
      <c r="BI743" s="1044"/>
      <c r="BJ743" s="1350"/>
      <c r="BK743" s="1044"/>
      <c r="BL743" s="1044"/>
      <c r="BM743" s="1044"/>
      <c r="BN743" s="1044"/>
      <c r="BO743" s="1350"/>
      <c r="BP743" s="1351"/>
      <c r="BQ743" s="1351"/>
      <c r="BR743" s="1350"/>
      <c r="BS743" s="648"/>
    </row>
    <row r="744" spans="1:71" s="665" customFormat="1" ht="15" hidden="1" outlineLevel="1">
      <c r="A744" s="371" t="s">
        <v>145</v>
      </c>
      <c r="B744" s="321"/>
      <c r="C744" s="1364">
        <v>0</v>
      </c>
      <c r="D744" s="1364">
        <v>-6.40</v>
      </c>
      <c r="E744" s="1364">
        <v>0.10000000000000001</v>
      </c>
      <c r="F744" s="1364">
        <v>1.80</v>
      </c>
      <c r="G744" s="1364">
        <v>4.30</v>
      </c>
      <c r="H744" s="1047"/>
      <c r="I744" s="1047"/>
      <c r="J744" s="1225">
        <v>4.80</v>
      </c>
      <c r="K744" s="1042">
        <f t="shared" si="1469"/>
        <v>4.80</v>
      </c>
      <c r="L744" s="1364">
        <v>4.80</v>
      </c>
      <c r="M744" s="1047"/>
      <c r="N744" s="1225">
        <v>0</v>
      </c>
      <c r="O744" s="1225">
        <v>0.90</v>
      </c>
      <c r="P744" s="1042">
        <f t="shared" si="1470"/>
        <v>0.90</v>
      </c>
      <c r="Q744" s="1364">
        <v>0.90</v>
      </c>
      <c r="R744" s="1225">
        <v>0</v>
      </c>
      <c r="S744" s="1225">
        <v>-1.60</v>
      </c>
      <c r="T744" s="1225">
        <v>-1.60</v>
      </c>
      <c r="U744" s="1042">
        <f t="shared" si="1471"/>
        <v>-1.60</v>
      </c>
      <c r="V744" s="1364">
        <v>-1.60</v>
      </c>
      <c r="W744" s="1225">
        <v>-0.20</v>
      </c>
      <c r="X744" s="1225">
        <v>-0.20</v>
      </c>
      <c r="Y744" s="1225">
        <v>-0.20</v>
      </c>
      <c r="Z744" s="1042">
        <f t="shared" si="1472"/>
        <v>1</v>
      </c>
      <c r="AA744" s="1364">
        <v>1</v>
      </c>
      <c r="AB744" s="1225">
        <v>0</v>
      </c>
      <c r="AC744" s="1225">
        <v>0</v>
      </c>
      <c r="AD744" s="1225">
        <v>0</v>
      </c>
      <c r="AE744" s="1042">
        <f t="shared" si="1473"/>
        <v>0</v>
      </c>
      <c r="AF744" s="1351"/>
      <c r="AG744" s="1047"/>
      <c r="AH744" s="1047"/>
      <c r="AI744" s="1047"/>
      <c r="AJ744" s="1042">
        <f t="shared" si="1474"/>
        <v>0</v>
      </c>
      <c r="AK744" s="1351"/>
      <c r="AL744" s="1047"/>
      <c r="AM744" s="1047"/>
      <c r="AN744" s="1047"/>
      <c r="AO744" s="1042">
        <f t="shared" si="1475"/>
        <v>0</v>
      </c>
      <c r="AP744" s="1351"/>
      <c r="AQ744" s="1047"/>
      <c r="AR744" s="1047"/>
      <c r="AS744" s="1047"/>
      <c r="AT744" s="1047">
        <f t="shared" si="1476"/>
        <v>0</v>
      </c>
      <c r="AU744" s="1351"/>
      <c r="AV744" s="1047"/>
      <c r="AW744" s="1047"/>
      <c r="AX744" s="1047"/>
      <c r="AY744" s="1047">
        <f t="shared" si="1477"/>
        <v>0</v>
      </c>
      <c r="AZ744" s="1351"/>
      <c r="BA744" s="1047"/>
      <c r="BB744" s="1047"/>
      <c r="BC744" s="1047"/>
      <c r="BD744" s="1047">
        <f>BE744</f>
        <v>0</v>
      </c>
      <c r="BE744" s="1351"/>
      <c r="BF744" s="1047"/>
      <c r="BG744" s="1047"/>
      <c r="BH744" s="1048"/>
      <c r="BI744" s="1044">
        <f>BJ744</f>
        <v>0</v>
      </c>
      <c r="BJ744" s="1350"/>
      <c r="BK744" s="1044"/>
      <c r="BL744" s="1044"/>
      <c r="BM744" s="1044"/>
      <c r="BN744" s="1044">
        <f>BO744</f>
        <v>0</v>
      </c>
      <c r="BO744" s="1350"/>
      <c r="BP744" s="1351"/>
      <c r="BQ744" s="1351"/>
      <c r="BR744" s="1350"/>
      <c r="BS744" s="648"/>
    </row>
    <row r="745" spans="1:71" s="665" customFormat="1" ht="15" hidden="1" outlineLevel="1">
      <c r="A745" s="371" t="s">
        <v>146</v>
      </c>
      <c r="B745" s="321"/>
      <c r="C745" s="1351"/>
      <c r="D745" s="1351"/>
      <c r="E745" s="1351"/>
      <c r="F745" s="1351"/>
      <c r="G745" s="1351"/>
      <c r="H745" s="1047"/>
      <c r="I745" s="1047"/>
      <c r="J745" s="1047"/>
      <c r="K745" s="1047"/>
      <c r="L745" s="1351"/>
      <c r="M745" s="1047"/>
      <c r="N745" s="1047"/>
      <c r="O745" s="1047"/>
      <c r="P745" s="1047"/>
      <c r="Q745" s="1351"/>
      <c r="R745" s="1047"/>
      <c r="S745" s="1047"/>
      <c r="T745" s="1047"/>
      <c r="U745" s="1047"/>
      <c r="V745" s="1351"/>
      <c r="W745" s="1047"/>
      <c r="X745" s="1047"/>
      <c r="Y745" s="1225">
        <v>0</v>
      </c>
      <c r="Z745" s="1047"/>
      <c r="AA745" s="1351"/>
      <c r="AB745" s="1047"/>
      <c r="AC745" s="1047"/>
      <c r="AD745" s="1047"/>
      <c r="AE745" s="1047"/>
      <c r="AF745" s="1351"/>
      <c r="AG745" s="1047"/>
      <c r="AH745" s="1047"/>
      <c r="AI745" s="1047"/>
      <c r="AJ745" s="1047"/>
      <c r="AK745" s="1351"/>
      <c r="AL745" s="1047"/>
      <c r="AM745" s="1047"/>
      <c r="AN745" s="1047"/>
      <c r="AO745" s="1047"/>
      <c r="AP745" s="1351"/>
      <c r="AQ745" s="1047"/>
      <c r="AR745" s="1047"/>
      <c r="AS745" s="1047"/>
      <c r="AT745" s="1047"/>
      <c r="AU745" s="1351"/>
      <c r="AV745" s="1047"/>
      <c r="AW745" s="1047"/>
      <c r="AX745" s="1047"/>
      <c r="AY745" s="1047">
        <f t="shared" si="1477"/>
        <v>0</v>
      </c>
      <c r="AZ745" s="1351"/>
      <c r="BA745" s="1047"/>
      <c r="BB745" s="1047"/>
      <c r="BC745" s="1047"/>
      <c r="BD745" s="1047"/>
      <c r="BE745" s="1351"/>
      <c r="BF745" s="1047"/>
      <c r="BG745" s="1047"/>
      <c r="BH745" s="1048"/>
      <c r="BI745" s="1044"/>
      <c r="BJ745" s="1350"/>
      <c r="BK745" s="1044"/>
      <c r="BL745" s="1044"/>
      <c r="BM745" s="1044"/>
      <c r="BN745" s="1044"/>
      <c r="BO745" s="1350"/>
      <c r="BP745" s="1351"/>
      <c r="BQ745" s="1351"/>
      <c r="BR745" s="1350"/>
      <c r="BS745" s="648"/>
    </row>
    <row r="746" spans="1:71" s="665" customFormat="1" ht="15" hidden="1" outlineLevel="1">
      <c r="A746" s="371" t="s">
        <v>147</v>
      </c>
      <c r="B746" s="321"/>
      <c r="C746" s="1351"/>
      <c r="D746" s="1351"/>
      <c r="E746" s="1351"/>
      <c r="F746" s="1351"/>
      <c r="G746" s="1351"/>
      <c r="H746" s="1047"/>
      <c r="I746" s="1047"/>
      <c r="J746" s="1047"/>
      <c r="K746" s="1042">
        <f>L746</f>
        <v>0</v>
      </c>
      <c r="L746" s="1351"/>
      <c r="M746" s="1047"/>
      <c r="N746" s="1225">
        <v>0</v>
      </c>
      <c r="O746" s="1225">
        <v>0</v>
      </c>
      <c r="P746" s="1042">
        <f>Q746</f>
        <v>0</v>
      </c>
      <c r="Q746" s="1364">
        <v>0</v>
      </c>
      <c r="R746" s="1047"/>
      <c r="S746" s="1225">
        <v>4.50</v>
      </c>
      <c r="T746" s="1225">
        <v>4.50</v>
      </c>
      <c r="U746" s="1042">
        <f>V746</f>
        <v>4.50</v>
      </c>
      <c r="V746" s="1364">
        <v>4.50</v>
      </c>
      <c r="W746" s="1047"/>
      <c r="X746" s="1225">
        <v>0</v>
      </c>
      <c r="Y746" s="1225">
        <v>0</v>
      </c>
      <c r="Z746" s="1042">
        <f>AA746</f>
        <v>0</v>
      </c>
      <c r="AA746" s="1351"/>
      <c r="AB746" s="1047"/>
      <c r="AC746" s="1225">
        <v>0</v>
      </c>
      <c r="AD746" s="1047"/>
      <c r="AE746" s="1042">
        <f>AF746</f>
        <v>0</v>
      </c>
      <c r="AF746" s="1351"/>
      <c r="AG746" s="1047"/>
      <c r="AH746" s="1047"/>
      <c r="AI746" s="1047"/>
      <c r="AJ746" s="1042">
        <f>AK746</f>
        <v>0</v>
      </c>
      <c r="AK746" s="1351"/>
      <c r="AL746" s="1047"/>
      <c r="AM746" s="1047"/>
      <c r="AN746" s="1047"/>
      <c r="AO746" s="1042">
        <f>AP746</f>
        <v>0</v>
      </c>
      <c r="AP746" s="1351"/>
      <c r="AQ746" s="1047"/>
      <c r="AR746" s="1047"/>
      <c r="AS746" s="1047"/>
      <c r="AT746" s="1047">
        <f>AU746</f>
        <v>0</v>
      </c>
      <c r="AU746" s="1351"/>
      <c r="AV746" s="1047"/>
      <c r="AW746" s="1047"/>
      <c r="AX746" s="1047"/>
      <c r="AY746" s="1047">
        <f>AZ746</f>
        <v>0</v>
      </c>
      <c r="AZ746" s="1351"/>
      <c r="BA746" s="1047"/>
      <c r="BB746" s="1047"/>
      <c r="BC746" s="1047"/>
      <c r="BD746" s="1029">
        <f>BE746</f>
        <v>0</v>
      </c>
      <c r="BE746" s="1351"/>
      <c r="BF746" s="1047"/>
      <c r="BG746" s="1047"/>
      <c r="BH746" s="1048"/>
      <c r="BI746" s="1044">
        <f>BJ746</f>
        <v>0</v>
      </c>
      <c r="BJ746" s="1350"/>
      <c r="BK746" s="1044"/>
      <c r="BL746" s="1044"/>
      <c r="BM746" s="1044"/>
      <c r="BN746" s="1044">
        <f>BO746</f>
        <v>0</v>
      </c>
      <c r="BO746" s="1350"/>
      <c r="BP746" s="1351"/>
      <c r="BQ746" s="1351"/>
      <c r="BR746" s="1350"/>
      <c r="BS746" s="648"/>
    </row>
    <row r="747" spans="1:71" s="668" customFormat="1" ht="15" hidden="1" outlineLevel="1">
      <c r="A747" s="42" t="s">
        <v>148</v>
      </c>
      <c r="B747" s="410"/>
      <c r="C747" s="1355">
        <f t="shared" si="1481" ref="C747:AU747">SUM(C736:C746)</f>
        <v>1402.10</v>
      </c>
      <c r="D747" s="1355">
        <f t="shared" si="1481"/>
        <v>1326.30</v>
      </c>
      <c r="E747" s="1355">
        <f t="shared" si="1481"/>
        <v>1293.70</v>
      </c>
      <c r="F747" s="1355">
        <f t="shared" si="1481"/>
        <v>948.90</v>
      </c>
      <c r="G747" s="1355">
        <f t="shared" si="1481"/>
        <v>1157.1000000000001</v>
      </c>
      <c r="H747" s="1052">
        <f t="shared" si="1481"/>
        <v>261</v>
      </c>
      <c r="I747" s="1052">
        <f t="shared" si="1481"/>
        <v>572.79999999999995</v>
      </c>
      <c r="J747" s="1052">
        <f t="shared" si="1481"/>
        <v>891.50</v>
      </c>
      <c r="K747" s="1052">
        <f t="shared" si="1481"/>
        <v>1293.70</v>
      </c>
      <c r="L747" s="1355">
        <f t="shared" si="1481"/>
        <v>1293.70</v>
      </c>
      <c r="M747" s="1052">
        <f t="shared" si="1481"/>
        <v>316.90000000000009</v>
      </c>
      <c r="N747" s="1052">
        <f t="shared" si="1481"/>
        <v>691.20000000000016</v>
      </c>
      <c r="O747" s="1052">
        <f t="shared" si="1481"/>
        <v>1083.2000000000003</v>
      </c>
      <c r="P747" s="1052">
        <f t="shared" si="1481"/>
        <v>1505.8000000000002</v>
      </c>
      <c r="Q747" s="1355">
        <f t="shared" si="1481"/>
        <v>1505.8000000000002</v>
      </c>
      <c r="R747" s="1052">
        <f t="shared" si="1481"/>
        <v>317.70000000000005</v>
      </c>
      <c r="S747" s="1052">
        <f t="shared" si="1481"/>
        <v>581.40000000000009</v>
      </c>
      <c r="T747" s="1052">
        <f t="shared" si="1481"/>
        <v>900.00000000000011</v>
      </c>
      <c r="U747" s="1052">
        <f t="shared" si="1481"/>
        <v>1377.5000000000002</v>
      </c>
      <c r="V747" s="1355">
        <f t="shared" si="1481"/>
        <v>1377.5000000000002</v>
      </c>
      <c r="W747" s="1052">
        <f t="shared" si="1481"/>
        <v>489.00000000000011</v>
      </c>
      <c r="X747" s="1052">
        <f t="shared" si="1481"/>
        <v>935</v>
      </c>
      <c r="Y747" s="1052">
        <f t="shared" si="1481"/>
        <v>1282.5999999999999</v>
      </c>
      <c r="Z747" s="1052">
        <f t="shared" si="1481"/>
        <v>1974.4000000000003</v>
      </c>
      <c r="AA747" s="1355">
        <f t="shared" si="1481"/>
        <v>1974.4000000000003</v>
      </c>
      <c r="AB747" s="1052">
        <f t="shared" si="1481"/>
        <v>870.50</v>
      </c>
      <c r="AC747" s="1052">
        <f t="shared" si="1481"/>
        <v>1632.40</v>
      </c>
      <c r="AD747" s="1052">
        <f t="shared" si="1481"/>
        <v>2477.40</v>
      </c>
      <c r="AE747" s="1052">
        <f t="shared" si="1481"/>
        <v>3432.50</v>
      </c>
      <c r="AF747" s="1355">
        <f t="shared" si="1481"/>
        <v>3432.50</v>
      </c>
      <c r="AG747" s="1052">
        <f t="shared" si="1481"/>
        <v>763.30</v>
      </c>
      <c r="AH747" s="1052">
        <f t="shared" si="1481"/>
        <v>1664.2000000000003</v>
      </c>
      <c r="AI747" s="1052">
        <f t="shared" si="1481"/>
        <v>2546.9999999999995</v>
      </c>
      <c r="AJ747" s="1052">
        <f t="shared" si="1481"/>
        <v>3391.4000000000005</v>
      </c>
      <c r="AK747" s="1355">
        <f t="shared" si="1481"/>
        <v>3391.4000000000005</v>
      </c>
      <c r="AL747" s="1054">
        <f t="shared" si="1481"/>
        <v>1372.10</v>
      </c>
      <c r="AM747" s="1054">
        <f t="shared" si="1481"/>
        <v>2400.7000000000003</v>
      </c>
      <c r="AN747" s="1054">
        <f t="shared" si="1481"/>
        <v>3533.5999999999995</v>
      </c>
      <c r="AO747" s="1052">
        <f>SUM(AO736:AO746)</f>
        <v>4609.1999999999989</v>
      </c>
      <c r="AP747" s="1355">
        <f>SUM(AP736:AP746)</f>
        <v>4609.1999999999989</v>
      </c>
      <c r="AQ747" s="1054">
        <f t="shared" si="1481"/>
        <v>1018.2000000000002</v>
      </c>
      <c r="AR747" s="1054">
        <f t="shared" si="1481"/>
        <v>1486.1999999999998</v>
      </c>
      <c r="AS747" s="1054">
        <f>SUM(AS736:AS746)</f>
        <v>1713.5999999999995</v>
      </c>
      <c r="AT747" s="1054">
        <f t="shared" si="1481"/>
        <v>2406.4999999999995</v>
      </c>
      <c r="AU747" s="1356">
        <f t="shared" si="1481"/>
        <v>2406.4999999999995</v>
      </c>
      <c r="AV747" s="1054">
        <f t="shared" si="1482" ref="AV747:BJ747">SUM(AV736:AV746)</f>
        <v>892.50</v>
      </c>
      <c r="AW747" s="1054">
        <f t="shared" si="1482"/>
        <v>1863.40</v>
      </c>
      <c r="AX747" s="1054">
        <f t="shared" si="1482"/>
        <v>2288.9000000000005</v>
      </c>
      <c r="AY747" s="1054">
        <f t="shared" si="1482"/>
        <v>3292.0000000000005</v>
      </c>
      <c r="AZ747" s="1356">
        <f t="shared" si="1482"/>
        <v>3292.0000000000005</v>
      </c>
      <c r="BA747" s="1054">
        <f t="shared" si="1482"/>
        <v>476.89999999999992</v>
      </c>
      <c r="BB747" s="1054">
        <f t="shared" si="1482"/>
        <v>788.20</v>
      </c>
      <c r="BC747" s="1054">
        <f t="shared" si="1482"/>
        <v>2190.40</v>
      </c>
      <c r="BD747" s="1031">
        <f t="shared" si="1482"/>
        <v>4047.8999999999992</v>
      </c>
      <c r="BE747" s="1356">
        <f t="shared" si="1482"/>
        <v>4047.8999999999992</v>
      </c>
      <c r="BF747" s="1054">
        <f>SUM(BF736:BF746)</f>
        <v>2253.1000000000004</v>
      </c>
      <c r="BG747" s="1054">
        <f>SUM(BG736:BG746)</f>
        <v>3925.60</v>
      </c>
      <c r="BH747" s="1100">
        <f>SUM(BH736:BH746)</f>
        <v>6075.40</v>
      </c>
      <c r="BI747" s="1054">
        <f>SUM(BI736:BI746)</f>
        <v>0</v>
      </c>
      <c r="BJ747" s="1356">
        <f t="shared" si="1482"/>
        <v>0</v>
      </c>
      <c r="BK747" s="1054">
        <f t="shared" si="1483" ref="BK747:BR747">SUM(BK736:BK746)</f>
        <v>0</v>
      </c>
      <c r="BL747" s="1054">
        <f t="shared" si="1483"/>
        <v>0</v>
      </c>
      <c r="BM747" s="1054">
        <f t="shared" si="1483"/>
        <v>0</v>
      </c>
      <c r="BN747" s="1054">
        <f t="shared" si="1483"/>
        <v>0</v>
      </c>
      <c r="BO747" s="1356">
        <f t="shared" si="1483"/>
        <v>0</v>
      </c>
      <c r="BP747" s="1356">
        <f t="shared" si="1483"/>
        <v>0</v>
      </c>
      <c r="BQ747" s="1356">
        <f t="shared" si="1483"/>
        <v>0</v>
      </c>
      <c r="BR747" s="1356">
        <f t="shared" si="1483"/>
        <v>0</v>
      </c>
      <c r="BS747" s="648"/>
    </row>
    <row r="748" spans="1:71" s="665" customFormat="1" ht="15" hidden="1" outlineLevel="1">
      <c r="A748" s="371" t="s">
        <v>149</v>
      </c>
      <c r="B748" s="321"/>
      <c r="C748" s="1364">
        <v>-46.20</v>
      </c>
      <c r="D748" s="1364">
        <v>-283.60000000000002</v>
      </c>
      <c r="E748" s="1364">
        <v>-191.40</v>
      </c>
      <c r="F748" s="1364">
        <v>-253.80</v>
      </c>
      <c r="G748" s="1364">
        <v>-127.40000000000001</v>
      </c>
      <c r="H748" s="1225">
        <v>-205.20</v>
      </c>
      <c r="I748" s="1225">
        <v>-255.40</v>
      </c>
      <c r="J748" s="1225">
        <v>-394.90</v>
      </c>
      <c r="K748" s="1042">
        <f t="shared" si="1484" ref="K748:K757">L748</f>
        <v>-227.10</v>
      </c>
      <c r="L748" s="1364">
        <v>-227.10</v>
      </c>
      <c r="M748" s="1225">
        <v>-239.60</v>
      </c>
      <c r="N748" s="1225">
        <v>-300.50</v>
      </c>
      <c r="O748" s="1225">
        <v>-573.20000000000005</v>
      </c>
      <c r="P748" s="1042">
        <f t="shared" si="1485" ref="P748:P755">Q748</f>
        <v>-421.10</v>
      </c>
      <c r="Q748" s="1364">
        <v>-421.10</v>
      </c>
      <c r="R748" s="1225">
        <v>-391.10</v>
      </c>
      <c r="S748" s="1225">
        <v>-531.50</v>
      </c>
      <c r="T748" s="1225">
        <v>-752.80</v>
      </c>
      <c r="U748" s="1042">
        <f t="shared" si="1486" ref="U748:U757">V748</f>
        <v>-518.50</v>
      </c>
      <c r="V748" s="1364">
        <v>-518.50</v>
      </c>
      <c r="W748" s="1225">
        <v>-341.40</v>
      </c>
      <c r="X748" s="1225">
        <v>-582</v>
      </c>
      <c r="Y748" s="1225">
        <v>-1010.30</v>
      </c>
      <c r="Z748" s="1042">
        <f t="shared" si="1487" ref="Z748:Z757">AA748</f>
        <v>-913.20</v>
      </c>
      <c r="AA748" s="1364">
        <v>-913.20</v>
      </c>
      <c r="AB748" s="1225">
        <v>-621.29999999999995</v>
      </c>
      <c r="AC748" s="1225">
        <v>-807.70</v>
      </c>
      <c r="AD748" s="1225">
        <v>-1354.10</v>
      </c>
      <c r="AE748" s="1042">
        <f t="shared" si="1488" ref="AE748:AE757">AF748</f>
        <v>-1074.5999999999999</v>
      </c>
      <c r="AF748" s="1364">
        <v>-1074.5999999999999</v>
      </c>
      <c r="AG748" s="1225">
        <v>-692.70</v>
      </c>
      <c r="AH748" s="1225">
        <v>-670</v>
      </c>
      <c r="AI748" s="1225">
        <v>-1190.0999999999999</v>
      </c>
      <c r="AJ748" s="1042">
        <f t="shared" si="1489" ref="AJ748:AJ757">AK748</f>
        <v>-1010.20</v>
      </c>
      <c r="AK748" s="1364">
        <v>-1010.20</v>
      </c>
      <c r="AL748" s="1225">
        <v>-61</v>
      </c>
      <c r="AM748" s="1225">
        <v>-50.10</v>
      </c>
      <c r="AN748" s="1225">
        <v>-1067</v>
      </c>
      <c r="AO748" s="1042">
        <f t="shared" si="1490" ref="AO748:AO757">AP748</f>
        <v>-652.79999999999995</v>
      </c>
      <c r="AP748" s="1364">
        <v>-652.79999999999995</v>
      </c>
      <c r="AQ748" s="1225">
        <v>-1058.70</v>
      </c>
      <c r="AR748" s="1225">
        <v>-1183.50</v>
      </c>
      <c r="AS748" s="1225">
        <v>-1994</v>
      </c>
      <c r="AT748" s="1047">
        <f t="shared" si="1491" ref="AT748:AT757">AU748</f>
        <v>-1146.80</v>
      </c>
      <c r="AU748" s="1364">
        <v>-1146.80</v>
      </c>
      <c r="AV748" s="1225">
        <v>-1119.50</v>
      </c>
      <c r="AW748" s="1225">
        <v>-1162.30</v>
      </c>
      <c r="AX748" s="1225">
        <v>-1468.20</v>
      </c>
      <c r="AY748" s="1047">
        <f t="shared" si="1492" ref="AY748:AY757">AZ748</f>
        <v>-1017.40</v>
      </c>
      <c r="AZ748" s="1364">
        <v>-1017.40</v>
      </c>
      <c r="BA748" s="1225">
        <v>-1994.50</v>
      </c>
      <c r="BB748" s="1225">
        <v>-1856.40</v>
      </c>
      <c r="BC748" s="1225">
        <v>-1991.10</v>
      </c>
      <c r="BD748" s="1047">
        <f t="shared" si="1493" ref="BD748:BD757">BE748</f>
        <v>-1541.30</v>
      </c>
      <c r="BE748" s="1364">
        <v>-1541.30</v>
      </c>
      <c r="BF748" s="1225">
        <v>-2234.3000000000002</v>
      </c>
      <c r="BG748" s="1225">
        <v>-2586.3000000000002</v>
      </c>
      <c r="BH748" s="1226">
        <v>-3177.20</v>
      </c>
      <c r="BI748" s="1044">
        <f t="shared" si="1494" ref="BI748:BI757">BJ748</f>
        <v>0</v>
      </c>
      <c r="BJ748" s="1350"/>
      <c r="BK748" s="1044"/>
      <c r="BL748" s="1044"/>
      <c r="BM748" s="1044"/>
      <c r="BN748" s="1044">
        <f t="shared" si="1495" ref="BN748:BN757">BO748</f>
        <v>0</v>
      </c>
      <c r="BO748" s="1350"/>
      <c r="BP748" s="1351"/>
      <c r="BQ748" s="1351"/>
      <c r="BR748" s="1350"/>
      <c r="BS748" s="648"/>
    </row>
    <row r="749" spans="1:71" s="665" customFormat="1" ht="15" hidden="1" outlineLevel="1">
      <c r="A749" s="371" t="s">
        <v>586</v>
      </c>
      <c r="B749" s="321"/>
      <c r="C749" s="1364">
        <v>-276.30</v>
      </c>
      <c r="D749" s="1364">
        <v>-176.70</v>
      </c>
      <c r="E749" s="1364">
        <v>-76.50</v>
      </c>
      <c r="F749" s="1364">
        <v>-83</v>
      </c>
      <c r="G749" s="1364">
        <v>-189.20</v>
      </c>
      <c r="H749" s="1225">
        <v>-21.30</v>
      </c>
      <c r="I749" s="1225">
        <v>-44.80</v>
      </c>
      <c r="J749" s="1225">
        <v>-75.70</v>
      </c>
      <c r="K749" s="1042">
        <f t="shared" si="1484"/>
        <v>-141.69999999999999</v>
      </c>
      <c r="L749" s="1364">
        <v>-141.69999999999999</v>
      </c>
      <c r="M749" s="1225">
        <v>-25.30</v>
      </c>
      <c r="N749" s="1225">
        <v>-116.09999999999999</v>
      </c>
      <c r="O749" s="1225">
        <v>-128.80000000000001</v>
      </c>
      <c r="P749" s="1042">
        <f t="shared" si="1485"/>
        <v>-202.60</v>
      </c>
      <c r="Q749" s="1364">
        <v>-202.60</v>
      </c>
      <c r="R749" s="1225">
        <v>-79.400000000000006</v>
      </c>
      <c r="S749" s="1225">
        <v>-173.10</v>
      </c>
      <c r="T749" s="1225">
        <v>-405.10</v>
      </c>
      <c r="U749" s="1042">
        <f t="shared" si="1486"/>
        <v>-388.20</v>
      </c>
      <c r="V749" s="1364">
        <v>-388.20</v>
      </c>
      <c r="W749" s="1225">
        <v>-54.20</v>
      </c>
      <c r="X749" s="1225">
        <v>-142.40000000000001</v>
      </c>
      <c r="Y749" s="1225">
        <v>-816.10</v>
      </c>
      <c r="Z749" s="1042">
        <f t="shared" si="1487"/>
        <v>-388.60</v>
      </c>
      <c r="AA749" s="1364">
        <v>-388.60</v>
      </c>
      <c r="AB749" s="1225">
        <v>34.299999999999997</v>
      </c>
      <c r="AC749" s="1225">
        <v>-137.30000000000001</v>
      </c>
      <c r="AD749" s="1225">
        <v>-217.10</v>
      </c>
      <c r="AE749" s="1042">
        <f t="shared" si="1488"/>
        <v>-422.70</v>
      </c>
      <c r="AF749" s="1364">
        <v>-422.70</v>
      </c>
      <c r="AG749" s="1225">
        <v>-146.69999999999999</v>
      </c>
      <c r="AH749" s="1225">
        <v>-355.40</v>
      </c>
      <c r="AI749" s="1225">
        <v>-602.29999999999995</v>
      </c>
      <c r="AJ749" s="1042">
        <f t="shared" si="1489"/>
        <v>-682.80</v>
      </c>
      <c r="AK749" s="1364">
        <v>-682.80</v>
      </c>
      <c r="AL749" s="1225">
        <v>-260.70</v>
      </c>
      <c r="AM749" s="1225">
        <v>-275.39999999999998</v>
      </c>
      <c r="AN749" s="1225">
        <v>-608.40</v>
      </c>
      <c r="AO749" s="1042">
        <f t="shared" si="1490"/>
        <v>-640.50</v>
      </c>
      <c r="AP749" s="1364">
        <v>-640.50</v>
      </c>
      <c r="AQ749" s="1225">
        <v>-123.80</v>
      </c>
      <c r="AR749" s="1225">
        <v>-237.30</v>
      </c>
      <c r="AS749" s="1225">
        <v>-573.10</v>
      </c>
      <c r="AT749" s="1047">
        <f t="shared" si="1491"/>
        <v>-508.70</v>
      </c>
      <c r="AU749" s="1364">
        <v>-508.70</v>
      </c>
      <c r="AV749" s="1225">
        <v>-44.50</v>
      </c>
      <c r="AW749" s="1225">
        <v>19.30</v>
      </c>
      <c r="AX749" s="1225">
        <v>-1326.30</v>
      </c>
      <c r="AY749" s="1047">
        <f t="shared" si="1492"/>
        <v>-851.60</v>
      </c>
      <c r="AZ749" s="1364">
        <v>-851.60</v>
      </c>
      <c r="BA749" s="1225">
        <v>215.90</v>
      </c>
      <c r="BB749" s="1225">
        <v>315.20</v>
      </c>
      <c r="BC749" s="1225">
        <v>500.90</v>
      </c>
      <c r="BD749" s="1047">
        <f t="shared" si="1493"/>
        <v>738.20</v>
      </c>
      <c r="BE749" s="1364">
        <v>738.20</v>
      </c>
      <c r="BF749" s="1225">
        <v>90.50</v>
      </c>
      <c r="BG749" s="1225">
        <v>212.50</v>
      </c>
      <c r="BH749" s="1226">
        <v>212.40</v>
      </c>
      <c r="BI749" s="1044">
        <f t="shared" si="1494"/>
        <v>0</v>
      </c>
      <c r="BJ749" s="1350"/>
      <c r="BK749" s="1044"/>
      <c r="BL749" s="1044"/>
      <c r="BM749" s="1044"/>
      <c r="BN749" s="1044">
        <f t="shared" si="1495"/>
        <v>0</v>
      </c>
      <c r="BO749" s="1350"/>
      <c r="BP749" s="1351"/>
      <c r="BQ749" s="1351"/>
      <c r="BR749" s="1350"/>
      <c r="BS749" s="648"/>
    </row>
    <row r="750" spans="1:71" s="665" customFormat="1" ht="15" hidden="1" outlineLevel="1">
      <c r="A750" s="371" t="s">
        <v>150</v>
      </c>
      <c r="B750" s="321"/>
      <c r="C750" s="1364">
        <v>-6.90</v>
      </c>
      <c r="D750" s="1364">
        <v>-18.80</v>
      </c>
      <c r="E750" s="1364">
        <v>18.30</v>
      </c>
      <c r="F750" s="1364">
        <v>3.50</v>
      </c>
      <c r="G750" s="1364">
        <v>-8.60</v>
      </c>
      <c r="H750" s="1225">
        <v>-6.90</v>
      </c>
      <c r="I750" s="1225">
        <v>-14.90</v>
      </c>
      <c r="J750" s="1225">
        <v>-17.40</v>
      </c>
      <c r="K750" s="1042">
        <f t="shared" si="1484"/>
        <v>-10.40</v>
      </c>
      <c r="L750" s="1364">
        <v>-10.40</v>
      </c>
      <c r="M750" s="1225">
        <v>-14</v>
      </c>
      <c r="N750" s="1225">
        <v>-1.20</v>
      </c>
      <c r="O750" s="1225">
        <v>10.10</v>
      </c>
      <c r="P750" s="1042">
        <f t="shared" si="1485"/>
        <v>32.50</v>
      </c>
      <c r="Q750" s="1364">
        <v>32.50</v>
      </c>
      <c r="R750" s="1225">
        <v>-17.40</v>
      </c>
      <c r="S750" s="1225">
        <v>41.30</v>
      </c>
      <c r="T750" s="1225">
        <v>44.90</v>
      </c>
      <c r="U750" s="1042">
        <f t="shared" si="1486"/>
        <v>48.80</v>
      </c>
      <c r="V750" s="1364">
        <v>48.80</v>
      </c>
      <c r="W750" s="1225">
        <v>-12.20</v>
      </c>
      <c r="X750" s="1225">
        <v>-42.10</v>
      </c>
      <c r="Y750" s="1225">
        <v>-41.20</v>
      </c>
      <c r="Z750" s="1042">
        <f t="shared" si="1487"/>
        <v>-32.799999999999997</v>
      </c>
      <c r="AA750" s="1364">
        <v>-32.799999999999997</v>
      </c>
      <c r="AB750" s="1225">
        <v>-139.50</v>
      </c>
      <c r="AC750" s="1225">
        <v>-86.50</v>
      </c>
      <c r="AD750" s="1225">
        <v>-176.30</v>
      </c>
      <c r="AE750" s="1042">
        <f t="shared" si="1488"/>
        <v>-106.40000000000001</v>
      </c>
      <c r="AF750" s="1364">
        <v>-106.40000000000001</v>
      </c>
      <c r="AG750" s="1225">
        <v>-137</v>
      </c>
      <c r="AH750" s="1225">
        <v>-28.30</v>
      </c>
      <c r="AI750" s="1225">
        <v>-149.09999999999999</v>
      </c>
      <c r="AJ750" s="1042">
        <f t="shared" si="1489"/>
        <v>-316.80</v>
      </c>
      <c r="AK750" s="1364">
        <v>-316.80</v>
      </c>
      <c r="AL750" s="1225">
        <v>188.30</v>
      </c>
      <c r="AM750" s="1225">
        <v>265.20</v>
      </c>
      <c r="AN750" s="1225">
        <v>163.09999999999999</v>
      </c>
      <c r="AO750" s="1042">
        <f t="shared" si="1490"/>
        <v>258.39999999999998</v>
      </c>
      <c r="AP750" s="1364">
        <v>258.39999999999998</v>
      </c>
      <c r="AQ750" s="1225">
        <v>-299.50</v>
      </c>
      <c r="AR750" s="1225">
        <v>-244.60</v>
      </c>
      <c r="AS750" s="1225">
        <v>-278.39999999999998</v>
      </c>
      <c r="AT750" s="1047">
        <f t="shared" si="1491"/>
        <v>-74.900000000000006</v>
      </c>
      <c r="AU750" s="1364">
        <v>-74.900000000000006</v>
      </c>
      <c r="AV750" s="1225">
        <v>2.50</v>
      </c>
      <c r="AW750" s="1225">
        <v>-6.70</v>
      </c>
      <c r="AX750" s="1225">
        <v>90.10</v>
      </c>
      <c r="AY750" s="1047">
        <f t="shared" si="1492"/>
        <v>162.09999999999999</v>
      </c>
      <c r="AZ750" s="1364">
        <v>162.09999999999999</v>
      </c>
      <c r="BA750" s="1225">
        <v>25.90</v>
      </c>
      <c r="BB750" s="1225">
        <v>52.60</v>
      </c>
      <c r="BC750" s="1225">
        <v>60.50</v>
      </c>
      <c r="BD750" s="1047">
        <f t="shared" si="1493"/>
        <v>45.70</v>
      </c>
      <c r="BE750" s="1364">
        <v>45.70</v>
      </c>
      <c r="BF750" s="1225">
        <v>40</v>
      </c>
      <c r="BG750" s="1225">
        <v>-41</v>
      </c>
      <c r="BH750" s="1226">
        <v>25.80</v>
      </c>
      <c r="BI750" s="1044">
        <f t="shared" si="1494"/>
        <v>0</v>
      </c>
      <c r="BJ750" s="1350"/>
      <c r="BK750" s="1044"/>
      <c r="BL750" s="1044"/>
      <c r="BM750" s="1044"/>
      <c r="BN750" s="1044">
        <f t="shared" si="1495"/>
        <v>0</v>
      </c>
      <c r="BO750" s="1350"/>
      <c r="BP750" s="1351"/>
      <c r="BQ750" s="1351"/>
      <c r="BR750" s="1350"/>
      <c r="BS750" s="648"/>
    </row>
    <row r="751" spans="1:71" s="665" customFormat="1" ht="15" hidden="1" outlineLevel="1">
      <c r="A751" s="371" t="s">
        <v>151</v>
      </c>
      <c r="B751" s="321"/>
      <c r="C751" s="1364">
        <v>11.80</v>
      </c>
      <c r="D751" s="1364">
        <v>-15</v>
      </c>
      <c r="E751" s="1364">
        <v>-16.40</v>
      </c>
      <c r="F751" s="1364">
        <v>-0.90</v>
      </c>
      <c r="G751" s="1364">
        <v>-13.10</v>
      </c>
      <c r="H751" s="1225">
        <v>-19.30</v>
      </c>
      <c r="I751" s="1225">
        <v>-31.40</v>
      </c>
      <c r="J751" s="1225">
        <v>-40.700000000000003</v>
      </c>
      <c r="K751" s="1042">
        <f t="shared" si="1484"/>
        <v>-9.60</v>
      </c>
      <c r="L751" s="1364">
        <v>-9.60</v>
      </c>
      <c r="M751" s="1225">
        <v>-26.80</v>
      </c>
      <c r="N751" s="1225">
        <v>-46.40</v>
      </c>
      <c r="O751" s="1225">
        <v>-69</v>
      </c>
      <c r="P751" s="1042">
        <f t="shared" si="1485"/>
        <v>-42.30</v>
      </c>
      <c r="Q751" s="1364">
        <v>-42.30</v>
      </c>
      <c r="R751" s="1225">
        <v>-35.90</v>
      </c>
      <c r="S751" s="1225">
        <v>-97.80</v>
      </c>
      <c r="T751" s="1225">
        <v>-128</v>
      </c>
      <c r="U751" s="1042">
        <f t="shared" si="1486"/>
        <v>-103.80</v>
      </c>
      <c r="V751" s="1364">
        <v>-103.80</v>
      </c>
      <c r="W751" s="1225">
        <v>-28.30</v>
      </c>
      <c r="X751" s="1225">
        <v>-76</v>
      </c>
      <c r="Y751" s="1225">
        <v>-131.40000000000001</v>
      </c>
      <c r="Z751" s="1042">
        <f t="shared" si="1487"/>
        <v>-129.30000000000001</v>
      </c>
      <c r="AA751" s="1364">
        <v>-129.30000000000001</v>
      </c>
      <c r="AB751" s="1225">
        <v>-61.80</v>
      </c>
      <c r="AC751" s="1225">
        <v>-115.20</v>
      </c>
      <c r="AD751" s="1225">
        <v>-182.20</v>
      </c>
      <c r="AE751" s="1042">
        <f t="shared" si="1488"/>
        <v>-171.10</v>
      </c>
      <c r="AF751" s="1364">
        <v>-171.10</v>
      </c>
      <c r="AG751" s="1225">
        <v>-47.50</v>
      </c>
      <c r="AH751" s="1225">
        <v>-95.80</v>
      </c>
      <c r="AI751" s="1225">
        <v>-142.09999999999999</v>
      </c>
      <c r="AJ751" s="1042">
        <f t="shared" si="1489"/>
        <v>-104.90000000000001</v>
      </c>
      <c r="AK751" s="1364">
        <v>-104.90000000000001</v>
      </c>
      <c r="AL751" s="1225">
        <v>-39.299999999999997</v>
      </c>
      <c r="AM751" s="1225">
        <v>-98.30</v>
      </c>
      <c r="AN751" s="1225">
        <v>-208.50</v>
      </c>
      <c r="AO751" s="1042">
        <f t="shared" si="1490"/>
        <v>-180.70</v>
      </c>
      <c r="AP751" s="1364">
        <v>-180.70</v>
      </c>
      <c r="AQ751" s="1225">
        <v>-71.900000000000006</v>
      </c>
      <c r="AR751" s="1225">
        <v>-123.40000000000001</v>
      </c>
      <c r="AS751" s="1225">
        <v>-193.50</v>
      </c>
      <c r="AT751" s="1047">
        <f t="shared" si="1491"/>
        <v>-118.40000000000001</v>
      </c>
      <c r="AU751" s="1364">
        <v>-118.40000000000001</v>
      </c>
      <c r="AV751" s="1225">
        <v>-52.10</v>
      </c>
      <c r="AW751" s="1225">
        <v>-142.80000000000001</v>
      </c>
      <c r="AX751" s="1225">
        <v>-229.60</v>
      </c>
      <c r="AY751" s="1047">
        <f t="shared" si="1492"/>
        <v>-188.80</v>
      </c>
      <c r="AZ751" s="1364">
        <v>-188.80</v>
      </c>
      <c r="BA751" s="1225">
        <v>-82.40</v>
      </c>
      <c r="BB751" s="1225">
        <v>-141.19999999999999</v>
      </c>
      <c r="BC751" s="1225">
        <v>-187.70</v>
      </c>
      <c r="BD751" s="1047">
        <f t="shared" si="1493"/>
        <v>-143</v>
      </c>
      <c r="BE751" s="1364">
        <v>-143</v>
      </c>
      <c r="BF751" s="1225">
        <v>-130.80000000000001</v>
      </c>
      <c r="BG751" s="1225">
        <v>-250.90</v>
      </c>
      <c r="BH751" s="1226">
        <v>-344.20</v>
      </c>
      <c r="BI751" s="1044">
        <f t="shared" si="1494"/>
        <v>0</v>
      </c>
      <c r="BJ751" s="1350"/>
      <c r="BK751" s="1044"/>
      <c r="BL751" s="1044"/>
      <c r="BM751" s="1044"/>
      <c r="BN751" s="1044">
        <f t="shared" si="1495"/>
        <v>0</v>
      </c>
      <c r="BO751" s="1350"/>
      <c r="BP751" s="1351"/>
      <c r="BQ751" s="1351"/>
      <c r="BR751" s="1350"/>
      <c r="BS751" s="648"/>
    </row>
    <row r="752" spans="1:71" s="665" customFormat="1" ht="15" hidden="1" outlineLevel="1">
      <c r="A752" s="371" t="s">
        <v>152</v>
      </c>
      <c r="B752" s="321"/>
      <c r="C752" s="1364">
        <v>29.70</v>
      </c>
      <c r="D752" s="1364">
        <v>48.10</v>
      </c>
      <c r="E752" s="1364">
        <v>28.40</v>
      </c>
      <c r="F752" s="1364">
        <v>19.80</v>
      </c>
      <c r="G752" s="1364">
        <v>57.80</v>
      </c>
      <c r="H752" s="1225">
        <v>149.59999999999999</v>
      </c>
      <c r="I752" s="1225">
        <v>53.60</v>
      </c>
      <c r="J752" s="1225">
        <v>82.10</v>
      </c>
      <c r="K752" s="1042">
        <f t="shared" si="1484"/>
        <v>97.50</v>
      </c>
      <c r="L752" s="1364">
        <v>97.50</v>
      </c>
      <c r="M752" s="1225">
        <v>80.599999999999994</v>
      </c>
      <c r="N752" s="1225">
        <v>-82.90</v>
      </c>
      <c r="O752" s="1225">
        <v>-92.10</v>
      </c>
      <c r="P752" s="1042">
        <f t="shared" si="1485"/>
        <v>-107.20</v>
      </c>
      <c r="Q752" s="1364">
        <v>-107.20</v>
      </c>
      <c r="R752" s="1225">
        <v>91.80</v>
      </c>
      <c r="S752" s="1225">
        <v>-69.30</v>
      </c>
      <c r="T752" s="1225">
        <v>-121.20</v>
      </c>
      <c r="U752" s="1042">
        <f t="shared" si="1486"/>
        <v>-55.70</v>
      </c>
      <c r="V752" s="1364">
        <v>-55.70</v>
      </c>
      <c r="W752" s="1225">
        <v>212.70</v>
      </c>
      <c r="X752" s="1225">
        <v>-64.30</v>
      </c>
      <c r="Y752" s="1225">
        <v>-111.20</v>
      </c>
      <c r="Z752" s="1042">
        <f t="shared" si="1487"/>
        <v>-172.60</v>
      </c>
      <c r="AA752" s="1364">
        <v>-172.60</v>
      </c>
      <c r="AB752" s="1225">
        <v>181.10</v>
      </c>
      <c r="AC752" s="1225">
        <v>2</v>
      </c>
      <c r="AD752" s="1225">
        <v>25</v>
      </c>
      <c r="AE752" s="1042">
        <f t="shared" si="1488"/>
        <v>-158.69999999999999</v>
      </c>
      <c r="AF752" s="1364">
        <v>-158.69999999999999</v>
      </c>
      <c r="AG752" s="1225">
        <v>465.20</v>
      </c>
      <c r="AH752" s="1225">
        <v>157.40000000000001</v>
      </c>
      <c r="AI752" s="1225">
        <v>179.70</v>
      </c>
      <c r="AJ752" s="1042">
        <f t="shared" si="1489"/>
        <v>227.20</v>
      </c>
      <c r="AK752" s="1364">
        <v>227.20</v>
      </c>
      <c r="AL752" s="1225">
        <v>128.69999999999999</v>
      </c>
      <c r="AM752" s="1225">
        <v>590.60</v>
      </c>
      <c r="AN752" s="1225">
        <v>-78.099999999999994</v>
      </c>
      <c r="AO752" s="1042">
        <f t="shared" si="1490"/>
        <v>-23.10</v>
      </c>
      <c r="AP752" s="1364">
        <v>-23.10</v>
      </c>
      <c r="AQ752" s="1225">
        <v>283.80</v>
      </c>
      <c r="AR752" s="1225">
        <v>-81</v>
      </c>
      <c r="AS752" s="1225">
        <v>-156.19999999999999</v>
      </c>
      <c r="AT752" s="1047">
        <f t="shared" si="1491"/>
        <v>-86</v>
      </c>
      <c r="AU752" s="1364">
        <v>-86</v>
      </c>
      <c r="AV752" s="1225">
        <v>76.20</v>
      </c>
      <c r="AW752" s="1225">
        <v>-377.20</v>
      </c>
      <c r="AX752" s="1225">
        <v>-591.60</v>
      </c>
      <c r="AY752" s="1047">
        <f t="shared" si="1492"/>
        <v>-515.29999999999995</v>
      </c>
      <c r="AZ752" s="1364">
        <v>-515.29999999999995</v>
      </c>
      <c r="BA752" s="1225">
        <v>106.59999999999999</v>
      </c>
      <c r="BB752" s="1225">
        <v>-161.09999999999999</v>
      </c>
      <c r="BC752" s="1225">
        <v>73.599999999999994</v>
      </c>
      <c r="BD752" s="1047">
        <f t="shared" si="1493"/>
        <v>181.20</v>
      </c>
      <c r="BE752" s="1364">
        <v>181.20</v>
      </c>
      <c r="BF752" s="1225">
        <v>609.50</v>
      </c>
      <c r="BG752" s="1225">
        <v>-341.20</v>
      </c>
      <c r="BH752" s="1226">
        <v>-366.80</v>
      </c>
      <c r="BI752" s="1044">
        <f t="shared" si="1494"/>
        <v>0</v>
      </c>
      <c r="BJ752" s="1350"/>
      <c r="BK752" s="1044"/>
      <c r="BL752" s="1044"/>
      <c r="BM752" s="1044"/>
      <c r="BN752" s="1044">
        <f t="shared" si="1495"/>
        <v>0</v>
      </c>
      <c r="BO752" s="1350"/>
      <c r="BP752" s="1351"/>
      <c r="BQ752" s="1351"/>
      <c r="BR752" s="1350"/>
      <c r="BS752" s="648"/>
    </row>
    <row r="753" spans="1:71" s="665" customFormat="1" ht="15" hidden="1" outlineLevel="1">
      <c r="A753" s="371" t="s">
        <v>153</v>
      </c>
      <c r="B753" s="321"/>
      <c r="C753" s="1364">
        <v>-3</v>
      </c>
      <c r="D753" s="1364">
        <v>180.80</v>
      </c>
      <c r="E753" s="1364">
        <v>225.60</v>
      </c>
      <c r="F753" s="1364">
        <v>351.10</v>
      </c>
      <c r="G753" s="1364">
        <v>244.80</v>
      </c>
      <c r="H753" s="1225">
        <v>285.60000000000002</v>
      </c>
      <c r="I753" s="1225">
        <v>407.70</v>
      </c>
      <c r="J753" s="1225">
        <v>602.40</v>
      </c>
      <c r="K753" s="1042">
        <f t="shared" si="1484"/>
        <v>266.39999999999998</v>
      </c>
      <c r="L753" s="1364">
        <v>266.39999999999998</v>
      </c>
      <c r="M753" s="1225">
        <v>414.40</v>
      </c>
      <c r="N753" s="1225">
        <v>652</v>
      </c>
      <c r="O753" s="1225">
        <v>982.70</v>
      </c>
      <c r="P753" s="1042">
        <f t="shared" si="1485"/>
        <v>632.40</v>
      </c>
      <c r="Q753" s="1364">
        <v>632.40</v>
      </c>
      <c r="R753" s="1225">
        <v>518.60</v>
      </c>
      <c r="S753" s="1225">
        <v>832.60</v>
      </c>
      <c r="T753" s="1225">
        <v>1154.5999999999999</v>
      </c>
      <c r="U753" s="1042">
        <f t="shared" si="1486"/>
        <v>830.70</v>
      </c>
      <c r="V753" s="1364">
        <v>830.70</v>
      </c>
      <c r="W753" s="1225">
        <v>476.30</v>
      </c>
      <c r="X753" s="1225">
        <v>939</v>
      </c>
      <c r="Y753" s="1225">
        <v>1536.70</v>
      </c>
      <c r="Z753" s="1042">
        <f t="shared" si="1487"/>
        <v>1434.90</v>
      </c>
      <c r="AA753" s="1364">
        <v>1434.90</v>
      </c>
      <c r="AB753" s="1225">
        <v>934.30</v>
      </c>
      <c r="AC753" s="1225">
        <v>1342.40</v>
      </c>
      <c r="AD753" s="1225">
        <v>2105.6999999999998</v>
      </c>
      <c r="AE753" s="1042">
        <f t="shared" si="1488"/>
        <v>1783</v>
      </c>
      <c r="AF753" s="1364">
        <v>1783</v>
      </c>
      <c r="AG753" s="1225">
        <v>917.10</v>
      </c>
      <c r="AH753" s="1225">
        <v>1110.20</v>
      </c>
      <c r="AI753" s="1225">
        <v>1840</v>
      </c>
      <c r="AJ753" s="1042">
        <f t="shared" si="1489"/>
        <v>1702.30</v>
      </c>
      <c r="AK753" s="1364">
        <v>1702.30</v>
      </c>
      <c r="AL753" s="1225">
        <v>252.30</v>
      </c>
      <c r="AM753" s="1225">
        <v>666.80</v>
      </c>
      <c r="AN753" s="1225">
        <v>1810.50</v>
      </c>
      <c r="AO753" s="1042">
        <f t="shared" si="1490"/>
        <v>1048.70</v>
      </c>
      <c r="AP753" s="1364">
        <v>1048.70</v>
      </c>
      <c r="AQ753" s="1225">
        <v>1608.40</v>
      </c>
      <c r="AR753" s="1225">
        <v>2051.50</v>
      </c>
      <c r="AS753" s="1225">
        <v>3167</v>
      </c>
      <c r="AT753" s="1047">
        <f t="shared" si="1491"/>
        <v>2111.40</v>
      </c>
      <c r="AU753" s="1364">
        <v>2111.40</v>
      </c>
      <c r="AV753" s="1225">
        <v>1375.60</v>
      </c>
      <c r="AW753" s="1225">
        <v>1659</v>
      </c>
      <c r="AX753" s="1225">
        <v>2181.10</v>
      </c>
      <c r="AY753" s="1047">
        <f t="shared" si="1492"/>
        <v>1677.80</v>
      </c>
      <c r="AZ753" s="1364">
        <v>1677.80</v>
      </c>
      <c r="BA753" s="1225">
        <v>2550.6999999999998</v>
      </c>
      <c r="BB753" s="1225">
        <v>2776.50</v>
      </c>
      <c r="BC753" s="1225">
        <v>3468.10</v>
      </c>
      <c r="BD753" s="1047">
        <f t="shared" si="1493"/>
        <v>2840.10</v>
      </c>
      <c r="BE753" s="1364">
        <v>2840.10</v>
      </c>
      <c r="BF753" s="1225">
        <v>2773.60</v>
      </c>
      <c r="BG753" s="1225">
        <v>3546.70</v>
      </c>
      <c r="BH753" s="1226">
        <v>4638.80</v>
      </c>
      <c r="BI753" s="1044">
        <f t="shared" si="1494"/>
        <v>0</v>
      </c>
      <c r="BJ753" s="1350"/>
      <c r="BK753" s="1044"/>
      <c r="BL753" s="1044"/>
      <c r="BM753" s="1044"/>
      <c r="BN753" s="1044">
        <f t="shared" si="1495"/>
        <v>0</v>
      </c>
      <c r="BO753" s="1350"/>
      <c r="BP753" s="1351"/>
      <c r="BQ753" s="1351"/>
      <c r="BR753" s="1350"/>
      <c r="BS753" s="648"/>
    </row>
    <row r="754" spans="1:71" s="665" customFormat="1" ht="15" hidden="1" outlineLevel="1">
      <c r="A754" s="371" t="s">
        <v>154</v>
      </c>
      <c r="B754" s="321"/>
      <c r="C754" s="1364">
        <v>475.60</v>
      </c>
      <c r="D754" s="1364">
        <v>418</v>
      </c>
      <c r="E754" s="1364">
        <v>174.80</v>
      </c>
      <c r="F754" s="1364">
        <v>592.60</v>
      </c>
      <c r="G754" s="1364">
        <v>641.60</v>
      </c>
      <c r="H754" s="1225">
        <v>112.90000000000001</v>
      </c>
      <c r="I754" s="1225">
        <v>160.09999999999999</v>
      </c>
      <c r="J754" s="1225">
        <v>248.70</v>
      </c>
      <c r="K754" s="1042">
        <f t="shared" si="1484"/>
        <v>378</v>
      </c>
      <c r="L754" s="1364">
        <v>378</v>
      </c>
      <c r="M754" s="1225">
        <v>144.40000000000001</v>
      </c>
      <c r="N754" s="1225">
        <v>537.70000000000005</v>
      </c>
      <c r="O754" s="1225">
        <v>705.80</v>
      </c>
      <c r="P754" s="1042">
        <f t="shared" si="1485"/>
        <v>917.70</v>
      </c>
      <c r="Q754" s="1364">
        <v>917.70</v>
      </c>
      <c r="R754" s="1225">
        <v>247.60</v>
      </c>
      <c r="S754" s="1225">
        <v>630</v>
      </c>
      <c r="T754" s="1225">
        <v>1183.20</v>
      </c>
      <c r="U754" s="1042">
        <f t="shared" si="1486"/>
        <v>1323.20</v>
      </c>
      <c r="V754" s="1364">
        <v>1323.20</v>
      </c>
      <c r="W754" s="1225">
        <v>260.80</v>
      </c>
      <c r="X754" s="1225">
        <v>692.30</v>
      </c>
      <c r="Y754" s="1225">
        <v>1985.10</v>
      </c>
      <c r="Z754" s="1042">
        <f t="shared" si="1487"/>
        <v>1718.80</v>
      </c>
      <c r="AA754" s="1364">
        <v>1718.80</v>
      </c>
      <c r="AB754" s="1225">
        <v>242.10</v>
      </c>
      <c r="AC754" s="1225">
        <v>983.90</v>
      </c>
      <c r="AD754" s="1225">
        <v>1533.90</v>
      </c>
      <c r="AE754" s="1042">
        <f t="shared" si="1488"/>
        <v>2313.90</v>
      </c>
      <c r="AF754" s="1364">
        <v>2313.90</v>
      </c>
      <c r="AG754" s="1225">
        <v>475.80</v>
      </c>
      <c r="AH754" s="1225">
        <v>1167.80</v>
      </c>
      <c r="AI754" s="1225">
        <v>1969.20</v>
      </c>
      <c r="AJ754" s="1042">
        <f t="shared" si="1489"/>
        <v>2704.60</v>
      </c>
      <c r="AK754" s="1364">
        <v>2704.60</v>
      </c>
      <c r="AL754" s="1225">
        <v>201.10</v>
      </c>
      <c r="AM754" s="1225">
        <v>406.60</v>
      </c>
      <c r="AN754" s="1225">
        <v>1483.80</v>
      </c>
      <c r="AO754" s="1042">
        <f t="shared" si="1490"/>
        <v>2160.40</v>
      </c>
      <c r="AP754" s="1364">
        <v>2160.40</v>
      </c>
      <c r="AQ754" s="1225">
        <v>797.90</v>
      </c>
      <c r="AR754" s="1225">
        <v>2481</v>
      </c>
      <c r="AS754" s="1225">
        <v>4511.70</v>
      </c>
      <c r="AT754" s="1047">
        <f t="shared" si="1491"/>
        <v>4752.80</v>
      </c>
      <c r="AU754" s="1364">
        <v>4752.80</v>
      </c>
      <c r="AV754" s="1225">
        <v>590.10</v>
      </c>
      <c r="AW754" s="1225">
        <v>1647.90</v>
      </c>
      <c r="AX754" s="1225">
        <v>4467.70</v>
      </c>
      <c r="AY754" s="1047">
        <f t="shared" si="1492"/>
        <v>4195.20</v>
      </c>
      <c r="AZ754" s="1364">
        <v>4195.20</v>
      </c>
      <c r="BA754" s="1225">
        <v>667.10</v>
      </c>
      <c r="BB754" s="1225">
        <v>2394</v>
      </c>
      <c r="BC754" s="1225">
        <v>3218</v>
      </c>
      <c r="BD754" s="1047">
        <f t="shared" si="1493"/>
        <v>4029.90</v>
      </c>
      <c r="BE754" s="1364">
        <v>4029.90</v>
      </c>
      <c r="BF754" s="1225">
        <v>441.80</v>
      </c>
      <c r="BG754" s="1225">
        <v>2216</v>
      </c>
      <c r="BH754" s="1226">
        <v>3672.30</v>
      </c>
      <c r="BI754" s="1044">
        <f t="shared" si="1494"/>
        <v>0</v>
      </c>
      <c r="BJ754" s="1350"/>
      <c r="BK754" s="1044"/>
      <c r="BL754" s="1044"/>
      <c r="BM754" s="1044"/>
      <c r="BN754" s="1044">
        <f t="shared" si="1495"/>
        <v>0</v>
      </c>
      <c r="BO754" s="1350"/>
      <c r="BP754" s="1351"/>
      <c r="BQ754" s="1351"/>
      <c r="BR754" s="1350"/>
      <c r="BS754" s="648"/>
    </row>
    <row r="755" spans="1:71" s="665" customFormat="1" ht="15" hidden="1" outlineLevel="1">
      <c r="A755" s="371" t="s">
        <v>155</v>
      </c>
      <c r="B755" s="321"/>
      <c r="C755" s="1364">
        <v>-71.80</v>
      </c>
      <c r="D755" s="1364">
        <v>210.20</v>
      </c>
      <c r="E755" s="1364">
        <v>35.50</v>
      </c>
      <c r="F755" s="1364">
        <v>123.59999999999999</v>
      </c>
      <c r="G755" s="1364">
        <v>165</v>
      </c>
      <c r="H755" s="1225">
        <v>77</v>
      </c>
      <c r="I755" s="1225">
        <v>164</v>
      </c>
      <c r="J755" s="1225">
        <v>333.10</v>
      </c>
      <c r="K755" s="1042">
        <f t="shared" si="1484"/>
        <v>92</v>
      </c>
      <c r="L755" s="1364">
        <v>92</v>
      </c>
      <c r="M755" s="1225">
        <v>106.90000000000001</v>
      </c>
      <c r="N755" s="1225">
        <v>66.900000000000006</v>
      </c>
      <c r="O755" s="1225">
        <v>218.70</v>
      </c>
      <c r="P755" s="1042">
        <f t="shared" si="1485"/>
        <v>37.90</v>
      </c>
      <c r="Q755" s="1364">
        <v>37.90</v>
      </c>
      <c r="R755" s="1225">
        <v>200.10</v>
      </c>
      <c r="S755" s="1225">
        <v>376.60</v>
      </c>
      <c r="T755" s="1225">
        <v>464.80</v>
      </c>
      <c r="U755" s="1042">
        <f t="shared" si="1486"/>
        <v>308.89999999999998</v>
      </c>
      <c r="V755" s="1364">
        <v>308.89999999999998</v>
      </c>
      <c r="W755" s="1225">
        <v>137.40000000000001</v>
      </c>
      <c r="X755" s="1225">
        <v>430.20</v>
      </c>
      <c r="Y755" s="1225">
        <v>622.10</v>
      </c>
      <c r="Z755" s="1042">
        <f t="shared" si="1487"/>
        <v>400</v>
      </c>
      <c r="AA755" s="1364">
        <v>400</v>
      </c>
      <c r="AB755" s="1225">
        <v>283.20</v>
      </c>
      <c r="AC755" s="1225">
        <v>700.40</v>
      </c>
      <c r="AD755" s="1225">
        <v>1032.80</v>
      </c>
      <c r="AE755" s="1042">
        <f t="shared" si="1488"/>
        <v>746.60</v>
      </c>
      <c r="AF755" s="1364">
        <v>746.60</v>
      </c>
      <c r="AG755" s="1225">
        <v>291.50</v>
      </c>
      <c r="AH755" s="1225">
        <v>605.79999999999995</v>
      </c>
      <c r="AI755" s="1225">
        <v>920.50</v>
      </c>
      <c r="AJ755" s="1042">
        <f t="shared" si="1489"/>
        <v>611.60</v>
      </c>
      <c r="AK755" s="1364">
        <v>611.60</v>
      </c>
      <c r="AL755" s="1225">
        <v>-189.90</v>
      </c>
      <c r="AM755" s="1225">
        <v>-2</v>
      </c>
      <c r="AN755" s="1225">
        <v>319.70</v>
      </c>
      <c r="AO755" s="1042">
        <f t="shared" si="1490"/>
        <v>328.90</v>
      </c>
      <c r="AP755" s="1364">
        <v>328.90</v>
      </c>
      <c r="AQ755" s="1225">
        <v>380.10</v>
      </c>
      <c r="AR755" s="1225">
        <v>717.80</v>
      </c>
      <c r="AS755" s="1225">
        <v>1033</v>
      </c>
      <c r="AT755" s="1047">
        <f t="shared" si="1491"/>
        <v>399.70</v>
      </c>
      <c r="AU755" s="1364">
        <v>399.70</v>
      </c>
      <c r="AV755" s="1225">
        <v>545.10</v>
      </c>
      <c r="AW755" s="1225">
        <v>436.50</v>
      </c>
      <c r="AX755" s="1225">
        <v>546.50</v>
      </c>
      <c r="AY755" s="1047">
        <f t="shared" si="1492"/>
        <v>199.50</v>
      </c>
      <c r="AZ755" s="1364">
        <v>199.50</v>
      </c>
      <c r="BA755" s="1225">
        <v>565.50</v>
      </c>
      <c r="BB755" s="1225">
        <v>760</v>
      </c>
      <c r="BC755" s="1225">
        <v>1089.0999999999999</v>
      </c>
      <c r="BD755" s="1047">
        <f t="shared" si="1493"/>
        <v>699.60</v>
      </c>
      <c r="BE755" s="1364">
        <v>699.60</v>
      </c>
      <c r="BF755" s="1225">
        <v>457.80</v>
      </c>
      <c r="BG755" s="1225">
        <v>1057.70</v>
      </c>
      <c r="BH755" s="1226">
        <v>1600.30</v>
      </c>
      <c r="BI755" s="1044">
        <f t="shared" si="1494"/>
        <v>0</v>
      </c>
      <c r="BJ755" s="1350"/>
      <c r="BK755" s="1044"/>
      <c r="BL755" s="1044"/>
      <c r="BM755" s="1044"/>
      <c r="BN755" s="1044">
        <f t="shared" si="1495"/>
        <v>0</v>
      </c>
      <c r="BO755" s="1350"/>
      <c r="BP755" s="1351"/>
      <c r="BQ755" s="1351"/>
      <c r="BR755" s="1350"/>
      <c r="BS755" s="648"/>
    </row>
    <row r="756" spans="1:71" s="665" customFormat="1" ht="15" hidden="1" outlineLevel="1">
      <c r="A756" s="371" t="s">
        <v>156</v>
      </c>
      <c r="B756" s="321"/>
      <c r="C756" s="1351"/>
      <c r="D756" s="1351"/>
      <c r="E756" s="1351"/>
      <c r="F756" s="1351"/>
      <c r="G756" s="1351"/>
      <c r="H756" s="1047"/>
      <c r="I756" s="1047"/>
      <c r="J756" s="1047"/>
      <c r="K756" s="1042">
        <f t="shared" si="1484"/>
        <v>0</v>
      </c>
      <c r="L756" s="1351"/>
      <c r="M756" s="1047"/>
      <c r="N756" s="1047"/>
      <c r="O756" s="1225">
        <v>0</v>
      </c>
      <c r="P756" s="1047"/>
      <c r="Q756" s="1351"/>
      <c r="R756" s="1047"/>
      <c r="S756" s="1047"/>
      <c r="T756" s="1225">
        <v>-22</v>
      </c>
      <c r="U756" s="1042">
        <f t="shared" si="1486"/>
        <v>-14.60</v>
      </c>
      <c r="V756" s="1364">
        <v>-14.60</v>
      </c>
      <c r="W756" s="1225">
        <v>14.40</v>
      </c>
      <c r="X756" s="1225">
        <v>14.10</v>
      </c>
      <c r="Y756" s="1225">
        <v>-16.50</v>
      </c>
      <c r="Z756" s="1042">
        <f t="shared" si="1487"/>
        <v>0</v>
      </c>
      <c r="AA756" s="1351"/>
      <c r="AB756" s="1225">
        <v>0</v>
      </c>
      <c r="AC756" s="1047"/>
      <c r="AD756" s="1047"/>
      <c r="AE756" s="1042">
        <f t="shared" si="1488"/>
        <v>0</v>
      </c>
      <c r="AF756" s="1351"/>
      <c r="AG756" s="1047"/>
      <c r="AH756" s="1047"/>
      <c r="AI756" s="1047"/>
      <c r="AJ756" s="1042">
        <f t="shared" si="1489"/>
        <v>0</v>
      </c>
      <c r="AK756" s="1351"/>
      <c r="AL756" s="1047"/>
      <c r="AM756" s="1047"/>
      <c r="AN756" s="1047"/>
      <c r="AO756" s="1042">
        <f t="shared" si="1490"/>
        <v>0</v>
      </c>
      <c r="AP756" s="1351"/>
      <c r="AQ756" s="1047"/>
      <c r="AR756" s="1047"/>
      <c r="AS756" s="1047"/>
      <c r="AT756" s="1047">
        <f t="shared" si="1491"/>
        <v>0</v>
      </c>
      <c r="AU756" s="1351"/>
      <c r="AV756" s="1047"/>
      <c r="AW756" s="1047"/>
      <c r="AX756" s="1047"/>
      <c r="AY756" s="1047">
        <f t="shared" si="1492"/>
        <v>0</v>
      </c>
      <c r="AZ756" s="1351"/>
      <c r="BA756" s="1047"/>
      <c r="BB756" s="1047"/>
      <c r="BC756" s="1047"/>
      <c r="BD756" s="1047">
        <f t="shared" si="1493"/>
        <v>0</v>
      </c>
      <c r="BE756" s="1351"/>
      <c r="BF756" s="1047"/>
      <c r="BG756" s="1047"/>
      <c r="BH756" s="1048"/>
      <c r="BI756" s="1044">
        <f t="shared" si="1494"/>
        <v>0</v>
      </c>
      <c r="BJ756" s="1350"/>
      <c r="BK756" s="1044"/>
      <c r="BL756" s="1044"/>
      <c r="BM756" s="1044"/>
      <c r="BN756" s="1044">
        <f t="shared" si="1495"/>
        <v>0</v>
      </c>
      <c r="BO756" s="1350"/>
      <c r="BP756" s="1351"/>
      <c r="BQ756" s="1351"/>
      <c r="BR756" s="1350"/>
      <c r="BS756" s="648"/>
    </row>
    <row r="757" spans="1:71" s="665" customFormat="1" ht="15" hidden="1" outlineLevel="1">
      <c r="A757" s="371" t="s">
        <v>157</v>
      </c>
      <c r="B757" s="321"/>
      <c r="C757" s="1364">
        <v>-28.20</v>
      </c>
      <c r="D757" s="1364">
        <v>-10</v>
      </c>
      <c r="E757" s="1364">
        <v>5.90</v>
      </c>
      <c r="F757" s="1364">
        <v>-10.40</v>
      </c>
      <c r="G757" s="1364">
        <v>-28.10</v>
      </c>
      <c r="H757" s="1225">
        <v>27.20</v>
      </c>
      <c r="I757" s="1225">
        <v>29.50</v>
      </c>
      <c r="J757" s="1225">
        <v>28.40</v>
      </c>
      <c r="K757" s="1042">
        <f t="shared" si="1484"/>
        <v>-13.20</v>
      </c>
      <c r="L757" s="1364">
        <v>-13.20</v>
      </c>
      <c r="M757" s="1225">
        <v>13.60</v>
      </c>
      <c r="N757" s="1225">
        <v>29.30</v>
      </c>
      <c r="O757" s="1225">
        <v>23</v>
      </c>
      <c r="P757" s="1042">
        <f>Q757</f>
        <v>-60.20</v>
      </c>
      <c r="Q757" s="1364">
        <v>-60.20</v>
      </c>
      <c r="R757" s="1225">
        <v>-27.50</v>
      </c>
      <c r="S757" s="1225">
        <v>-35.40</v>
      </c>
      <c r="T757" s="1225">
        <v>-58.80</v>
      </c>
      <c r="U757" s="1042">
        <f t="shared" si="1486"/>
        <v>-106.40000000000001</v>
      </c>
      <c r="V757" s="1364">
        <v>-106.40000000000001</v>
      </c>
      <c r="W757" s="1225">
        <v>-35.700000000000003</v>
      </c>
      <c r="X757" s="1225">
        <v>-67.099999999999994</v>
      </c>
      <c r="Y757" s="1225">
        <v>-93.20</v>
      </c>
      <c r="Z757" s="1042">
        <f t="shared" si="1487"/>
        <v>-134.80000000000001</v>
      </c>
      <c r="AA757" s="1364">
        <v>-134.80000000000001</v>
      </c>
      <c r="AB757" s="1225">
        <v>24.20</v>
      </c>
      <c r="AC757" s="1225">
        <v>-31.10</v>
      </c>
      <c r="AD757" s="1225">
        <v>-43.60</v>
      </c>
      <c r="AE757" s="1042">
        <f t="shared" si="1488"/>
        <v>-57.70</v>
      </c>
      <c r="AF757" s="1364">
        <v>-57.70</v>
      </c>
      <c r="AG757" s="1225">
        <v>-20.50</v>
      </c>
      <c r="AH757" s="1225">
        <v>-181.20</v>
      </c>
      <c r="AI757" s="1225">
        <v>-239.40</v>
      </c>
      <c r="AJ757" s="1042">
        <f t="shared" si="1489"/>
        <v>-260.80</v>
      </c>
      <c r="AK757" s="1364">
        <v>-260.80</v>
      </c>
      <c r="AL757" s="1225">
        <v>34.200000000000003</v>
      </c>
      <c r="AM757" s="1225">
        <v>-25.50</v>
      </c>
      <c r="AN757" s="1225">
        <v>9.60</v>
      </c>
      <c r="AO757" s="1042">
        <f t="shared" si="1490"/>
        <v>-2.90</v>
      </c>
      <c r="AP757" s="1364">
        <v>-2.90</v>
      </c>
      <c r="AQ757" s="1225">
        <v>80</v>
      </c>
      <c r="AR757" s="1225">
        <v>71.70</v>
      </c>
      <c r="AS757" s="1225">
        <v>79.50</v>
      </c>
      <c r="AT757" s="1047">
        <f t="shared" si="1491"/>
        <v>26.10</v>
      </c>
      <c r="AU757" s="1364">
        <v>26.10</v>
      </c>
      <c r="AV757" s="1225">
        <v>236.40</v>
      </c>
      <c r="AW757" s="1225">
        <v>-45.20</v>
      </c>
      <c r="AX757" s="1225">
        <v>-39.40</v>
      </c>
      <c r="AY757" s="1047">
        <f t="shared" si="1492"/>
        <v>-104.70</v>
      </c>
      <c r="AZ757" s="1364">
        <v>-104.70</v>
      </c>
      <c r="BA757" s="1225">
        <v>-82.20</v>
      </c>
      <c r="BB757" s="1225">
        <v>-141.30000000000001</v>
      </c>
      <c r="BC757" s="1225">
        <v>-215.80</v>
      </c>
      <c r="BD757" s="1047">
        <f t="shared" si="1493"/>
        <v>-255</v>
      </c>
      <c r="BE757" s="1364">
        <v>-255</v>
      </c>
      <c r="BF757" s="1225">
        <v>-65.80</v>
      </c>
      <c r="BG757" s="1225">
        <v>-237.90</v>
      </c>
      <c r="BH757" s="1226">
        <v>-225.10</v>
      </c>
      <c r="BI757" s="1044">
        <f t="shared" si="1494"/>
        <v>0</v>
      </c>
      <c r="BJ757" s="1350"/>
      <c r="BK757" s="1044"/>
      <c r="BL757" s="1044"/>
      <c r="BM757" s="1044"/>
      <c r="BN757" s="1044">
        <f t="shared" si="1495"/>
        <v>0</v>
      </c>
      <c r="BO757" s="1350"/>
      <c r="BP757" s="1351"/>
      <c r="BQ757" s="1351"/>
      <c r="BR757" s="1350"/>
      <c r="BS757" s="648"/>
    </row>
    <row r="758" spans="1:71" s="668" customFormat="1" ht="15" hidden="1" outlineLevel="1">
      <c r="A758" s="42" t="s">
        <v>158</v>
      </c>
      <c r="B758" s="410"/>
      <c r="C758" s="1355">
        <f t="shared" si="1496" ref="C758:AU758">SUM(C747:C757)</f>
        <v>1486.7999999999997</v>
      </c>
      <c r="D758" s="1355">
        <f t="shared" si="1496"/>
        <v>1679.30</v>
      </c>
      <c r="E758" s="1355">
        <f t="shared" si="1496"/>
        <v>1497.90</v>
      </c>
      <c r="F758" s="1355">
        <f t="shared" si="1496"/>
        <v>1691.3999999999996</v>
      </c>
      <c r="G758" s="1355">
        <f t="shared" si="1496"/>
        <v>1899.90</v>
      </c>
      <c r="H758" s="1052">
        <f t="shared" si="1496"/>
        <v>660.60</v>
      </c>
      <c r="I758" s="1052">
        <f t="shared" si="1496"/>
        <v>1041.1999999999998</v>
      </c>
      <c r="J758" s="1052">
        <f t="shared" si="1496"/>
        <v>1657.5000000000005</v>
      </c>
      <c r="K758" s="1052">
        <f t="shared" si="1496"/>
        <v>1725.60</v>
      </c>
      <c r="L758" s="1355">
        <f t="shared" si="1496"/>
        <v>1725.60</v>
      </c>
      <c r="M758" s="1052">
        <f t="shared" si="1496"/>
        <v>771.10</v>
      </c>
      <c r="N758" s="1052">
        <f t="shared" si="1496"/>
        <v>1430.0000000000002</v>
      </c>
      <c r="O758" s="1052">
        <f t="shared" si="1496"/>
        <v>2160.40</v>
      </c>
      <c r="P758" s="1052">
        <f t="shared" si="1496"/>
        <v>2292.9000000000005</v>
      </c>
      <c r="Q758" s="1355">
        <f t="shared" si="1496"/>
        <v>2292.9000000000005</v>
      </c>
      <c r="R758" s="1052">
        <f t="shared" si="1496"/>
        <v>824.50</v>
      </c>
      <c r="S758" s="1052">
        <f t="shared" si="1496"/>
        <v>1554.8000000000002</v>
      </c>
      <c r="T758" s="1052">
        <f t="shared" si="1496"/>
        <v>2259.60</v>
      </c>
      <c r="U758" s="1052">
        <f t="shared" si="1496"/>
        <v>2701.90</v>
      </c>
      <c r="V758" s="1355">
        <f t="shared" si="1496"/>
        <v>2701.90</v>
      </c>
      <c r="W758" s="1052">
        <f t="shared" si="1496"/>
        <v>1118.8000000000002</v>
      </c>
      <c r="X758" s="1052">
        <f t="shared" si="1496"/>
        <v>2036.6999999999998</v>
      </c>
      <c r="Y758" s="1052">
        <f t="shared" si="1496"/>
        <v>3206.60</v>
      </c>
      <c r="Z758" s="1052">
        <f t="shared" si="1496"/>
        <v>3756.80</v>
      </c>
      <c r="AA758" s="1355">
        <f t="shared" si="1496"/>
        <v>3756.80</v>
      </c>
      <c r="AB758" s="1052">
        <f t="shared" si="1496"/>
        <v>1747.10</v>
      </c>
      <c r="AC758" s="1052">
        <f t="shared" si="1496"/>
        <v>3483.30</v>
      </c>
      <c r="AD758" s="1052">
        <f t="shared" si="1496"/>
        <v>5201.4999999999991</v>
      </c>
      <c r="AE758" s="1052">
        <f t="shared" si="1496"/>
        <v>6284.80</v>
      </c>
      <c r="AF758" s="1355">
        <f t="shared" si="1496"/>
        <v>6284.80</v>
      </c>
      <c r="AG758" s="1052">
        <f t="shared" si="1496"/>
        <v>1868.50</v>
      </c>
      <c r="AH758" s="1052">
        <f t="shared" si="1496"/>
        <v>3374.7000000000007</v>
      </c>
      <c r="AI758" s="1052">
        <f t="shared" si="1496"/>
        <v>5133.3999999999996</v>
      </c>
      <c r="AJ758" s="1052">
        <f t="shared" si="1496"/>
        <v>6261.6000000000013</v>
      </c>
      <c r="AK758" s="1355">
        <f t="shared" si="1496"/>
        <v>6261.6000000000013</v>
      </c>
      <c r="AL758" s="1054">
        <f t="shared" si="1496"/>
        <v>1625.7999999999997</v>
      </c>
      <c r="AM758" s="1054">
        <f t="shared" si="1496"/>
        <v>3878.60</v>
      </c>
      <c r="AN758" s="1054">
        <f t="shared" si="1496"/>
        <v>5358.2999999999993</v>
      </c>
      <c r="AO758" s="1052">
        <f>SUM(AO747:AO757)</f>
        <v>6905.5999999999985</v>
      </c>
      <c r="AP758" s="1355">
        <f>SUM(AP747:AP757)</f>
        <v>6905.5999999999985</v>
      </c>
      <c r="AQ758" s="1054">
        <f t="shared" si="1496"/>
        <v>2614.50</v>
      </c>
      <c r="AR758" s="1054">
        <f t="shared" si="1496"/>
        <v>4938.3999999999996</v>
      </c>
      <c r="AS758" s="1054">
        <f>SUM(AS747:AS757)</f>
        <v>7309.60</v>
      </c>
      <c r="AT758" s="1054">
        <f t="shared" si="1496"/>
        <v>7761.70</v>
      </c>
      <c r="AU758" s="1356">
        <f t="shared" si="1496"/>
        <v>7761.70</v>
      </c>
      <c r="AV758" s="1054">
        <f t="shared" si="1497" ref="AV758:BJ758">SUM(AV747:AV757)</f>
        <v>2502.2999999999997</v>
      </c>
      <c r="AW758" s="1054">
        <f t="shared" si="1497"/>
        <v>3891.90</v>
      </c>
      <c r="AX758" s="1054">
        <f t="shared" si="1497"/>
        <v>5919.2000000000007</v>
      </c>
      <c r="AY758" s="1054">
        <f t="shared" si="1497"/>
        <v>6848.80</v>
      </c>
      <c r="AZ758" s="1356">
        <f t="shared" si="1497"/>
        <v>6848.80</v>
      </c>
      <c r="BA758" s="1054">
        <f t="shared" si="1497"/>
        <v>2449.50</v>
      </c>
      <c r="BB758" s="1054">
        <f t="shared" si="1497"/>
        <v>4786.50</v>
      </c>
      <c r="BC758" s="1054">
        <f t="shared" si="1497"/>
        <v>8206</v>
      </c>
      <c r="BD758" s="1054">
        <f t="shared" si="1497"/>
        <v>10643.299999999999</v>
      </c>
      <c r="BE758" s="1356">
        <f t="shared" si="1497"/>
        <v>10643.299999999999</v>
      </c>
      <c r="BF758" s="1054">
        <f>SUM(BF747:BF757)</f>
        <v>4235.4000000000005</v>
      </c>
      <c r="BG758" s="1054">
        <f>SUM(BG747:BG757)</f>
        <v>7501.20</v>
      </c>
      <c r="BH758" s="1100">
        <f>SUM(BH747:BH757)</f>
        <v>12111.699999999999</v>
      </c>
      <c r="BI758" s="1054">
        <f>SUM(BI747:BI757)</f>
        <v>0</v>
      </c>
      <c r="BJ758" s="1356">
        <f t="shared" si="1497"/>
        <v>0</v>
      </c>
      <c r="BK758" s="1054">
        <f t="shared" si="1498" ref="BK758:BR758">SUM(BK747:BK757)</f>
        <v>0</v>
      </c>
      <c r="BL758" s="1054">
        <f t="shared" si="1498"/>
        <v>0</v>
      </c>
      <c r="BM758" s="1054">
        <f t="shared" si="1498"/>
        <v>0</v>
      </c>
      <c r="BN758" s="1054">
        <f t="shared" si="1498"/>
        <v>0</v>
      </c>
      <c r="BO758" s="1356">
        <f t="shared" si="1498"/>
        <v>0</v>
      </c>
      <c r="BP758" s="1356">
        <f t="shared" si="1498"/>
        <v>0</v>
      </c>
      <c r="BQ758" s="1356">
        <f t="shared" si="1498"/>
        <v>0</v>
      </c>
      <c r="BR758" s="1356">
        <f t="shared" si="1498"/>
        <v>0</v>
      </c>
      <c r="BS758" s="648"/>
    </row>
    <row r="759" spans="1:71" s="668" customFormat="1" ht="15" hidden="1" outlineLevel="1">
      <c r="A759" s="904"/>
      <c r="B759" s="367"/>
      <c r="C759" s="1322"/>
      <c r="D759" s="1322"/>
      <c r="E759" s="1322"/>
      <c r="F759" s="1322"/>
      <c r="G759" s="1322"/>
      <c r="H759" s="1031"/>
      <c r="I759" s="1031"/>
      <c r="J759" s="1031"/>
      <c r="K759" s="1031"/>
      <c r="L759" s="1322"/>
      <c r="M759" s="1031"/>
      <c r="N759" s="1031"/>
      <c r="O759" s="1031"/>
      <c r="P759" s="1031"/>
      <c r="Q759" s="1322"/>
      <c r="R759" s="1031"/>
      <c r="S759" s="1031"/>
      <c r="T759" s="1031"/>
      <c r="U759" s="1031"/>
      <c r="V759" s="1322"/>
      <c r="W759" s="1031"/>
      <c r="X759" s="1031"/>
      <c r="Y759" s="1031"/>
      <c r="Z759" s="1031"/>
      <c r="AA759" s="1322"/>
      <c r="AB759" s="1031"/>
      <c r="AC759" s="1031"/>
      <c r="AD759" s="1031"/>
      <c r="AE759" s="1031"/>
      <c r="AF759" s="1322"/>
      <c r="AG759" s="1031"/>
      <c r="AH759" s="1031"/>
      <c r="AI759" s="1031"/>
      <c r="AJ759" s="1031"/>
      <c r="AK759" s="1322"/>
      <c r="AL759" s="1031"/>
      <c r="AM759" s="1031"/>
      <c r="AN759" s="1031"/>
      <c r="AO759" s="1031"/>
      <c r="AP759" s="1322"/>
      <c r="AQ759" s="1031"/>
      <c r="AR759" s="1031"/>
      <c r="AS759" s="1031"/>
      <c r="AT759" s="1031"/>
      <c r="AU759" s="1322"/>
      <c r="AV759" s="1031"/>
      <c r="AW759" s="1031"/>
      <c r="AX759" s="1031"/>
      <c r="AY759" s="1031"/>
      <c r="AZ759" s="1322"/>
      <c r="BA759" s="1031"/>
      <c r="BB759" s="1031"/>
      <c r="BC759" s="1031"/>
      <c r="BD759" s="1031"/>
      <c r="BE759" s="1322"/>
      <c r="BF759" s="1031"/>
      <c r="BG759" s="1031"/>
      <c r="BH759" s="1049"/>
      <c r="BI759" s="1023"/>
      <c r="BJ759" s="1321"/>
      <c r="BK759" s="1023"/>
      <c r="BL759" s="1023"/>
      <c r="BM759" s="1023"/>
      <c r="BN759" s="1023"/>
      <c r="BO759" s="1321"/>
      <c r="BP759" s="1322"/>
      <c r="BQ759" s="1322"/>
      <c r="BR759" s="1321"/>
      <c r="BS759" s="648"/>
    </row>
    <row r="760" spans="1:71" s="668" customFormat="1" ht="15" hidden="1" outlineLevel="1">
      <c r="A760" s="25" t="s">
        <v>159</v>
      </c>
      <c r="B760" s="367"/>
      <c r="C760" s="1322"/>
      <c r="D760" s="1322"/>
      <c r="E760" s="1322"/>
      <c r="F760" s="1322"/>
      <c r="G760" s="1322"/>
      <c r="H760" s="1031"/>
      <c r="I760" s="1031"/>
      <c r="J760" s="1031"/>
      <c r="K760" s="1031"/>
      <c r="L760" s="1322"/>
      <c r="M760" s="1031"/>
      <c r="N760" s="1031"/>
      <c r="O760" s="1031"/>
      <c r="P760" s="1031"/>
      <c r="Q760" s="1322"/>
      <c r="R760" s="1031"/>
      <c r="S760" s="1031"/>
      <c r="T760" s="1031"/>
      <c r="U760" s="1031"/>
      <c r="V760" s="1322"/>
      <c r="W760" s="1031"/>
      <c r="X760" s="1031"/>
      <c r="Y760" s="1031"/>
      <c r="Z760" s="1031"/>
      <c r="AA760" s="1322"/>
      <c r="AB760" s="1031"/>
      <c r="AC760" s="1031"/>
      <c r="AD760" s="1031"/>
      <c r="AE760" s="1031"/>
      <c r="AF760" s="1322"/>
      <c r="AG760" s="1031"/>
      <c r="AH760" s="1031"/>
      <c r="AI760" s="1031"/>
      <c r="AJ760" s="1031"/>
      <c r="AK760" s="1322"/>
      <c r="AL760" s="1031"/>
      <c r="AM760" s="1031"/>
      <c r="AN760" s="1031"/>
      <c r="AO760" s="1031"/>
      <c r="AP760" s="1322"/>
      <c r="AQ760" s="1031"/>
      <c r="AR760" s="1031"/>
      <c r="AS760" s="1031"/>
      <c r="AT760" s="1031"/>
      <c r="AU760" s="1322"/>
      <c r="AV760" s="1031"/>
      <c r="AW760" s="1031"/>
      <c r="AX760" s="1031"/>
      <c r="AY760" s="1031"/>
      <c r="AZ760" s="1322"/>
      <c r="BA760" s="1031"/>
      <c r="BB760" s="1031"/>
      <c r="BC760" s="1031"/>
      <c r="BD760" s="1031"/>
      <c r="BE760" s="1322"/>
      <c r="BF760" s="1031"/>
      <c r="BG760" s="1031"/>
      <c r="BH760" s="1049"/>
      <c r="BI760" s="1023"/>
      <c r="BJ760" s="1321"/>
      <c r="BK760" s="1023"/>
      <c r="BL760" s="1023"/>
      <c r="BM760" s="1023"/>
      <c r="BN760" s="1023"/>
      <c r="BO760" s="1321"/>
      <c r="BP760" s="1322"/>
      <c r="BQ760" s="1322"/>
      <c r="BR760" s="1321"/>
      <c r="BS760" s="648"/>
    </row>
    <row r="761" spans="1:71" s="665" customFormat="1" ht="15" hidden="1" outlineLevel="1">
      <c r="A761" s="371" t="s">
        <v>160</v>
      </c>
      <c r="B761" s="321"/>
      <c r="C761" s="1364">
        <v>-10046.299999999999</v>
      </c>
      <c r="D761" s="1364">
        <v>-4491.70</v>
      </c>
      <c r="E761" s="1364">
        <v>-6032.40</v>
      </c>
      <c r="F761" s="1364">
        <v>-5199.20</v>
      </c>
      <c r="G761" s="1364">
        <v>-7100.60</v>
      </c>
      <c r="H761" s="1225">
        <v>-1731.60</v>
      </c>
      <c r="I761" s="1225">
        <v>-3332.10</v>
      </c>
      <c r="J761" s="1225">
        <v>-5774.50</v>
      </c>
      <c r="K761" s="1042">
        <f t="shared" si="1499" ref="K761:K773">L761</f>
        <v>-7967.50</v>
      </c>
      <c r="L761" s="1364">
        <v>-7967.50</v>
      </c>
      <c r="M761" s="1225">
        <v>-3023.80</v>
      </c>
      <c r="N761" s="1225">
        <v>-5316.70</v>
      </c>
      <c r="O761" s="1225">
        <v>-7106.70</v>
      </c>
      <c r="P761" s="1042">
        <f t="shared" si="1500" ref="P761:P773">Q761</f>
        <v>-9311.10</v>
      </c>
      <c r="Q761" s="1364">
        <v>-9311.10</v>
      </c>
      <c r="R761" s="1225">
        <v>-2468.1999999999998</v>
      </c>
      <c r="S761" s="1225">
        <v>-4489.6000000000004</v>
      </c>
      <c r="T761" s="1225">
        <v>-7364.60</v>
      </c>
      <c r="U761" s="1042">
        <f t="shared" si="1501" ref="U761:U773">V761</f>
        <v>-11610.60</v>
      </c>
      <c r="V761" s="1364">
        <v>-11610.60</v>
      </c>
      <c r="W761" s="1225">
        <v>-3203.90</v>
      </c>
      <c r="X761" s="1225">
        <v>-6803.30</v>
      </c>
      <c r="Y761" s="1225">
        <v>-9623.60</v>
      </c>
      <c r="Z761" s="1042">
        <f t="shared" si="1502" ref="Z761:Z773">AA761</f>
        <v>-14587.80</v>
      </c>
      <c r="AA761" s="1364">
        <v>-14587.80</v>
      </c>
      <c r="AB761" s="1225">
        <v>-5563</v>
      </c>
      <c r="AC761" s="1225">
        <v>-10780</v>
      </c>
      <c r="AD761" s="1225">
        <v>-14430.60</v>
      </c>
      <c r="AE761" s="1042">
        <f t="shared" si="1503" ref="AE761:AE773">AF761</f>
        <v>-21153</v>
      </c>
      <c r="AF761" s="1364">
        <v>-21153</v>
      </c>
      <c r="AG761" s="1225">
        <v>-4711.1000000000004</v>
      </c>
      <c r="AH761" s="1225">
        <v>-13008.40</v>
      </c>
      <c r="AI761" s="1225">
        <v>-20105.299999999999</v>
      </c>
      <c r="AJ761" s="1042">
        <f t="shared" si="1504" ref="AJ761:AJ773">AK761</f>
        <v>-28765.20</v>
      </c>
      <c r="AK761" s="1364">
        <v>-28765.20</v>
      </c>
      <c r="AL761" s="1225">
        <v>-10433</v>
      </c>
      <c r="AM761" s="1225">
        <v>-18193.50</v>
      </c>
      <c r="AN761" s="1225">
        <v>-25974.900000000001</v>
      </c>
      <c r="AO761" s="1042">
        <f t="shared" si="1505" ref="AO761:AO773">AP761</f>
        <v>-32037.50</v>
      </c>
      <c r="AP761" s="1364">
        <v>-32037.50</v>
      </c>
      <c r="AQ761" s="1225">
        <v>-10421.40</v>
      </c>
      <c r="AR761" s="1225">
        <v>-18364.50</v>
      </c>
      <c r="AS761" s="1225">
        <v>-25222.200000000001</v>
      </c>
      <c r="AT761" s="1047">
        <f t="shared" si="1506" ref="AT761:AT773">AU761</f>
        <v>-33177.50</v>
      </c>
      <c r="AU761" s="1364">
        <v>-33177.50</v>
      </c>
      <c r="AV761" s="1225">
        <v>-11453.40</v>
      </c>
      <c r="AW761" s="1225">
        <v>-14332.299999999999</v>
      </c>
      <c r="AX761" s="1225">
        <v>-18672.700000000001</v>
      </c>
      <c r="AY761" s="1047">
        <f t="shared" si="1507" ref="AY761:AY773">AZ761</f>
        <v>-26510.40</v>
      </c>
      <c r="AZ761" s="1364">
        <v>-26510.40</v>
      </c>
      <c r="BA761" s="1225">
        <v>-6119.50</v>
      </c>
      <c r="BB761" s="1225">
        <v>-12370.90</v>
      </c>
      <c r="BC761" s="1225">
        <v>-18956.20</v>
      </c>
      <c r="BD761" s="1047">
        <f t="shared" si="1508" ref="BD761:BD773">BE761</f>
        <v>-25776.900000000001</v>
      </c>
      <c r="BE761" s="1364">
        <v>-25776.900000000001</v>
      </c>
      <c r="BF761" s="1225">
        <v>-13288.20</v>
      </c>
      <c r="BG761" s="1225">
        <v>-24532.40</v>
      </c>
      <c r="BH761" s="1226">
        <v>-35835.50</v>
      </c>
      <c r="BI761" s="1044">
        <f t="shared" si="1509" ref="BI761:BI773">BJ761</f>
        <v>0</v>
      </c>
      <c r="BJ761" s="1350"/>
      <c r="BK761" s="1044"/>
      <c r="BL761" s="1044"/>
      <c r="BM761" s="1044"/>
      <c r="BN761" s="1044">
        <f t="shared" si="1510" ref="BN761:BN773">BO761</f>
        <v>0</v>
      </c>
      <c r="BO761" s="1350"/>
      <c r="BP761" s="1351"/>
      <c r="BQ761" s="1351"/>
      <c r="BR761" s="1350"/>
      <c r="BS761" s="648"/>
    </row>
    <row r="762" spans="1:71" s="665" customFormat="1" ht="15" hidden="1" outlineLevel="1">
      <c r="A762" s="371" t="s">
        <v>161</v>
      </c>
      <c r="B762" s="321"/>
      <c r="C762" s="1364">
        <v>-624.20000000000005</v>
      </c>
      <c r="D762" s="1364">
        <v>-511.40</v>
      </c>
      <c r="E762" s="1364">
        <v>-582</v>
      </c>
      <c r="F762" s="1364">
        <v>-463.10</v>
      </c>
      <c r="G762" s="1364">
        <v>-322.20</v>
      </c>
      <c r="H762" s="1225">
        <v>-86.60</v>
      </c>
      <c r="I762" s="1225">
        <v>-176.70</v>
      </c>
      <c r="J762" s="1225">
        <v>-250.70</v>
      </c>
      <c r="K762" s="1042">
        <f t="shared" si="1499"/>
        <v>-369.70</v>
      </c>
      <c r="L762" s="1364">
        <v>-369.70</v>
      </c>
      <c r="M762" s="1225">
        <v>-77.20</v>
      </c>
      <c r="N762" s="1225">
        <v>-257.20</v>
      </c>
      <c r="O762" s="1225">
        <v>-461.30</v>
      </c>
      <c r="P762" s="1042">
        <f t="shared" si="1500"/>
        <v>-647.10</v>
      </c>
      <c r="Q762" s="1364">
        <v>-647.10</v>
      </c>
      <c r="R762" s="1225">
        <v>-180.10</v>
      </c>
      <c r="S762" s="1225">
        <v>-290.50</v>
      </c>
      <c r="T762" s="1225">
        <v>-367.10</v>
      </c>
      <c r="U762" s="1042">
        <f t="shared" si="1501"/>
        <v>-434.20</v>
      </c>
      <c r="V762" s="1364">
        <v>-434.20</v>
      </c>
      <c r="W762" s="1225">
        <v>-52.50</v>
      </c>
      <c r="X762" s="1225">
        <v>-89.50</v>
      </c>
      <c r="Y762" s="1225">
        <v>-155.19999999999999</v>
      </c>
      <c r="Z762" s="1042">
        <f t="shared" si="1502"/>
        <v>-255.60</v>
      </c>
      <c r="AA762" s="1364">
        <v>-255.60</v>
      </c>
      <c r="AB762" s="1225">
        <v>-39.90</v>
      </c>
      <c r="AC762" s="1225">
        <v>-136.40000000000001</v>
      </c>
      <c r="AD762" s="1225">
        <v>-234.90</v>
      </c>
      <c r="AE762" s="1042">
        <f t="shared" si="1503"/>
        <v>-538.79999999999995</v>
      </c>
      <c r="AF762" s="1364">
        <v>-538.79999999999995</v>
      </c>
      <c r="AG762" s="1225">
        <v>-93.60</v>
      </c>
      <c r="AH762" s="1225">
        <v>-230.70</v>
      </c>
      <c r="AI762" s="1225">
        <v>-291.89999999999998</v>
      </c>
      <c r="AJ762" s="1042">
        <f t="shared" si="1504"/>
        <v>-379.90</v>
      </c>
      <c r="AK762" s="1364">
        <v>-379.90</v>
      </c>
      <c r="AL762" s="1225">
        <v>-366.60</v>
      </c>
      <c r="AM762" s="1225">
        <v>-671.30</v>
      </c>
      <c r="AN762" s="1225">
        <v>-781.80</v>
      </c>
      <c r="AO762" s="1042">
        <f t="shared" si="1505"/>
        <v>-951.20</v>
      </c>
      <c r="AP762" s="1364">
        <v>-951.20</v>
      </c>
      <c r="AQ762" s="1225">
        <v>-196.70</v>
      </c>
      <c r="AR762" s="1225">
        <v>-416.10</v>
      </c>
      <c r="AS762" s="1225">
        <v>-464.90</v>
      </c>
      <c r="AT762" s="1047">
        <f t="shared" si="1506"/>
        <v>-838.10</v>
      </c>
      <c r="AU762" s="1364">
        <v>-838.10</v>
      </c>
      <c r="AV762" s="1225">
        <v>-74.30</v>
      </c>
      <c r="AW762" s="1225">
        <v>-91.10</v>
      </c>
      <c r="AX762" s="1225">
        <v>-126.50</v>
      </c>
      <c r="AY762" s="1047">
        <f t="shared" si="1507"/>
        <v>-158.09999999999999</v>
      </c>
      <c r="AZ762" s="1364">
        <v>-158.09999999999999</v>
      </c>
      <c r="BA762" s="1225">
        <v>-17.80</v>
      </c>
      <c r="BB762" s="1225">
        <v>-21.10</v>
      </c>
      <c r="BC762" s="1225">
        <v>-23.20</v>
      </c>
      <c r="BD762" s="1047">
        <f t="shared" si="1508"/>
        <v>-86.60</v>
      </c>
      <c r="BE762" s="1364">
        <v>-86.60</v>
      </c>
      <c r="BF762" s="1225">
        <v>-32.40</v>
      </c>
      <c r="BG762" s="1225">
        <v>-32.60</v>
      </c>
      <c r="BH762" s="1226">
        <v>-110.59999999999999</v>
      </c>
      <c r="BI762" s="1044">
        <f t="shared" si="1509"/>
        <v>0</v>
      </c>
      <c r="BJ762" s="1350"/>
      <c r="BK762" s="1044"/>
      <c r="BL762" s="1044"/>
      <c r="BM762" s="1044"/>
      <c r="BN762" s="1044">
        <f t="shared" si="1510"/>
        <v>0</v>
      </c>
      <c r="BO762" s="1350"/>
      <c r="BP762" s="1351"/>
      <c r="BQ762" s="1351"/>
      <c r="BR762" s="1350"/>
      <c r="BS762" s="648"/>
    </row>
    <row r="763" spans="1:71" s="665" customFormat="1" ht="15" hidden="1" outlineLevel="1">
      <c r="A763" s="371" t="s">
        <v>162</v>
      </c>
      <c r="B763" s="321"/>
      <c r="C763" s="1364">
        <v>7950</v>
      </c>
      <c r="D763" s="1364">
        <v>3055.80</v>
      </c>
      <c r="E763" s="1364">
        <v>4442.6000000000004</v>
      </c>
      <c r="F763" s="1364">
        <v>3705.60</v>
      </c>
      <c r="G763" s="1364">
        <v>3083.90</v>
      </c>
      <c r="H763" s="1225">
        <v>2107.10</v>
      </c>
      <c r="I763" s="1225">
        <v>3329.30</v>
      </c>
      <c r="J763" s="1225">
        <v>4342</v>
      </c>
      <c r="K763" s="1042">
        <f t="shared" si="1499"/>
        <v>5637.50</v>
      </c>
      <c r="L763" s="1364">
        <v>5637.50</v>
      </c>
      <c r="M763" s="1225">
        <v>1534.60</v>
      </c>
      <c r="N763" s="1225">
        <v>2780</v>
      </c>
      <c r="O763" s="1225">
        <v>3639.80</v>
      </c>
      <c r="P763" s="1042">
        <f t="shared" si="1500"/>
        <v>4913.50</v>
      </c>
      <c r="Q763" s="1364">
        <v>4913.50</v>
      </c>
      <c r="R763" s="1225">
        <v>2105.90</v>
      </c>
      <c r="S763" s="1225">
        <v>3361.70</v>
      </c>
      <c r="T763" s="1225">
        <v>4746.1000000000004</v>
      </c>
      <c r="U763" s="1042">
        <f t="shared" si="1501"/>
        <v>5694.90</v>
      </c>
      <c r="V763" s="1364">
        <v>5694.90</v>
      </c>
      <c r="W763" s="1225">
        <v>1014.10</v>
      </c>
      <c r="X763" s="1225">
        <v>2359.90</v>
      </c>
      <c r="Y763" s="1225">
        <v>3431.70</v>
      </c>
      <c r="Z763" s="1042">
        <f t="shared" si="1502"/>
        <v>5382.50</v>
      </c>
      <c r="AA763" s="1364">
        <v>5382.50</v>
      </c>
      <c r="AB763" s="1225">
        <v>1692.40</v>
      </c>
      <c r="AC763" s="1225">
        <v>3916.10</v>
      </c>
      <c r="AD763" s="1225">
        <v>4659.6000000000004</v>
      </c>
      <c r="AE763" s="1042">
        <f t="shared" si="1503"/>
        <v>7835.60</v>
      </c>
      <c r="AF763" s="1364">
        <v>7835.60</v>
      </c>
      <c r="AG763" s="1225">
        <v>4214.70</v>
      </c>
      <c r="AH763" s="1225">
        <v>8162.10</v>
      </c>
      <c r="AI763" s="1225">
        <v>12112.90</v>
      </c>
      <c r="AJ763" s="1042">
        <f t="shared" si="1504"/>
        <v>18412.700000000001</v>
      </c>
      <c r="AK763" s="1364">
        <v>18412.700000000001</v>
      </c>
      <c r="AL763" s="1225">
        <v>7415.90</v>
      </c>
      <c r="AM763" s="1225">
        <v>13749.20</v>
      </c>
      <c r="AN763" s="1225">
        <v>18412.900000000001</v>
      </c>
      <c r="AO763" s="1042">
        <f t="shared" si="1505"/>
        <v>22727.20</v>
      </c>
      <c r="AP763" s="1364">
        <v>22727.20</v>
      </c>
      <c r="AQ763" s="1225">
        <v>5590.30</v>
      </c>
      <c r="AR763" s="1225">
        <v>8703.2000000000007</v>
      </c>
      <c r="AS763" s="1225">
        <v>11747.10</v>
      </c>
      <c r="AT763" s="1047">
        <f t="shared" si="1506"/>
        <v>18965.20</v>
      </c>
      <c r="AU763" s="1364">
        <v>18965.20</v>
      </c>
      <c r="AV763" s="1225">
        <v>5889.90</v>
      </c>
      <c r="AW763" s="1225">
        <v>9378.7000000000007</v>
      </c>
      <c r="AX763" s="1225">
        <v>9737.60</v>
      </c>
      <c r="AY763" s="1047">
        <f t="shared" si="1507"/>
        <v>14055.20</v>
      </c>
      <c r="AZ763" s="1364">
        <v>14055.20</v>
      </c>
      <c r="BA763" s="1225">
        <v>2202.60</v>
      </c>
      <c r="BB763" s="1225">
        <v>2815.80</v>
      </c>
      <c r="BC763" s="1225">
        <v>4780.30</v>
      </c>
      <c r="BD763" s="1047">
        <f t="shared" si="1508"/>
        <v>8234.40</v>
      </c>
      <c r="BE763" s="1364">
        <v>8234.40</v>
      </c>
      <c r="BF763" s="1225">
        <v>7765.30</v>
      </c>
      <c r="BG763" s="1225">
        <v>13687.20</v>
      </c>
      <c r="BH763" s="1226">
        <v>18582.50</v>
      </c>
      <c r="BI763" s="1044">
        <f t="shared" si="1509"/>
        <v>0</v>
      </c>
      <c r="BJ763" s="1350"/>
      <c r="BK763" s="1044"/>
      <c r="BL763" s="1044"/>
      <c r="BM763" s="1044"/>
      <c r="BN763" s="1044">
        <f t="shared" si="1510"/>
        <v>0</v>
      </c>
      <c r="BO763" s="1350"/>
      <c r="BP763" s="1351"/>
      <c r="BQ763" s="1351"/>
      <c r="BR763" s="1350"/>
      <c r="BS763" s="648"/>
    </row>
    <row r="764" spans="1:71" s="665" customFormat="1" ht="15" hidden="1" outlineLevel="1">
      <c r="A764" s="371" t="s">
        <v>163</v>
      </c>
      <c r="B764" s="321"/>
      <c r="C764" s="1364">
        <v>919.40</v>
      </c>
      <c r="D764" s="1364">
        <v>241.90</v>
      </c>
      <c r="E764" s="1364">
        <v>423.50</v>
      </c>
      <c r="F764" s="1364">
        <v>793</v>
      </c>
      <c r="G764" s="1364">
        <v>369.20</v>
      </c>
      <c r="H764" s="1225">
        <v>362.50</v>
      </c>
      <c r="I764" s="1225">
        <v>446.40</v>
      </c>
      <c r="J764" s="1225">
        <v>500.20</v>
      </c>
      <c r="K764" s="1042">
        <f t="shared" si="1499"/>
        <v>560.10</v>
      </c>
      <c r="L764" s="1364">
        <v>560.10</v>
      </c>
      <c r="M764" s="1225">
        <v>88.90</v>
      </c>
      <c r="N764" s="1225">
        <v>200.40</v>
      </c>
      <c r="O764" s="1225">
        <v>251.80</v>
      </c>
      <c r="P764" s="1042">
        <f t="shared" si="1500"/>
        <v>402.40</v>
      </c>
      <c r="Q764" s="1364">
        <v>402.40</v>
      </c>
      <c r="R764" s="1225">
        <v>97.90</v>
      </c>
      <c r="S764" s="1225">
        <v>182.90</v>
      </c>
      <c r="T764" s="1225">
        <v>278.20</v>
      </c>
      <c r="U764" s="1042">
        <f t="shared" si="1501"/>
        <v>484.60</v>
      </c>
      <c r="V764" s="1364">
        <v>484.60</v>
      </c>
      <c r="W764" s="1225">
        <v>86.50</v>
      </c>
      <c r="X764" s="1225">
        <v>133.30000000000001</v>
      </c>
      <c r="Y764" s="1225">
        <v>150.59999999999999</v>
      </c>
      <c r="Z764" s="1042">
        <f t="shared" si="1502"/>
        <v>252.90</v>
      </c>
      <c r="AA764" s="1364">
        <v>252.90</v>
      </c>
      <c r="AB764" s="1225">
        <v>428</v>
      </c>
      <c r="AC764" s="1225">
        <v>460</v>
      </c>
      <c r="AD764" s="1225">
        <v>773.50</v>
      </c>
      <c r="AE764" s="1042">
        <f t="shared" si="1503"/>
        <v>823.50</v>
      </c>
      <c r="AF764" s="1364">
        <v>823.50</v>
      </c>
      <c r="AG764" s="1225">
        <v>39</v>
      </c>
      <c r="AH764" s="1225">
        <v>131.59999999999999</v>
      </c>
      <c r="AI764" s="1225">
        <v>175.70</v>
      </c>
      <c r="AJ764" s="1042">
        <f t="shared" si="1504"/>
        <v>471.40</v>
      </c>
      <c r="AK764" s="1364">
        <v>471.40</v>
      </c>
      <c r="AL764" s="1225">
        <v>281</v>
      </c>
      <c r="AM764" s="1225">
        <v>382.10</v>
      </c>
      <c r="AN764" s="1225">
        <v>396.20</v>
      </c>
      <c r="AO764" s="1042">
        <f t="shared" si="1505"/>
        <v>431.80</v>
      </c>
      <c r="AP764" s="1364">
        <v>431.80</v>
      </c>
      <c r="AQ764" s="1225">
        <v>63</v>
      </c>
      <c r="AR764" s="1225">
        <v>590.20000000000005</v>
      </c>
      <c r="AS764" s="1225">
        <v>625.20000000000005</v>
      </c>
      <c r="AT764" s="1047">
        <f t="shared" si="1506"/>
        <v>780.60</v>
      </c>
      <c r="AU764" s="1364">
        <v>780.60</v>
      </c>
      <c r="AV764" s="1225">
        <v>59.20</v>
      </c>
      <c r="AW764" s="1225">
        <v>1350.30</v>
      </c>
      <c r="AX764" s="1225">
        <v>1467</v>
      </c>
      <c r="AY764" s="1047">
        <f t="shared" si="1507"/>
        <v>1496.10</v>
      </c>
      <c r="AZ764" s="1364">
        <v>1496.10</v>
      </c>
      <c r="BA764" s="1225">
        <v>277.30</v>
      </c>
      <c r="BB764" s="1225">
        <v>661.40</v>
      </c>
      <c r="BC764" s="1225">
        <v>745.50</v>
      </c>
      <c r="BD764" s="1047">
        <f t="shared" si="1508"/>
        <v>791.30</v>
      </c>
      <c r="BE764" s="1364">
        <v>791.30</v>
      </c>
      <c r="BF764" s="1225">
        <v>58.20</v>
      </c>
      <c r="BG764" s="1225">
        <v>98.40</v>
      </c>
      <c r="BH764" s="1226">
        <v>221.90</v>
      </c>
      <c r="BI764" s="1044">
        <f t="shared" si="1509"/>
        <v>0</v>
      </c>
      <c r="BJ764" s="1350"/>
      <c r="BK764" s="1044"/>
      <c r="BL764" s="1044"/>
      <c r="BM764" s="1044"/>
      <c r="BN764" s="1044">
        <f t="shared" si="1510"/>
        <v>0</v>
      </c>
      <c r="BO764" s="1350"/>
      <c r="BP764" s="1351"/>
      <c r="BQ764" s="1351"/>
      <c r="BR764" s="1350"/>
      <c r="BS764" s="648"/>
    </row>
    <row r="765" spans="1:71" s="665" customFormat="1" ht="15" hidden="1" outlineLevel="1">
      <c r="A765" s="371" t="s">
        <v>164</v>
      </c>
      <c r="B765" s="321"/>
      <c r="C765" s="1364">
        <v>842.50</v>
      </c>
      <c r="D765" s="1364">
        <v>1341.10</v>
      </c>
      <c r="E765" s="1364">
        <v>1540.90</v>
      </c>
      <c r="F765" s="1364">
        <v>1488.90</v>
      </c>
      <c r="G765" s="1364">
        <v>1859.60</v>
      </c>
      <c r="H765" s="1225">
        <v>697</v>
      </c>
      <c r="I765" s="1225">
        <v>1117.80</v>
      </c>
      <c r="J765" s="1225">
        <v>1714.50</v>
      </c>
      <c r="K765" s="1042">
        <f t="shared" si="1499"/>
        <v>2296.60</v>
      </c>
      <c r="L765" s="1364">
        <v>2296.60</v>
      </c>
      <c r="M765" s="1225">
        <v>855.10</v>
      </c>
      <c r="N765" s="1225">
        <v>1595.10</v>
      </c>
      <c r="O765" s="1225">
        <v>2469.40</v>
      </c>
      <c r="P765" s="1042">
        <f t="shared" si="1500"/>
        <v>3579.50</v>
      </c>
      <c r="Q765" s="1364">
        <v>3579.50</v>
      </c>
      <c r="R765" s="1225">
        <v>1829.80</v>
      </c>
      <c r="S765" s="1225">
        <v>3032.80</v>
      </c>
      <c r="T765" s="1225">
        <v>4189</v>
      </c>
      <c r="U765" s="1042">
        <f t="shared" si="1501"/>
        <v>4907.3999999999996</v>
      </c>
      <c r="V765" s="1364">
        <v>4907.3999999999996</v>
      </c>
      <c r="W765" s="1225">
        <v>1006.50</v>
      </c>
      <c r="X765" s="1225">
        <v>2413.50</v>
      </c>
      <c r="Y765" s="1225">
        <v>3872.50</v>
      </c>
      <c r="Z765" s="1042">
        <f t="shared" si="1502"/>
        <v>5215.80</v>
      </c>
      <c r="AA765" s="1364">
        <v>5215.80</v>
      </c>
      <c r="AB765" s="1225">
        <v>1422.60</v>
      </c>
      <c r="AC765" s="1225">
        <v>2936.20</v>
      </c>
      <c r="AD765" s="1225">
        <v>3911.50</v>
      </c>
      <c r="AE765" s="1042">
        <f t="shared" si="1503"/>
        <v>5099.80</v>
      </c>
      <c r="AF765" s="1364">
        <v>5099.80</v>
      </c>
      <c r="AG765" s="1225">
        <v>1199.70</v>
      </c>
      <c r="AH765" s="1225">
        <v>2589</v>
      </c>
      <c r="AI765" s="1225">
        <v>4236.70</v>
      </c>
      <c r="AJ765" s="1042">
        <f t="shared" si="1504"/>
        <v>6145.50</v>
      </c>
      <c r="AK765" s="1364">
        <v>6145.50</v>
      </c>
      <c r="AL765" s="1225">
        <v>2161.60</v>
      </c>
      <c r="AM765" s="1225">
        <v>4106.3999999999996</v>
      </c>
      <c r="AN765" s="1225">
        <v>5766.80</v>
      </c>
      <c r="AO765" s="1042">
        <f t="shared" si="1505"/>
        <v>7109.40</v>
      </c>
      <c r="AP765" s="1364">
        <v>7109.40</v>
      </c>
      <c r="AQ765" s="1225">
        <v>1948.60</v>
      </c>
      <c r="AR765" s="1225">
        <v>3898.20</v>
      </c>
      <c r="AS765" s="1225">
        <v>5545.50</v>
      </c>
      <c r="AT765" s="1047">
        <f t="shared" si="1506"/>
        <v>7013.80</v>
      </c>
      <c r="AU765" s="1364">
        <v>7013.80</v>
      </c>
      <c r="AV765" s="1225">
        <v>1177.5999999999999</v>
      </c>
      <c r="AW765" s="1225">
        <v>2409.10</v>
      </c>
      <c r="AX765" s="1225">
        <v>4158.50</v>
      </c>
      <c r="AY765" s="1047">
        <f t="shared" si="1507"/>
        <v>5380.30</v>
      </c>
      <c r="AZ765" s="1364">
        <v>5380.30</v>
      </c>
      <c r="BA765" s="1225">
        <v>976</v>
      </c>
      <c r="BB765" s="1225">
        <v>2153.90</v>
      </c>
      <c r="BC765" s="1225">
        <v>3693.20</v>
      </c>
      <c r="BD765" s="1047">
        <f t="shared" si="1508"/>
        <v>4990.30</v>
      </c>
      <c r="BE765" s="1364">
        <v>4990.30</v>
      </c>
      <c r="BF765" s="1225">
        <v>1855.20</v>
      </c>
      <c r="BG765" s="1225">
        <v>3234.80</v>
      </c>
      <c r="BH765" s="1226">
        <v>4749.80</v>
      </c>
      <c r="BI765" s="1044">
        <f t="shared" si="1509"/>
        <v>0</v>
      </c>
      <c r="BJ765" s="1350"/>
      <c r="BK765" s="1044"/>
      <c r="BL765" s="1044"/>
      <c r="BM765" s="1044"/>
      <c r="BN765" s="1044">
        <f t="shared" si="1510"/>
        <v>0</v>
      </c>
      <c r="BO765" s="1350"/>
      <c r="BP765" s="1351"/>
      <c r="BQ765" s="1351"/>
      <c r="BR765" s="1350"/>
      <c r="BS765" s="648"/>
    </row>
    <row r="766" spans="1:71" s="665" customFormat="1" ht="15" hidden="1" outlineLevel="1">
      <c r="A766" s="371" t="s">
        <v>165</v>
      </c>
      <c r="B766" s="321"/>
      <c r="C766" s="1364">
        <v>15.70</v>
      </c>
      <c r="D766" s="1364">
        <v>0</v>
      </c>
      <c r="E766" s="1364">
        <v>0</v>
      </c>
      <c r="F766" s="1364">
        <v>16</v>
      </c>
      <c r="G766" s="1364">
        <v>21.50</v>
      </c>
      <c r="H766" s="1225">
        <v>14.30</v>
      </c>
      <c r="I766" s="1225">
        <v>14.20</v>
      </c>
      <c r="J766" s="1225">
        <v>14.20</v>
      </c>
      <c r="K766" s="1042">
        <f t="shared" si="1499"/>
        <v>14.30</v>
      </c>
      <c r="L766" s="1364">
        <v>14.30</v>
      </c>
      <c r="M766" s="1047"/>
      <c r="N766" s="1225">
        <v>12</v>
      </c>
      <c r="O766" s="1225">
        <v>12</v>
      </c>
      <c r="P766" s="1042">
        <f t="shared" si="1500"/>
        <v>12</v>
      </c>
      <c r="Q766" s="1364">
        <v>12</v>
      </c>
      <c r="R766" s="1225">
        <v>0</v>
      </c>
      <c r="S766" s="1225">
        <v>0</v>
      </c>
      <c r="T766" s="1225">
        <v>0</v>
      </c>
      <c r="U766" s="1042">
        <f t="shared" si="1501"/>
        <v>0</v>
      </c>
      <c r="V766" s="1364">
        <v>0</v>
      </c>
      <c r="W766" s="1225">
        <v>26.60</v>
      </c>
      <c r="X766" s="1225">
        <v>50</v>
      </c>
      <c r="Y766" s="1225">
        <v>50</v>
      </c>
      <c r="Z766" s="1042">
        <f t="shared" si="1502"/>
        <v>50</v>
      </c>
      <c r="AA766" s="1364">
        <v>50</v>
      </c>
      <c r="AB766" s="1225">
        <v>0</v>
      </c>
      <c r="AC766" s="1225">
        <v>15</v>
      </c>
      <c r="AD766" s="1225">
        <v>15</v>
      </c>
      <c r="AE766" s="1042">
        <f t="shared" si="1503"/>
        <v>26.60</v>
      </c>
      <c r="AF766" s="1364">
        <v>26.60</v>
      </c>
      <c r="AG766" s="1047"/>
      <c r="AH766" s="1225">
        <v>0</v>
      </c>
      <c r="AI766" s="1225">
        <v>22.80</v>
      </c>
      <c r="AJ766" s="1042">
        <f t="shared" si="1504"/>
        <v>49.90</v>
      </c>
      <c r="AK766" s="1364">
        <v>49.90</v>
      </c>
      <c r="AL766" s="1225">
        <v>79</v>
      </c>
      <c r="AM766" s="1225">
        <v>79</v>
      </c>
      <c r="AN766" s="1225">
        <v>79</v>
      </c>
      <c r="AO766" s="1042">
        <f t="shared" si="1505"/>
        <v>113.80</v>
      </c>
      <c r="AP766" s="1364">
        <v>113.80</v>
      </c>
      <c r="AQ766" s="1225">
        <v>39.700000000000003</v>
      </c>
      <c r="AR766" s="1225">
        <v>67.099999999999994</v>
      </c>
      <c r="AS766" s="1225">
        <v>119.09999999999999</v>
      </c>
      <c r="AT766" s="1047">
        <f t="shared" si="1506"/>
        <v>223.10</v>
      </c>
      <c r="AU766" s="1364">
        <v>223.10</v>
      </c>
      <c r="AV766" s="1225">
        <v>39.299999999999997</v>
      </c>
      <c r="AW766" s="1225">
        <v>39.299999999999997</v>
      </c>
      <c r="AX766" s="1225">
        <v>39.299999999999997</v>
      </c>
      <c r="AY766" s="1047">
        <f t="shared" si="1507"/>
        <v>83.60</v>
      </c>
      <c r="AZ766" s="1364">
        <v>83.60</v>
      </c>
      <c r="BA766" s="1225">
        <v>25.10</v>
      </c>
      <c r="BB766" s="1225">
        <v>25.20</v>
      </c>
      <c r="BC766" s="1225">
        <v>65.30</v>
      </c>
      <c r="BD766" s="1047">
        <f t="shared" si="1508"/>
        <v>65.20</v>
      </c>
      <c r="BE766" s="1364">
        <v>65.20</v>
      </c>
      <c r="BF766" s="1225">
        <v>23.30</v>
      </c>
      <c r="BG766" s="1225">
        <v>23.30</v>
      </c>
      <c r="BH766" s="1226">
        <v>110.20</v>
      </c>
      <c r="BI766" s="1044">
        <f t="shared" si="1509"/>
        <v>0</v>
      </c>
      <c r="BJ766" s="1350"/>
      <c r="BK766" s="1044"/>
      <c r="BL766" s="1044"/>
      <c r="BM766" s="1044"/>
      <c r="BN766" s="1044">
        <f t="shared" si="1510"/>
        <v>0</v>
      </c>
      <c r="BO766" s="1350"/>
      <c r="BP766" s="1351"/>
      <c r="BQ766" s="1351"/>
      <c r="BR766" s="1350"/>
      <c r="BS766" s="648"/>
    </row>
    <row r="767" spans="1:71" s="665" customFormat="1" ht="15" hidden="1" outlineLevel="1">
      <c r="A767" s="371" t="s">
        <v>166</v>
      </c>
      <c r="B767" s="321"/>
      <c r="C767" s="1364">
        <v>75.599999999999994</v>
      </c>
      <c r="D767" s="1364">
        <v>-11.50</v>
      </c>
      <c r="E767" s="1364">
        <v>-461</v>
      </c>
      <c r="F767" s="1364">
        <v>-438.20</v>
      </c>
      <c r="G767" s="1364">
        <v>716.60</v>
      </c>
      <c r="H767" s="1225">
        <v>-600.40</v>
      </c>
      <c r="I767" s="1225">
        <v>-1846</v>
      </c>
      <c r="J767" s="1225">
        <v>-1397.90</v>
      </c>
      <c r="K767" s="1042">
        <f t="shared" si="1499"/>
        <v>-876</v>
      </c>
      <c r="L767" s="1364">
        <v>-876</v>
      </c>
      <c r="M767" s="1225">
        <v>-117.70</v>
      </c>
      <c r="N767" s="1225">
        <v>523.40</v>
      </c>
      <c r="O767" s="1225">
        <v>60.40</v>
      </c>
      <c r="P767" s="1042">
        <f t="shared" si="1500"/>
        <v>20.50</v>
      </c>
      <c r="Q767" s="1364">
        <v>20.50</v>
      </c>
      <c r="R767" s="1225">
        <v>-1653</v>
      </c>
      <c r="S767" s="1225">
        <v>-2959.10</v>
      </c>
      <c r="T767" s="1225">
        <v>-3665.20</v>
      </c>
      <c r="U767" s="1042">
        <f t="shared" si="1501"/>
        <v>-1357.20</v>
      </c>
      <c r="V767" s="1364">
        <v>-1357.20</v>
      </c>
      <c r="W767" s="1225">
        <v>536.79999999999995</v>
      </c>
      <c r="X767" s="1225">
        <v>-146.80000000000001</v>
      </c>
      <c r="Y767" s="1225">
        <v>-721.80</v>
      </c>
      <c r="Z767" s="1042">
        <f t="shared" si="1502"/>
        <v>727.60</v>
      </c>
      <c r="AA767" s="1364">
        <v>727.60</v>
      </c>
      <c r="AB767" s="1225">
        <v>-175.80</v>
      </c>
      <c r="AC767" s="1225">
        <v>-343.80</v>
      </c>
      <c r="AD767" s="1225">
        <v>91.90</v>
      </c>
      <c r="AE767" s="1042">
        <f t="shared" si="1503"/>
        <v>1116.30</v>
      </c>
      <c r="AF767" s="1364">
        <v>1116.30</v>
      </c>
      <c r="AG767" s="1225">
        <v>-774.10</v>
      </c>
      <c r="AH767" s="1225">
        <v>458.30</v>
      </c>
      <c r="AI767" s="1225">
        <v>356.80</v>
      </c>
      <c r="AJ767" s="1042">
        <f t="shared" si="1504"/>
        <v>31.50</v>
      </c>
      <c r="AK767" s="1364">
        <v>31.50</v>
      </c>
      <c r="AL767" s="1225">
        <v>-718.90</v>
      </c>
      <c r="AM767" s="1225">
        <v>-2883.10</v>
      </c>
      <c r="AN767" s="1225">
        <v>-2844.10</v>
      </c>
      <c r="AO767" s="1042">
        <f t="shared" si="1505"/>
        <v>-3393.20</v>
      </c>
      <c r="AP767" s="1364">
        <v>-3393.20</v>
      </c>
      <c r="AQ767" s="1225">
        <v>2976.80</v>
      </c>
      <c r="AR767" s="1225">
        <v>3587</v>
      </c>
      <c r="AS767" s="1225">
        <v>4209.30</v>
      </c>
      <c r="AT767" s="1047">
        <f t="shared" si="1506"/>
        <v>4355.70</v>
      </c>
      <c r="AU767" s="1364">
        <v>4355.70</v>
      </c>
      <c r="AV767" s="1225">
        <v>413.10</v>
      </c>
      <c r="AW767" s="1225">
        <v>-3665.10</v>
      </c>
      <c r="AX767" s="1225">
        <v>-3266.60</v>
      </c>
      <c r="AY767" s="1047">
        <f t="shared" si="1507"/>
        <v>-1868.20</v>
      </c>
      <c r="AZ767" s="1364">
        <v>-1868.20</v>
      </c>
      <c r="BA767" s="1225">
        <v>360.80</v>
      </c>
      <c r="BB767" s="1225">
        <v>1413.90</v>
      </c>
      <c r="BC767" s="1225">
        <v>1132</v>
      </c>
      <c r="BD767" s="1047">
        <f t="shared" si="1508"/>
        <v>1155.70</v>
      </c>
      <c r="BE767" s="1364">
        <v>1155.70</v>
      </c>
      <c r="BF767" s="1225">
        <v>479.20</v>
      </c>
      <c r="BG767" s="1225">
        <v>1087.0999999999999</v>
      </c>
      <c r="BH767" s="1226">
        <v>1070.30</v>
      </c>
      <c r="BI767" s="1044">
        <f t="shared" si="1509"/>
        <v>0</v>
      </c>
      <c r="BJ767" s="1350"/>
      <c r="BK767" s="1044"/>
      <c r="BL767" s="1044"/>
      <c r="BM767" s="1044"/>
      <c r="BN767" s="1044">
        <f t="shared" si="1510"/>
        <v>0</v>
      </c>
      <c r="BO767" s="1350"/>
      <c r="BP767" s="1351"/>
      <c r="BQ767" s="1351"/>
      <c r="BR767" s="1350"/>
      <c r="BS767" s="648"/>
    </row>
    <row r="768" spans="1:71" s="665" customFormat="1" ht="15" hidden="1" outlineLevel="1">
      <c r="A768" s="371" t="s">
        <v>167</v>
      </c>
      <c r="B768" s="321"/>
      <c r="C768" s="1364">
        <v>-246.50</v>
      </c>
      <c r="D768" s="1364">
        <v>-54</v>
      </c>
      <c r="E768" s="1364">
        <v>-0.60</v>
      </c>
      <c r="F768" s="1364">
        <v>-44</v>
      </c>
      <c r="G768" s="1364">
        <v>152.19999999999999</v>
      </c>
      <c r="H768" s="1225">
        <v>-411.30</v>
      </c>
      <c r="I768" s="1225">
        <v>174.50</v>
      </c>
      <c r="J768" s="1225">
        <v>96.70</v>
      </c>
      <c r="K768" s="1042">
        <f t="shared" si="1499"/>
        <v>-30</v>
      </c>
      <c r="L768" s="1364">
        <v>-30</v>
      </c>
      <c r="M768" s="1225">
        <v>64.50</v>
      </c>
      <c r="N768" s="1225">
        <v>128.40000000000001</v>
      </c>
      <c r="O768" s="1225">
        <v>118.59999999999999</v>
      </c>
      <c r="P768" s="1042">
        <f t="shared" si="1500"/>
        <v>-8.1999999999999993</v>
      </c>
      <c r="Q768" s="1364">
        <v>-8.1999999999999993</v>
      </c>
      <c r="R768" s="1225">
        <v>70.400000000000006</v>
      </c>
      <c r="S768" s="1225">
        <v>270</v>
      </c>
      <c r="T768" s="1225">
        <v>208.40</v>
      </c>
      <c r="U768" s="1042">
        <f t="shared" si="1501"/>
        <v>50.90</v>
      </c>
      <c r="V768" s="1364">
        <v>50.90</v>
      </c>
      <c r="W768" s="1225">
        <v>83.20</v>
      </c>
      <c r="X768" s="1225">
        <v>259.30</v>
      </c>
      <c r="Y768" s="1225">
        <v>210.50</v>
      </c>
      <c r="Z768" s="1042">
        <f t="shared" si="1502"/>
        <v>-33.60</v>
      </c>
      <c r="AA768" s="1364">
        <v>-33.60</v>
      </c>
      <c r="AB768" s="1225">
        <v>89.40</v>
      </c>
      <c r="AC768" s="1225">
        <v>367.90</v>
      </c>
      <c r="AD768" s="1225">
        <v>11</v>
      </c>
      <c r="AE768" s="1042">
        <f t="shared" si="1503"/>
        <v>11.70</v>
      </c>
      <c r="AF768" s="1364">
        <v>11.70</v>
      </c>
      <c r="AG768" s="1225">
        <v>-82.40</v>
      </c>
      <c r="AH768" s="1225">
        <v>297.60000000000002</v>
      </c>
      <c r="AI768" s="1225">
        <v>280.60000000000002</v>
      </c>
      <c r="AJ768" s="1042">
        <f t="shared" si="1504"/>
        <v>6</v>
      </c>
      <c r="AK768" s="1364">
        <v>6</v>
      </c>
      <c r="AL768" s="1225">
        <v>586.10</v>
      </c>
      <c r="AM768" s="1225">
        <v>266</v>
      </c>
      <c r="AN768" s="1225">
        <v>457.30</v>
      </c>
      <c r="AO768" s="1042">
        <f t="shared" si="1505"/>
        <v>83.60</v>
      </c>
      <c r="AP768" s="1364">
        <v>83.60</v>
      </c>
      <c r="AQ768" s="1225">
        <v>267.60000000000002</v>
      </c>
      <c r="AR768" s="1225">
        <v>316.60000000000002</v>
      </c>
      <c r="AS768" s="1225">
        <v>304.20</v>
      </c>
      <c r="AT768" s="1047">
        <f t="shared" si="1506"/>
        <v>47.90</v>
      </c>
      <c r="AU768" s="1364">
        <v>47.90</v>
      </c>
      <c r="AV768" s="1225">
        <v>212.60</v>
      </c>
      <c r="AW768" s="1225">
        <v>-143.40000000000001</v>
      </c>
      <c r="AX768" s="1225">
        <v>-68.70</v>
      </c>
      <c r="AY768" s="1047">
        <f t="shared" si="1507"/>
        <v>-177.80</v>
      </c>
      <c r="AZ768" s="1364">
        <v>-177.80</v>
      </c>
      <c r="BA768" s="1225">
        <v>57.20</v>
      </c>
      <c r="BB768" s="1225">
        <v>282.39999999999998</v>
      </c>
      <c r="BC768" s="1225">
        <v>201.70</v>
      </c>
      <c r="BD768" s="1047">
        <f t="shared" si="1508"/>
        <v>-11.20</v>
      </c>
      <c r="BE768" s="1364">
        <v>-11.20</v>
      </c>
      <c r="BF768" s="1225">
        <v>61.80</v>
      </c>
      <c r="BG768" s="1225">
        <v>119.70</v>
      </c>
      <c r="BH768" s="1226">
        <v>514.10</v>
      </c>
      <c r="BI768" s="1044">
        <f t="shared" si="1509"/>
        <v>0</v>
      </c>
      <c r="BJ768" s="1350"/>
      <c r="BK768" s="1044"/>
      <c r="BL768" s="1044"/>
      <c r="BM768" s="1044"/>
      <c r="BN768" s="1044">
        <f t="shared" si="1510"/>
        <v>0</v>
      </c>
      <c r="BO768" s="1350"/>
      <c r="BP768" s="1351"/>
      <c r="BQ768" s="1351"/>
      <c r="BR768" s="1350"/>
      <c r="BS768" s="648"/>
    </row>
    <row r="769" spans="1:71" s="665" customFormat="1" ht="15" hidden="1" outlineLevel="1">
      <c r="A769" s="371" t="s">
        <v>168</v>
      </c>
      <c r="B769" s="321"/>
      <c r="C769" s="1351"/>
      <c r="D769" s="1351"/>
      <c r="E769" s="1351"/>
      <c r="F769" s="1351"/>
      <c r="G769" s="1351"/>
      <c r="H769" s="1047"/>
      <c r="I769" s="1047"/>
      <c r="J769" s="1047"/>
      <c r="K769" s="1042">
        <f t="shared" si="1499"/>
        <v>0</v>
      </c>
      <c r="L769" s="1351"/>
      <c r="M769" s="1047"/>
      <c r="N769" s="1047"/>
      <c r="O769" s="1047"/>
      <c r="P769" s="1042">
        <f t="shared" si="1500"/>
        <v>0</v>
      </c>
      <c r="Q769" s="1351"/>
      <c r="R769" s="1225">
        <v>0</v>
      </c>
      <c r="S769" s="1047"/>
      <c r="T769" s="1047"/>
      <c r="U769" s="1042">
        <f t="shared" si="1501"/>
        <v>0</v>
      </c>
      <c r="V769" s="1351"/>
      <c r="W769" s="1225">
        <v>-136.09999999999999</v>
      </c>
      <c r="X769" s="1047"/>
      <c r="Y769" s="1047"/>
      <c r="Z769" s="1042">
        <f t="shared" si="1502"/>
        <v>0</v>
      </c>
      <c r="AA769" s="1351"/>
      <c r="AB769" s="1225">
        <v>0</v>
      </c>
      <c r="AC769" s="1047"/>
      <c r="AD769" s="1047"/>
      <c r="AE769" s="1042">
        <f t="shared" si="1503"/>
        <v>0</v>
      </c>
      <c r="AF769" s="1351"/>
      <c r="AG769" s="1047"/>
      <c r="AH769" s="1047"/>
      <c r="AI769" s="1047"/>
      <c r="AJ769" s="1042">
        <f t="shared" si="1504"/>
        <v>0</v>
      </c>
      <c r="AK769" s="1351"/>
      <c r="AL769" s="1047"/>
      <c r="AM769" s="1047"/>
      <c r="AN769" s="1047"/>
      <c r="AO769" s="1042">
        <f t="shared" si="1505"/>
        <v>0</v>
      </c>
      <c r="AP769" s="1351"/>
      <c r="AQ769" s="1047"/>
      <c r="AR769" s="1047"/>
      <c r="AS769" s="1047"/>
      <c r="AT769" s="1047">
        <f t="shared" si="1506"/>
        <v>0</v>
      </c>
      <c r="AU769" s="1351"/>
      <c r="AV769" s="1047"/>
      <c r="AW769" s="1047"/>
      <c r="AX769" s="1047"/>
      <c r="AY769" s="1047">
        <f t="shared" si="1507"/>
        <v>0</v>
      </c>
      <c r="AZ769" s="1351"/>
      <c r="BA769" s="1047"/>
      <c r="BB769" s="1047"/>
      <c r="BC769" s="1047"/>
      <c r="BD769" s="1047">
        <f t="shared" si="1508"/>
        <v>0</v>
      </c>
      <c r="BE769" s="1351"/>
      <c r="BF769" s="1047"/>
      <c r="BG769" s="1047"/>
      <c r="BH769" s="1048"/>
      <c r="BI769" s="1044">
        <f t="shared" si="1509"/>
        <v>0</v>
      </c>
      <c r="BJ769" s="1350"/>
      <c r="BK769" s="1044"/>
      <c r="BL769" s="1044"/>
      <c r="BM769" s="1044"/>
      <c r="BN769" s="1044">
        <f t="shared" si="1510"/>
        <v>0</v>
      </c>
      <c r="BO769" s="1350"/>
      <c r="BP769" s="1351"/>
      <c r="BQ769" s="1351"/>
      <c r="BR769" s="1350"/>
      <c r="BS769" s="648"/>
    </row>
    <row r="770" spans="1:71" s="665" customFormat="1" ht="15" hidden="1" outlineLevel="1">
      <c r="A770" s="371" t="s">
        <v>169</v>
      </c>
      <c r="B770" s="321"/>
      <c r="C770" s="1364">
        <v>-66.599999999999994</v>
      </c>
      <c r="D770" s="1364">
        <v>-64.70</v>
      </c>
      <c r="E770" s="1364">
        <v>-78.900000000000006</v>
      </c>
      <c r="F770" s="1364">
        <v>-127.70</v>
      </c>
      <c r="G770" s="1364">
        <v>-140.40000000000001</v>
      </c>
      <c r="H770" s="1225">
        <v>-16.20</v>
      </c>
      <c r="I770" s="1225">
        <v>-44.70</v>
      </c>
      <c r="J770" s="1225">
        <v>-73.599999999999994</v>
      </c>
      <c r="K770" s="1042">
        <f t="shared" si="1499"/>
        <v>-108.09999999999999</v>
      </c>
      <c r="L770" s="1364">
        <v>-108.09999999999999</v>
      </c>
      <c r="M770" s="1225">
        <v>-22.20</v>
      </c>
      <c r="N770" s="1225">
        <v>-53.60</v>
      </c>
      <c r="O770" s="1225">
        <v>-86.60</v>
      </c>
      <c r="P770" s="1042">
        <f t="shared" si="1500"/>
        <v>-130.69999999999999</v>
      </c>
      <c r="Q770" s="1364">
        <v>-130.69999999999999</v>
      </c>
      <c r="R770" s="1225">
        <v>-54.30</v>
      </c>
      <c r="S770" s="1225">
        <v>-109.09999999999999</v>
      </c>
      <c r="T770" s="1225">
        <v>-162.09999999999999</v>
      </c>
      <c r="U770" s="1042">
        <f t="shared" si="1501"/>
        <v>-215</v>
      </c>
      <c r="V770" s="1364">
        <v>-215</v>
      </c>
      <c r="W770" s="1225">
        <v>-35</v>
      </c>
      <c r="X770" s="1225">
        <v>-73.20</v>
      </c>
      <c r="Y770" s="1225">
        <v>-109.70</v>
      </c>
      <c r="Z770" s="1042">
        <f t="shared" si="1502"/>
        <v>-155.69999999999999</v>
      </c>
      <c r="AA770" s="1364">
        <v>-155.69999999999999</v>
      </c>
      <c r="AB770" s="1225">
        <v>-35.799999999999997</v>
      </c>
      <c r="AC770" s="1225">
        <v>-102</v>
      </c>
      <c r="AD770" s="1225">
        <v>-164.80</v>
      </c>
      <c r="AE770" s="1042">
        <f t="shared" si="1503"/>
        <v>-266</v>
      </c>
      <c r="AF770" s="1364">
        <v>-266</v>
      </c>
      <c r="AG770" s="1225">
        <v>-75.80</v>
      </c>
      <c r="AH770" s="1225">
        <v>-203.20</v>
      </c>
      <c r="AI770" s="1225">
        <v>-281.20</v>
      </c>
      <c r="AJ770" s="1042">
        <f t="shared" si="1504"/>
        <v>-363.50</v>
      </c>
      <c r="AK770" s="1364">
        <v>-363.50</v>
      </c>
      <c r="AL770" s="1225">
        <v>-62.40</v>
      </c>
      <c r="AM770" s="1225">
        <v>-110.70</v>
      </c>
      <c r="AN770" s="1225">
        <v>-176.40</v>
      </c>
      <c r="AO770" s="1042">
        <f t="shared" si="1505"/>
        <v>-223.50</v>
      </c>
      <c r="AP770" s="1364">
        <v>-223.50</v>
      </c>
      <c r="AQ770" s="1225">
        <v>-50.50</v>
      </c>
      <c r="AR770" s="1225">
        <v>-98.50</v>
      </c>
      <c r="AS770" s="1225">
        <v>-188.30</v>
      </c>
      <c r="AT770" s="1047">
        <f t="shared" si="1506"/>
        <v>-243.50</v>
      </c>
      <c r="AU770" s="1364">
        <v>-243.50</v>
      </c>
      <c r="AV770" s="1225">
        <v>-73</v>
      </c>
      <c r="AW770" s="1225">
        <v>-136.69999999999999</v>
      </c>
      <c r="AX770" s="1225">
        <v>-245</v>
      </c>
      <c r="AY770" s="1047">
        <f t="shared" si="1507"/>
        <v>-292</v>
      </c>
      <c r="AZ770" s="1364">
        <v>-292</v>
      </c>
      <c r="BA770" s="1225">
        <v>-43.20</v>
      </c>
      <c r="BB770" s="1225">
        <v>-133.59999999999999</v>
      </c>
      <c r="BC770" s="1225">
        <v>-169.90</v>
      </c>
      <c r="BD770" s="1047">
        <f t="shared" si="1508"/>
        <v>-252</v>
      </c>
      <c r="BE770" s="1364">
        <v>-252</v>
      </c>
      <c r="BF770" s="1225">
        <v>-50.20</v>
      </c>
      <c r="BG770" s="1225">
        <v>-118.09999999999999</v>
      </c>
      <c r="BH770" s="1226">
        <v>-174.80</v>
      </c>
      <c r="BI770" s="1044">
        <f t="shared" si="1509"/>
        <v>0</v>
      </c>
      <c r="BJ770" s="1350"/>
      <c r="BK770" s="1044"/>
      <c r="BL770" s="1044"/>
      <c r="BM770" s="1044"/>
      <c r="BN770" s="1044">
        <f t="shared" si="1510"/>
        <v>0</v>
      </c>
      <c r="BO770" s="1350"/>
      <c r="BP770" s="1351"/>
      <c r="BQ770" s="1351"/>
      <c r="BR770" s="1350"/>
      <c r="BS770" s="648"/>
    </row>
    <row r="771" spans="1:71" s="665" customFormat="1" ht="15" hidden="1" outlineLevel="1">
      <c r="A771" s="371" t="s">
        <v>170</v>
      </c>
      <c r="B771" s="321"/>
      <c r="C771" s="1364">
        <v>1.80</v>
      </c>
      <c r="D771" s="1364">
        <v>8</v>
      </c>
      <c r="E771" s="1364">
        <v>3</v>
      </c>
      <c r="F771" s="1364">
        <v>3.80</v>
      </c>
      <c r="G771" s="1364">
        <v>3.70</v>
      </c>
      <c r="H771" s="1225">
        <v>2.2000000000000002</v>
      </c>
      <c r="I771" s="1225">
        <v>3.10</v>
      </c>
      <c r="J771" s="1225">
        <v>4.50</v>
      </c>
      <c r="K771" s="1042">
        <f t="shared" si="1499"/>
        <v>5.90</v>
      </c>
      <c r="L771" s="1364">
        <v>5.90</v>
      </c>
      <c r="M771" s="1225">
        <v>1.40</v>
      </c>
      <c r="N771" s="1225">
        <v>7.10</v>
      </c>
      <c r="O771" s="1225">
        <v>8.6999999999999993</v>
      </c>
      <c r="P771" s="1042">
        <f t="shared" si="1500"/>
        <v>10.60</v>
      </c>
      <c r="Q771" s="1364">
        <v>10.60</v>
      </c>
      <c r="R771" s="1225">
        <v>2</v>
      </c>
      <c r="S771" s="1225">
        <v>3.30</v>
      </c>
      <c r="T771" s="1225">
        <v>4.50</v>
      </c>
      <c r="U771" s="1042">
        <f t="shared" si="1501"/>
        <v>6.20</v>
      </c>
      <c r="V771" s="1364">
        <v>6.20</v>
      </c>
      <c r="W771" s="1225">
        <v>11.20</v>
      </c>
      <c r="X771" s="1225">
        <v>12.50</v>
      </c>
      <c r="Y771" s="1225">
        <v>13.80</v>
      </c>
      <c r="Z771" s="1042">
        <f t="shared" si="1502"/>
        <v>15.30</v>
      </c>
      <c r="AA771" s="1364">
        <v>15.30</v>
      </c>
      <c r="AB771" s="1225">
        <v>1.50</v>
      </c>
      <c r="AC771" s="1225">
        <v>6.70</v>
      </c>
      <c r="AD771" s="1225">
        <v>8.10</v>
      </c>
      <c r="AE771" s="1042">
        <f t="shared" si="1503"/>
        <v>9.40</v>
      </c>
      <c r="AF771" s="1364">
        <v>9.40</v>
      </c>
      <c r="AG771" s="1225">
        <v>6.20</v>
      </c>
      <c r="AH771" s="1225">
        <v>24.60</v>
      </c>
      <c r="AI771" s="1225">
        <v>39.90</v>
      </c>
      <c r="AJ771" s="1042">
        <f t="shared" si="1504"/>
        <v>53.30</v>
      </c>
      <c r="AK771" s="1364">
        <v>53.30</v>
      </c>
      <c r="AL771" s="1225">
        <v>3.50</v>
      </c>
      <c r="AM771" s="1225">
        <v>4.80</v>
      </c>
      <c r="AN771" s="1225">
        <v>13.50</v>
      </c>
      <c r="AO771" s="1042">
        <f t="shared" si="1505"/>
        <v>21.90</v>
      </c>
      <c r="AP771" s="1364">
        <v>21.90</v>
      </c>
      <c r="AQ771" s="1225">
        <v>7.50</v>
      </c>
      <c r="AR771" s="1225">
        <v>11.50</v>
      </c>
      <c r="AS771" s="1225">
        <v>63.10</v>
      </c>
      <c r="AT771" s="1047">
        <f t="shared" si="1506"/>
        <v>66.20</v>
      </c>
      <c r="AU771" s="1364">
        <v>66.20</v>
      </c>
      <c r="AV771" s="1225">
        <v>6.50</v>
      </c>
      <c r="AW771" s="1225">
        <v>11.60</v>
      </c>
      <c r="AX771" s="1225">
        <v>16</v>
      </c>
      <c r="AY771" s="1047">
        <f t="shared" si="1507"/>
        <v>35.10</v>
      </c>
      <c r="AZ771" s="1364">
        <v>35.10</v>
      </c>
      <c r="BA771" s="1225">
        <v>4.30</v>
      </c>
      <c r="BB771" s="1225">
        <v>28.80</v>
      </c>
      <c r="BC771" s="1225">
        <v>35</v>
      </c>
      <c r="BD771" s="1047">
        <f t="shared" si="1508"/>
        <v>47.20</v>
      </c>
      <c r="BE771" s="1364">
        <v>47.20</v>
      </c>
      <c r="BF771" s="1225">
        <v>3.50</v>
      </c>
      <c r="BG771" s="1225">
        <v>45.80</v>
      </c>
      <c r="BH771" s="1226">
        <v>64.50</v>
      </c>
      <c r="BI771" s="1044">
        <f t="shared" si="1509"/>
        <v>0</v>
      </c>
      <c r="BJ771" s="1350"/>
      <c r="BK771" s="1044"/>
      <c r="BL771" s="1044"/>
      <c r="BM771" s="1044"/>
      <c r="BN771" s="1044">
        <f t="shared" si="1510"/>
        <v>0</v>
      </c>
      <c r="BO771" s="1350"/>
      <c r="BP771" s="1351"/>
      <c r="BQ771" s="1351"/>
      <c r="BR771" s="1350"/>
      <c r="BS771" s="648"/>
    </row>
    <row r="772" spans="1:71" s="665" customFormat="1" ht="15" hidden="1" outlineLevel="1">
      <c r="A772" s="371" t="s">
        <v>171</v>
      </c>
      <c r="B772" s="321"/>
      <c r="C772" s="1351"/>
      <c r="D772" s="1351"/>
      <c r="E772" s="1351"/>
      <c r="F772" s="1351"/>
      <c r="G772" s="1351"/>
      <c r="H772" s="1047"/>
      <c r="I772" s="1047"/>
      <c r="J772" s="1047"/>
      <c r="K772" s="1042">
        <f t="shared" si="1499"/>
        <v>0</v>
      </c>
      <c r="L772" s="1351"/>
      <c r="M772" s="1047"/>
      <c r="N772" s="1225">
        <v>0</v>
      </c>
      <c r="O772" s="1225">
        <v>0</v>
      </c>
      <c r="P772" s="1042">
        <f t="shared" si="1500"/>
        <v>0</v>
      </c>
      <c r="Q772" s="1364">
        <v>0</v>
      </c>
      <c r="R772" s="1047"/>
      <c r="S772" s="1225">
        <v>8.50</v>
      </c>
      <c r="T772" s="1225">
        <v>8.50</v>
      </c>
      <c r="U772" s="1042">
        <f t="shared" si="1501"/>
        <v>8.50</v>
      </c>
      <c r="V772" s="1364">
        <v>8.50</v>
      </c>
      <c r="W772" s="1047"/>
      <c r="X772" s="1225">
        <v>0</v>
      </c>
      <c r="Y772" s="1225">
        <v>0</v>
      </c>
      <c r="Z772" s="1042">
        <f t="shared" si="1502"/>
        <v>0</v>
      </c>
      <c r="AA772" s="1351"/>
      <c r="AB772" s="1047"/>
      <c r="AC772" s="1047"/>
      <c r="AD772" s="1047"/>
      <c r="AE772" s="1042">
        <f t="shared" si="1503"/>
        <v>0</v>
      </c>
      <c r="AF772" s="1351"/>
      <c r="AG772" s="1047"/>
      <c r="AH772" s="1047"/>
      <c r="AI772" s="1047"/>
      <c r="AJ772" s="1042">
        <f t="shared" si="1504"/>
        <v>0</v>
      </c>
      <c r="AK772" s="1351"/>
      <c r="AL772" s="1047"/>
      <c r="AM772" s="1047"/>
      <c r="AN772" s="1047"/>
      <c r="AO772" s="1042">
        <f t="shared" si="1505"/>
        <v>0</v>
      </c>
      <c r="AP772" s="1351"/>
      <c r="AQ772" s="1047"/>
      <c r="AR772" s="1047"/>
      <c r="AS772" s="1047"/>
      <c r="AT772" s="1047">
        <f t="shared" si="1506"/>
        <v>0</v>
      </c>
      <c r="AU772" s="1351"/>
      <c r="AV772" s="1047"/>
      <c r="AW772" s="1047"/>
      <c r="AX772" s="1047"/>
      <c r="AY772" s="1047">
        <f t="shared" si="1507"/>
        <v>0</v>
      </c>
      <c r="AZ772" s="1351"/>
      <c r="BA772" s="1047"/>
      <c r="BB772" s="1047"/>
      <c r="BC772" s="1047"/>
      <c r="BD772" s="1047">
        <f t="shared" si="1508"/>
        <v>0</v>
      </c>
      <c r="BE772" s="1351"/>
      <c r="BF772" s="1047"/>
      <c r="BG772" s="1047"/>
      <c r="BH772" s="1048"/>
      <c r="BI772" s="1044">
        <f t="shared" si="1509"/>
        <v>0</v>
      </c>
      <c r="BJ772" s="1350"/>
      <c r="BK772" s="1044"/>
      <c r="BL772" s="1044"/>
      <c r="BM772" s="1044"/>
      <c r="BN772" s="1044">
        <f t="shared" si="1510"/>
        <v>0</v>
      </c>
      <c r="BO772" s="1350"/>
      <c r="BP772" s="1351"/>
      <c r="BQ772" s="1351"/>
      <c r="BR772" s="1350"/>
      <c r="BS772" s="648"/>
    </row>
    <row r="773" spans="1:71" s="665" customFormat="1" ht="15" hidden="1" outlineLevel="1">
      <c r="A773" s="371" t="s">
        <v>172</v>
      </c>
      <c r="B773" s="321"/>
      <c r="C773" s="1351"/>
      <c r="D773" s="1351"/>
      <c r="E773" s="1351"/>
      <c r="F773" s="1351"/>
      <c r="G773" s="1351"/>
      <c r="H773" s="1047"/>
      <c r="I773" s="1225">
        <v>0</v>
      </c>
      <c r="J773" s="1225">
        <v>0</v>
      </c>
      <c r="K773" s="1042">
        <f t="shared" si="1499"/>
        <v>0</v>
      </c>
      <c r="L773" s="1364">
        <v>0</v>
      </c>
      <c r="M773" s="1047"/>
      <c r="N773" s="1225">
        <v>-752.70</v>
      </c>
      <c r="O773" s="1225">
        <v>-752.70</v>
      </c>
      <c r="P773" s="1042">
        <f t="shared" si="1500"/>
        <v>-752.70</v>
      </c>
      <c r="Q773" s="1364">
        <v>-752.70</v>
      </c>
      <c r="R773" s="1047"/>
      <c r="S773" s="1225">
        <v>0</v>
      </c>
      <c r="T773" s="1225">
        <v>0</v>
      </c>
      <c r="U773" s="1042">
        <f t="shared" si="1501"/>
        <v>0</v>
      </c>
      <c r="V773" s="1364">
        <v>0</v>
      </c>
      <c r="W773" s="1047"/>
      <c r="X773" s="1225">
        <v>-18.10</v>
      </c>
      <c r="Y773" s="1225">
        <v>-18.10</v>
      </c>
      <c r="Z773" s="1042">
        <f t="shared" si="1502"/>
        <v>-18.10</v>
      </c>
      <c r="AA773" s="1364">
        <v>-18.10</v>
      </c>
      <c r="AB773" s="1047"/>
      <c r="AC773" s="1047"/>
      <c r="AD773" s="1225">
        <v>0</v>
      </c>
      <c r="AE773" s="1042">
        <f t="shared" si="1503"/>
        <v>0</v>
      </c>
      <c r="AF773" s="1351"/>
      <c r="AG773" s="1047"/>
      <c r="AH773" s="1047"/>
      <c r="AI773" s="1047"/>
      <c r="AJ773" s="1042">
        <f t="shared" si="1504"/>
        <v>0</v>
      </c>
      <c r="AK773" s="1351"/>
      <c r="AL773" s="1047"/>
      <c r="AM773" s="1047"/>
      <c r="AN773" s="1047"/>
      <c r="AO773" s="1042">
        <f t="shared" si="1505"/>
        <v>0</v>
      </c>
      <c r="AP773" s="1351"/>
      <c r="AQ773" s="1047"/>
      <c r="AR773" s="1225">
        <v>-313.20</v>
      </c>
      <c r="AS773" s="1225">
        <v>-313.20</v>
      </c>
      <c r="AT773" s="1047">
        <f t="shared" si="1506"/>
        <v>-313.20</v>
      </c>
      <c r="AU773" s="1364">
        <v>-313.20</v>
      </c>
      <c r="AV773" s="1047"/>
      <c r="AW773" s="1047"/>
      <c r="AX773" s="1225">
        <v>0</v>
      </c>
      <c r="AY773" s="1047">
        <f t="shared" si="1507"/>
        <v>0</v>
      </c>
      <c r="AZ773" s="1351"/>
      <c r="BA773" s="1047"/>
      <c r="BB773" s="1047"/>
      <c r="BC773" s="1047"/>
      <c r="BD773" s="1047">
        <f t="shared" si="1508"/>
        <v>0</v>
      </c>
      <c r="BE773" s="1351"/>
      <c r="BF773" s="1047"/>
      <c r="BG773" s="1047"/>
      <c r="BH773" s="1048"/>
      <c r="BI773" s="1044">
        <f t="shared" si="1509"/>
        <v>0</v>
      </c>
      <c r="BJ773" s="1350"/>
      <c r="BK773" s="1044"/>
      <c r="BL773" s="1044"/>
      <c r="BM773" s="1044"/>
      <c r="BN773" s="1044">
        <f t="shared" si="1510"/>
        <v>0</v>
      </c>
      <c r="BO773" s="1350"/>
      <c r="BP773" s="1351"/>
      <c r="BQ773" s="1351"/>
      <c r="BR773" s="1350"/>
      <c r="BS773" s="648"/>
    </row>
    <row r="774" spans="1:71" s="668" customFormat="1" ht="15" hidden="1" outlineLevel="1">
      <c r="A774" s="42" t="s">
        <v>174</v>
      </c>
      <c r="B774" s="410"/>
      <c r="C774" s="1355">
        <f t="shared" si="1511" ref="C774:AU774">SUM(C761:C773)</f>
        <v>-1178.5999999999997</v>
      </c>
      <c r="D774" s="1355">
        <f t="shared" si="1511"/>
        <v>-486.49999999999926</v>
      </c>
      <c r="E774" s="1355">
        <f t="shared" si="1511"/>
        <v>-744.89999999999918</v>
      </c>
      <c r="F774" s="1355">
        <f t="shared" si="1511"/>
        <v>-264.90000000000015</v>
      </c>
      <c r="G774" s="1355">
        <f t="shared" si="1511"/>
        <v>-1356.50</v>
      </c>
      <c r="H774" s="1052">
        <f t="shared" si="1511"/>
        <v>337.00000000000006</v>
      </c>
      <c r="I774" s="1052">
        <f t="shared" si="1511"/>
        <v>-314.19999999999965</v>
      </c>
      <c r="J774" s="1052">
        <f t="shared" si="1511"/>
        <v>-824.5999999999998</v>
      </c>
      <c r="K774" s="1052">
        <f t="shared" si="1511"/>
        <v>-836.900000000001</v>
      </c>
      <c r="L774" s="1355">
        <f t="shared" si="1511"/>
        <v>-836.900000000001</v>
      </c>
      <c r="M774" s="1052">
        <f t="shared" si="1511"/>
        <v>-696.40000000000009</v>
      </c>
      <c r="N774" s="1052">
        <f t="shared" si="1511"/>
        <v>-1133.7999999999997</v>
      </c>
      <c r="O774" s="1052">
        <f t="shared" si="1511"/>
        <v>-1846.5999999999995</v>
      </c>
      <c r="P774" s="1052">
        <f t="shared" si="1511"/>
        <v>-1911.3000000000013</v>
      </c>
      <c r="Q774" s="1355">
        <f t="shared" si="1511"/>
        <v>-1911.3000000000013</v>
      </c>
      <c r="R774" s="1052">
        <f t="shared" si="1511"/>
        <v>-249.5999999999998</v>
      </c>
      <c r="S774" s="1052">
        <f t="shared" si="1511"/>
        <v>-989.10000000000025</v>
      </c>
      <c r="T774" s="1052">
        <f t="shared" si="1511"/>
        <v>-2124.3000000000002</v>
      </c>
      <c r="U774" s="1052">
        <f t="shared" si="1511"/>
        <v>-2464.5000000000014</v>
      </c>
      <c r="V774" s="1355">
        <f t="shared" si="1511"/>
        <v>-2464.5000000000014</v>
      </c>
      <c r="W774" s="1052">
        <f t="shared" si="1511"/>
        <v>-662.60000000000025</v>
      </c>
      <c r="X774" s="1052">
        <f t="shared" si="1511"/>
        <v>-1902.3999999999996</v>
      </c>
      <c r="Y774" s="1052">
        <f t="shared" si="1511"/>
        <v>-2899.3000000000006</v>
      </c>
      <c r="Z774" s="1052">
        <f t="shared" si="1511"/>
        <v>-3406.6999999999994</v>
      </c>
      <c r="AA774" s="1355">
        <f t="shared" si="1511"/>
        <v>-3406.6999999999994</v>
      </c>
      <c r="AB774" s="1052">
        <f t="shared" si="1511"/>
        <v>-2180.60</v>
      </c>
      <c r="AC774" s="1052">
        <f t="shared" si="1511"/>
        <v>-3660.2999999999997</v>
      </c>
      <c r="AD774" s="1052">
        <f t="shared" si="1511"/>
        <v>-5359.70</v>
      </c>
      <c r="AE774" s="1052">
        <f t="shared" si="1511"/>
        <v>-7034.8999999999987</v>
      </c>
      <c r="AF774" s="1355">
        <f t="shared" si="1511"/>
        <v>-7034.8999999999987</v>
      </c>
      <c r="AG774" s="1052">
        <f t="shared" si="1511"/>
        <v>-277.40000000000089</v>
      </c>
      <c r="AH774" s="1052">
        <f t="shared" si="1511"/>
        <v>-1779.0999999999997</v>
      </c>
      <c r="AI774" s="1052">
        <f t="shared" si="1511"/>
        <v>-3453.0000000000009</v>
      </c>
      <c r="AJ774" s="1052">
        <f t="shared" si="1511"/>
        <v>-4338.300000000002</v>
      </c>
      <c r="AK774" s="1355">
        <f t="shared" si="1511"/>
        <v>-4338.300000000002</v>
      </c>
      <c r="AL774" s="1054">
        <f t="shared" si="1511"/>
        <v>-1053.8000000000009</v>
      </c>
      <c r="AM774" s="1054">
        <f t="shared" si="1511"/>
        <v>-3271.0999999999981</v>
      </c>
      <c r="AN774" s="1054">
        <f t="shared" si="1511"/>
        <v>-4651.4999999999991</v>
      </c>
      <c r="AO774" s="1052">
        <f>SUM(AO761:AO773)</f>
        <v>-6117.6999999999971</v>
      </c>
      <c r="AP774" s="1355">
        <f>SUM(AP761:AP773)</f>
        <v>-6117.6999999999971</v>
      </c>
      <c r="AQ774" s="1054">
        <f t="shared" si="1511"/>
        <v>224.89999999999975</v>
      </c>
      <c r="AR774" s="1054">
        <f t="shared" si="1511"/>
        <v>-2018.499999999997</v>
      </c>
      <c r="AS774" s="1054">
        <f>SUM(AS761:AS773)</f>
        <v>-3575.1000000000008</v>
      </c>
      <c r="AT774" s="1054">
        <f t="shared" si="1511"/>
        <v>-3119.799999999997</v>
      </c>
      <c r="AU774" s="1356">
        <f t="shared" si="1511"/>
        <v>-3119.799999999997</v>
      </c>
      <c r="AV774" s="1054">
        <f t="shared" si="1512" ref="AV774:BJ774">SUM(AV761:AV773)</f>
        <v>-3802.50</v>
      </c>
      <c r="AW774" s="1054">
        <f t="shared" si="1512"/>
        <v>-5179.5999999999976</v>
      </c>
      <c r="AX774" s="1054">
        <f t="shared" si="1512"/>
        <v>-6961.10</v>
      </c>
      <c r="AY774" s="1054">
        <f t="shared" si="1512"/>
        <v>-7956.199999999998</v>
      </c>
      <c r="AZ774" s="1356">
        <f t="shared" si="1512"/>
        <v>-7956.199999999998</v>
      </c>
      <c r="BA774" s="1054">
        <f t="shared" si="1512"/>
        <v>-2277.1999999999998</v>
      </c>
      <c r="BB774" s="1054">
        <f t="shared" si="1512"/>
        <v>-5144.2000000000016</v>
      </c>
      <c r="BC774" s="1054">
        <f t="shared" si="1512"/>
        <v>-8496.3000000000011</v>
      </c>
      <c r="BD774" s="1054">
        <f t="shared" si="1512"/>
        <v>-10842.60</v>
      </c>
      <c r="BE774" s="1356">
        <f t="shared" si="1512"/>
        <v>-10842.60</v>
      </c>
      <c r="BF774" s="1054">
        <f>SUM(BF761:BF773)</f>
        <v>-3124.30</v>
      </c>
      <c r="BG774" s="1054">
        <f>SUM(BG761:BG773)</f>
        <v>-6386.7999999999993</v>
      </c>
      <c r="BH774" s="1100">
        <f>SUM(BH761:BH773)</f>
        <v>-10807.599999999997</v>
      </c>
      <c r="BI774" s="1054">
        <f>SUM(BI761:BI773)</f>
        <v>0</v>
      </c>
      <c r="BJ774" s="1356">
        <f t="shared" si="1512"/>
        <v>0</v>
      </c>
      <c r="BK774" s="1054">
        <f t="shared" si="1513" ref="BK774:BR774">SUM(BK761:BK773)</f>
        <v>0</v>
      </c>
      <c r="BL774" s="1054">
        <f t="shared" si="1513"/>
        <v>0</v>
      </c>
      <c r="BM774" s="1054">
        <f t="shared" si="1513"/>
        <v>0</v>
      </c>
      <c r="BN774" s="1054">
        <f t="shared" si="1513"/>
        <v>0</v>
      </c>
      <c r="BO774" s="1356">
        <f t="shared" si="1513"/>
        <v>0</v>
      </c>
      <c r="BP774" s="1356">
        <f t="shared" si="1513"/>
        <v>0</v>
      </c>
      <c r="BQ774" s="1356">
        <f t="shared" si="1513"/>
        <v>0</v>
      </c>
      <c r="BR774" s="1356">
        <f t="shared" si="1513"/>
        <v>0</v>
      </c>
      <c r="BS774" s="648"/>
    </row>
    <row r="775" spans="1:71" s="668" customFormat="1" ht="15" hidden="1" outlineLevel="1">
      <c r="A775" s="904"/>
      <c r="B775" s="367"/>
      <c r="C775" s="1322"/>
      <c r="D775" s="1322"/>
      <c r="E775" s="1322"/>
      <c r="F775" s="1322"/>
      <c r="G775" s="1322"/>
      <c r="H775" s="1031"/>
      <c r="I775" s="1031"/>
      <c r="J775" s="1031"/>
      <c r="K775" s="1031"/>
      <c r="L775" s="1322"/>
      <c r="M775" s="1031"/>
      <c r="N775" s="1031"/>
      <c r="O775" s="1031"/>
      <c r="P775" s="1031"/>
      <c r="Q775" s="1322"/>
      <c r="R775" s="1031"/>
      <c r="S775" s="1031"/>
      <c r="T775" s="1031"/>
      <c r="U775" s="1031"/>
      <c r="V775" s="1322"/>
      <c r="W775" s="1031"/>
      <c r="X775" s="1031"/>
      <c r="Y775" s="1031"/>
      <c r="Z775" s="1031"/>
      <c r="AA775" s="1322"/>
      <c r="AB775" s="1031"/>
      <c r="AC775" s="1031"/>
      <c r="AD775" s="1031"/>
      <c r="AE775" s="1031"/>
      <c r="AF775" s="1322"/>
      <c r="AG775" s="1031"/>
      <c r="AH775" s="1031"/>
      <c r="AI775" s="1031"/>
      <c r="AJ775" s="1031"/>
      <c r="AK775" s="1322"/>
      <c r="AL775" s="1031"/>
      <c r="AM775" s="1031"/>
      <c r="AN775" s="1031"/>
      <c r="AO775" s="1031"/>
      <c r="AP775" s="1322"/>
      <c r="AQ775" s="1031"/>
      <c r="AR775" s="1031"/>
      <c r="AS775" s="1031"/>
      <c r="AT775" s="1031"/>
      <c r="AU775" s="1322"/>
      <c r="AV775" s="1031"/>
      <c r="AW775" s="1031"/>
      <c r="AX775" s="1031"/>
      <c r="AY775" s="1031"/>
      <c r="AZ775" s="1322"/>
      <c r="BA775" s="1031"/>
      <c r="BB775" s="1031"/>
      <c r="BC775" s="1031"/>
      <c r="BD775" s="1031"/>
      <c r="BE775" s="1322"/>
      <c r="BF775" s="1031"/>
      <c r="BG775" s="1031"/>
      <c r="BH775" s="1049"/>
      <c r="BI775" s="1023"/>
      <c r="BJ775" s="1321"/>
      <c r="BK775" s="1023"/>
      <c r="BL775" s="1023"/>
      <c r="BM775" s="1023"/>
      <c r="BN775" s="1023"/>
      <c r="BO775" s="1321"/>
      <c r="BP775" s="1322"/>
      <c r="BQ775" s="1322"/>
      <c r="BR775" s="1321"/>
      <c r="BS775" s="648"/>
    </row>
    <row r="776" spans="1:71" s="668" customFormat="1" ht="15" hidden="1" outlineLevel="1">
      <c r="A776" s="25" t="s">
        <v>175</v>
      </c>
      <c r="B776" s="367"/>
      <c r="C776" s="1322"/>
      <c r="D776" s="1322"/>
      <c r="E776" s="1322"/>
      <c r="F776" s="1322"/>
      <c r="G776" s="1322"/>
      <c r="H776" s="1031"/>
      <c r="I776" s="1031"/>
      <c r="J776" s="1031"/>
      <c r="K776" s="1031"/>
      <c r="L776" s="1322"/>
      <c r="M776" s="1031"/>
      <c r="N776" s="1031"/>
      <c r="O776" s="1031"/>
      <c r="P776" s="1031"/>
      <c r="Q776" s="1322"/>
      <c r="R776" s="1031"/>
      <c r="S776" s="1031"/>
      <c r="T776" s="1031"/>
      <c r="U776" s="1031"/>
      <c r="V776" s="1322"/>
      <c r="W776" s="1031"/>
      <c r="X776" s="1031"/>
      <c r="Y776" s="1031"/>
      <c r="Z776" s="1031"/>
      <c r="AA776" s="1322"/>
      <c r="AB776" s="1031"/>
      <c r="AC776" s="1031"/>
      <c r="AD776" s="1031"/>
      <c r="AE776" s="1031"/>
      <c r="AF776" s="1322"/>
      <c r="AG776" s="1031"/>
      <c r="AH776" s="1031"/>
      <c r="AI776" s="1031"/>
      <c r="AJ776" s="1031"/>
      <c r="AK776" s="1322"/>
      <c r="AL776" s="1031"/>
      <c r="AM776" s="1031"/>
      <c r="AN776" s="1031"/>
      <c r="AO776" s="1031"/>
      <c r="AP776" s="1322"/>
      <c r="AQ776" s="1031"/>
      <c r="AR776" s="1031"/>
      <c r="AS776" s="1031"/>
      <c r="AT776" s="1031"/>
      <c r="AU776" s="1322"/>
      <c r="AV776" s="1031"/>
      <c r="AW776" s="1031"/>
      <c r="AX776" s="1031"/>
      <c r="AY776" s="1031"/>
      <c r="AZ776" s="1322"/>
      <c r="BA776" s="1031"/>
      <c r="BB776" s="1031"/>
      <c r="BC776" s="1031"/>
      <c r="BD776" s="1031"/>
      <c r="BE776" s="1322"/>
      <c r="BF776" s="1031"/>
      <c r="BG776" s="1031"/>
      <c r="BH776" s="1049"/>
      <c r="BI776" s="1023"/>
      <c r="BJ776" s="1321"/>
      <c r="BK776" s="1023"/>
      <c r="BL776" s="1023"/>
      <c r="BM776" s="1023"/>
      <c r="BN776" s="1023"/>
      <c r="BO776" s="1321"/>
      <c r="BP776" s="1322"/>
      <c r="BQ776" s="1322"/>
      <c r="BR776" s="1321"/>
      <c r="BS776" s="648"/>
    </row>
    <row r="777" spans="1:71" s="665" customFormat="1" ht="15" hidden="1" outlineLevel="1">
      <c r="A777" s="371" t="s">
        <v>176</v>
      </c>
      <c r="B777" s="321"/>
      <c r="C777" s="1364">
        <v>18.80</v>
      </c>
      <c r="D777" s="1364">
        <v>27.20</v>
      </c>
      <c r="E777" s="1364">
        <v>22.40</v>
      </c>
      <c r="F777" s="1364">
        <v>0.50</v>
      </c>
      <c r="G777" s="1364">
        <v>0</v>
      </c>
      <c r="H777" s="1047"/>
      <c r="I777" s="1047"/>
      <c r="J777" s="1047"/>
      <c r="K777" s="1042">
        <f t="shared" si="1514" ref="K777:K783">L777</f>
        <v>0</v>
      </c>
      <c r="L777" s="1364">
        <v>0</v>
      </c>
      <c r="M777" s="1047"/>
      <c r="N777" s="1047"/>
      <c r="O777" s="1047"/>
      <c r="P777" s="1042">
        <f t="shared" si="1515" ref="P777:P783">Q777</f>
        <v>0.20</v>
      </c>
      <c r="Q777" s="1364">
        <v>0.20</v>
      </c>
      <c r="R777" s="1225">
        <v>0</v>
      </c>
      <c r="S777" s="1047"/>
      <c r="T777" s="1047"/>
      <c r="U777" s="1042">
        <f t="shared" si="1516" ref="U777:U783">V777</f>
        <v>0</v>
      </c>
      <c r="V777" s="1364">
        <v>0</v>
      </c>
      <c r="W777" s="1225">
        <v>0.50</v>
      </c>
      <c r="X777" s="1225">
        <v>0.50</v>
      </c>
      <c r="Y777" s="1225">
        <v>0.50</v>
      </c>
      <c r="Z777" s="1042">
        <f t="shared" si="1517" ref="Z777:Z783">AA777</f>
        <v>0.50</v>
      </c>
      <c r="AA777" s="1364">
        <v>0.50</v>
      </c>
      <c r="AB777" s="1225">
        <v>0.60</v>
      </c>
      <c r="AC777" s="1225">
        <v>3.30</v>
      </c>
      <c r="AD777" s="1225">
        <v>3.30</v>
      </c>
      <c r="AE777" s="1042">
        <f t="shared" si="1518" ref="AE777:AE788">AF777</f>
        <v>3.30</v>
      </c>
      <c r="AF777" s="1364">
        <v>3.30</v>
      </c>
      <c r="AG777" s="1225">
        <v>0</v>
      </c>
      <c r="AH777" s="1225">
        <v>1.60</v>
      </c>
      <c r="AI777" s="1225">
        <v>1.60</v>
      </c>
      <c r="AJ777" s="1042">
        <f t="shared" si="1519" ref="AJ777:AJ788">AK777</f>
        <v>1.60</v>
      </c>
      <c r="AK777" s="1364">
        <v>1.60</v>
      </c>
      <c r="AL777" s="1047"/>
      <c r="AM777" s="1225">
        <v>7.30</v>
      </c>
      <c r="AN777" s="1225">
        <v>7.30</v>
      </c>
      <c r="AO777" s="1042">
        <f t="shared" si="1520" ref="AO777:AO788">AP777</f>
        <v>7.30</v>
      </c>
      <c r="AP777" s="1364">
        <v>7.30</v>
      </c>
      <c r="AQ777" s="1047"/>
      <c r="AR777" s="1047"/>
      <c r="AS777" s="1047"/>
      <c r="AT777" s="1047">
        <f t="shared" si="1521" ref="AT777:AT783">AU777</f>
        <v>0</v>
      </c>
      <c r="AU777" s="1351"/>
      <c r="AV777" s="1047"/>
      <c r="AW777" s="1047"/>
      <c r="AX777" s="1047"/>
      <c r="AY777" s="1047">
        <f t="shared" si="1522" ref="AY777:AY784">AZ777</f>
        <v>0</v>
      </c>
      <c r="AZ777" s="1351"/>
      <c r="BA777" s="1047"/>
      <c r="BB777" s="1047"/>
      <c r="BC777" s="1047"/>
      <c r="BD777" s="1047">
        <f>BE777</f>
        <v>0</v>
      </c>
      <c r="BE777" s="1351"/>
      <c r="BF777" s="1047"/>
      <c r="BG777" s="1047"/>
      <c r="BH777" s="1048"/>
      <c r="BI777" s="1044">
        <f>BJ777</f>
        <v>0</v>
      </c>
      <c r="BJ777" s="1350"/>
      <c r="BK777" s="1044"/>
      <c r="BL777" s="1044"/>
      <c r="BM777" s="1044"/>
      <c r="BN777" s="1044">
        <f>BO777</f>
        <v>0</v>
      </c>
      <c r="BO777" s="1350"/>
      <c r="BP777" s="1351"/>
      <c r="BQ777" s="1351"/>
      <c r="BR777" s="1350"/>
      <c r="BS777" s="648"/>
    </row>
    <row r="778" spans="1:71" s="665" customFormat="1" ht="15" hidden="1" outlineLevel="1">
      <c r="A778" s="371" t="s">
        <v>177</v>
      </c>
      <c r="B778" s="321"/>
      <c r="C778" s="1364">
        <v>9.6999999999999993</v>
      </c>
      <c r="D778" s="1364">
        <v>14</v>
      </c>
      <c r="E778" s="1364">
        <v>6.40</v>
      </c>
      <c r="F778" s="1364">
        <v>5.80</v>
      </c>
      <c r="G778" s="1364">
        <v>10.30</v>
      </c>
      <c r="H778" s="1225">
        <v>10.70</v>
      </c>
      <c r="I778" s="1225">
        <v>10.70</v>
      </c>
      <c r="J778" s="1225">
        <v>12.80</v>
      </c>
      <c r="K778" s="1042">
        <f t="shared" si="1514"/>
        <v>12.80</v>
      </c>
      <c r="L778" s="1364">
        <v>12.80</v>
      </c>
      <c r="M778" s="1225">
        <v>6.30</v>
      </c>
      <c r="N778" s="1225">
        <v>8.6999999999999993</v>
      </c>
      <c r="O778" s="1225">
        <v>15</v>
      </c>
      <c r="P778" s="1042">
        <f t="shared" si="1515"/>
        <v>16.80</v>
      </c>
      <c r="Q778" s="1364">
        <v>16.80</v>
      </c>
      <c r="R778" s="1225">
        <v>6.60</v>
      </c>
      <c r="S778" s="1225">
        <v>6.70</v>
      </c>
      <c r="T778" s="1225">
        <v>8</v>
      </c>
      <c r="U778" s="1042">
        <f t="shared" si="1516"/>
        <v>9.1999999999999993</v>
      </c>
      <c r="V778" s="1364">
        <v>9.1999999999999993</v>
      </c>
      <c r="W778" s="1225">
        <v>0</v>
      </c>
      <c r="X778" s="1225">
        <v>0</v>
      </c>
      <c r="Y778" s="1225">
        <v>0</v>
      </c>
      <c r="Z778" s="1042">
        <f t="shared" si="1517"/>
        <v>0</v>
      </c>
      <c r="AA778" s="1351"/>
      <c r="AB778" s="1047"/>
      <c r="AC778" s="1047"/>
      <c r="AD778" s="1047"/>
      <c r="AE778" s="1042">
        <f t="shared" si="1518"/>
        <v>0</v>
      </c>
      <c r="AF778" s="1351"/>
      <c r="AG778" s="1047"/>
      <c r="AH778" s="1047"/>
      <c r="AI778" s="1047"/>
      <c r="AJ778" s="1042">
        <f t="shared" si="1519"/>
        <v>0</v>
      </c>
      <c r="AK778" s="1351"/>
      <c r="AL778" s="1047"/>
      <c r="AM778" s="1047"/>
      <c r="AN778" s="1047"/>
      <c r="AO778" s="1042">
        <f t="shared" si="1520"/>
        <v>0</v>
      </c>
      <c r="AP778" s="1351"/>
      <c r="AQ778" s="1047"/>
      <c r="AR778" s="1047"/>
      <c r="AS778" s="1047"/>
      <c r="AT778" s="1047">
        <f t="shared" si="1521"/>
        <v>0</v>
      </c>
      <c r="AU778" s="1351"/>
      <c r="AV778" s="1047"/>
      <c r="AW778" s="1047"/>
      <c r="AX778" s="1047"/>
      <c r="AY778" s="1047">
        <f t="shared" si="1522"/>
        <v>0</v>
      </c>
      <c r="AZ778" s="1351"/>
      <c r="BA778" s="1047"/>
      <c r="BB778" s="1047"/>
      <c r="BC778" s="1047"/>
      <c r="BD778" s="1047">
        <f>BE778</f>
        <v>0</v>
      </c>
      <c r="BE778" s="1351"/>
      <c r="BF778" s="1047"/>
      <c r="BG778" s="1047"/>
      <c r="BH778" s="1048"/>
      <c r="BI778" s="1044">
        <f>BJ778</f>
        <v>0</v>
      </c>
      <c r="BJ778" s="1350"/>
      <c r="BK778" s="1044"/>
      <c r="BL778" s="1044"/>
      <c r="BM778" s="1044"/>
      <c r="BN778" s="1044">
        <f>BO778</f>
        <v>0</v>
      </c>
      <c r="BO778" s="1350"/>
      <c r="BP778" s="1351"/>
      <c r="BQ778" s="1351"/>
      <c r="BR778" s="1350"/>
      <c r="BS778" s="648"/>
    </row>
    <row r="779" spans="1:71" s="665" customFormat="1" ht="15" hidden="1" outlineLevel="1">
      <c r="A779" s="371" t="s">
        <v>178</v>
      </c>
      <c r="B779" s="321"/>
      <c r="C779" s="1351"/>
      <c r="D779" s="1351"/>
      <c r="E779" s="1351"/>
      <c r="F779" s="1351"/>
      <c r="G779" s="1351"/>
      <c r="H779" s="1047"/>
      <c r="I779" s="1047"/>
      <c r="J779" s="1047"/>
      <c r="K779" s="1042">
        <f t="shared" si="1514"/>
        <v>0</v>
      </c>
      <c r="L779" s="1351"/>
      <c r="M779" s="1047"/>
      <c r="N779" s="1047"/>
      <c r="O779" s="1047"/>
      <c r="P779" s="1042">
        <f t="shared" si="1515"/>
        <v>0</v>
      </c>
      <c r="Q779" s="1351"/>
      <c r="R779" s="1047"/>
      <c r="S779" s="1047"/>
      <c r="T779" s="1047"/>
      <c r="U779" s="1042">
        <f t="shared" si="1516"/>
        <v>0</v>
      </c>
      <c r="V779" s="1351"/>
      <c r="W779" s="1047"/>
      <c r="X779" s="1047"/>
      <c r="Y779" s="1047"/>
      <c r="Z779" s="1042">
        <f t="shared" si="1517"/>
        <v>0</v>
      </c>
      <c r="AA779" s="1351"/>
      <c r="AB779" s="1225">
        <v>493.90</v>
      </c>
      <c r="AC779" s="1225">
        <v>493.90</v>
      </c>
      <c r="AD779" s="1225">
        <v>493.90</v>
      </c>
      <c r="AE779" s="1042">
        <f t="shared" si="1518"/>
        <v>493.90</v>
      </c>
      <c r="AF779" s="1364">
        <v>493.90</v>
      </c>
      <c r="AG779" s="1047"/>
      <c r="AH779" s="1225">
        <v>0</v>
      </c>
      <c r="AI779" s="1047"/>
      <c r="AJ779" s="1042">
        <f t="shared" si="1519"/>
        <v>0</v>
      </c>
      <c r="AK779" s="1351"/>
      <c r="AL779" s="1047"/>
      <c r="AM779" s="1047"/>
      <c r="AN779" s="1047"/>
      <c r="AO779" s="1042">
        <f t="shared" si="1520"/>
        <v>0</v>
      </c>
      <c r="AP779" s="1351"/>
      <c r="AQ779" s="1047"/>
      <c r="AR779" s="1047"/>
      <c r="AS779" s="1047"/>
      <c r="AT779" s="1047">
        <f t="shared" si="1521"/>
        <v>0</v>
      </c>
      <c r="AU779" s="1351"/>
      <c r="AV779" s="1047"/>
      <c r="AW779" s="1047"/>
      <c r="AX779" s="1047"/>
      <c r="AY779" s="1047">
        <f t="shared" si="1522"/>
        <v>0</v>
      </c>
      <c r="AZ779" s="1351"/>
      <c r="BA779" s="1047"/>
      <c r="BB779" s="1047"/>
      <c r="BC779" s="1047"/>
      <c r="BD779" s="1047">
        <f>BE779</f>
        <v>0</v>
      </c>
      <c r="BE779" s="1351"/>
      <c r="BF779" s="1225">
        <v>-500</v>
      </c>
      <c r="BG779" s="1225">
        <v>-500</v>
      </c>
      <c r="BH779" s="1226">
        <v>-500</v>
      </c>
      <c r="BI779" s="1044">
        <f>BJ779</f>
        <v>0</v>
      </c>
      <c r="BJ779" s="1350"/>
      <c r="BK779" s="1044"/>
      <c r="BL779" s="1044"/>
      <c r="BM779" s="1044"/>
      <c r="BN779" s="1044">
        <f>BO779</f>
        <v>0</v>
      </c>
      <c r="BO779" s="1350"/>
      <c r="BP779" s="1351"/>
      <c r="BQ779" s="1351"/>
      <c r="BR779" s="1350"/>
      <c r="BS779" s="648"/>
    </row>
    <row r="780" spans="1:71" s="665" customFormat="1" ht="15" hidden="1" outlineLevel="1">
      <c r="A780" s="371" t="s">
        <v>179</v>
      </c>
      <c r="B780" s="321"/>
      <c r="C780" s="1351"/>
      <c r="D780" s="1364">
        <v>0</v>
      </c>
      <c r="E780" s="1364">
        <v>491.90</v>
      </c>
      <c r="F780" s="1364">
        <v>0</v>
      </c>
      <c r="G780" s="1364">
        <v>0</v>
      </c>
      <c r="H780" s="1225">
        <v>0</v>
      </c>
      <c r="I780" s="1225">
        <v>344.70</v>
      </c>
      <c r="J780" s="1225">
        <v>344.70</v>
      </c>
      <c r="K780" s="1042">
        <f t="shared" si="1514"/>
        <v>344.70</v>
      </c>
      <c r="L780" s="1364">
        <v>344.70</v>
      </c>
      <c r="M780" s="1225">
        <v>382</v>
      </c>
      <c r="N780" s="1225">
        <v>382</v>
      </c>
      <c r="O780" s="1225">
        <v>382</v>
      </c>
      <c r="P780" s="1042">
        <f t="shared" si="1515"/>
        <v>382</v>
      </c>
      <c r="Q780" s="1364">
        <v>382</v>
      </c>
      <c r="R780" s="1047"/>
      <c r="S780" s="1225">
        <v>0</v>
      </c>
      <c r="T780" s="1225">
        <v>495.60</v>
      </c>
      <c r="U780" s="1042">
        <f t="shared" si="1516"/>
        <v>495.60</v>
      </c>
      <c r="V780" s="1364">
        <v>495.60</v>
      </c>
      <c r="W780" s="1047"/>
      <c r="X780" s="1225">
        <v>841.10</v>
      </c>
      <c r="Y780" s="1225">
        <v>841.10</v>
      </c>
      <c r="Z780" s="1042">
        <f t="shared" si="1517"/>
        <v>841.10</v>
      </c>
      <c r="AA780" s="1364">
        <v>841.10</v>
      </c>
      <c r="AB780" s="1225">
        <v>589.50</v>
      </c>
      <c r="AC780" s="1225">
        <v>589.50</v>
      </c>
      <c r="AD780" s="1225">
        <v>589.50</v>
      </c>
      <c r="AE780" s="1042">
        <f t="shared" si="1518"/>
        <v>1134</v>
      </c>
      <c r="AF780" s="1364">
        <v>1134</v>
      </c>
      <c r="AG780" s="1047"/>
      <c r="AH780" s="1225">
        <v>0</v>
      </c>
      <c r="AI780" s="1047"/>
      <c r="AJ780" s="1042">
        <f t="shared" si="1519"/>
        <v>0</v>
      </c>
      <c r="AK780" s="1351"/>
      <c r="AL780" s="1225">
        <v>986.30</v>
      </c>
      <c r="AM780" s="1225">
        <v>986.30</v>
      </c>
      <c r="AN780" s="1225">
        <v>986.30</v>
      </c>
      <c r="AO780" s="1042">
        <f t="shared" si="1520"/>
        <v>986.30</v>
      </c>
      <c r="AP780" s="1364">
        <v>986.30</v>
      </c>
      <c r="AQ780" s="1047"/>
      <c r="AR780" s="1047"/>
      <c r="AS780" s="1047"/>
      <c r="AT780" s="1047">
        <f t="shared" si="1521"/>
        <v>0</v>
      </c>
      <c r="AU780" s="1351"/>
      <c r="AV780" s="1225">
        <v>1486</v>
      </c>
      <c r="AW780" s="1225">
        <v>1486</v>
      </c>
      <c r="AX780" s="1225">
        <v>1486</v>
      </c>
      <c r="AY780" s="1047">
        <f t="shared" si="1522"/>
        <v>1486</v>
      </c>
      <c r="AZ780" s="1364">
        <v>1486</v>
      </c>
      <c r="BA780" s="1225">
        <v>0</v>
      </c>
      <c r="BB780" s="1225">
        <v>496.30</v>
      </c>
      <c r="BC780" s="1225">
        <v>496.30</v>
      </c>
      <c r="BD780" s="1047">
        <f>BE780</f>
        <v>496.30</v>
      </c>
      <c r="BE780" s="1364">
        <v>496.30</v>
      </c>
      <c r="BF780" s="1047"/>
      <c r="BG780" s="1047"/>
      <c r="BH780" s="1048"/>
      <c r="BI780" s="1044">
        <f>BJ780</f>
        <v>0</v>
      </c>
      <c r="BJ780" s="1350"/>
      <c r="BK780" s="1044"/>
      <c r="BL780" s="1044"/>
      <c r="BM780" s="1044"/>
      <c r="BN780" s="1044">
        <f>BO780</f>
        <v>0</v>
      </c>
      <c r="BO780" s="1350"/>
      <c r="BP780" s="1351"/>
      <c r="BQ780" s="1351"/>
      <c r="BR780" s="1350"/>
      <c r="BS780" s="648"/>
    </row>
    <row r="781" spans="1:71" s="665" customFormat="1" ht="15" hidden="1" outlineLevel="1">
      <c r="A781" s="371" t="s">
        <v>455</v>
      </c>
      <c r="B781" s="321"/>
      <c r="C781" s="1351"/>
      <c r="D781" s="1351"/>
      <c r="E781" s="1351"/>
      <c r="F781" s="1351"/>
      <c r="G781" s="1351"/>
      <c r="H781" s="1047"/>
      <c r="I781" s="1047"/>
      <c r="J781" s="1047"/>
      <c r="K781" s="1047"/>
      <c r="L781" s="1351"/>
      <c r="M781" s="1047"/>
      <c r="N781" s="1047"/>
      <c r="O781" s="1047"/>
      <c r="P781" s="1047"/>
      <c r="Q781" s="1351"/>
      <c r="R781" s="1047"/>
      <c r="S781" s="1047"/>
      <c r="T781" s="1047"/>
      <c r="U781" s="1047"/>
      <c r="V781" s="1351"/>
      <c r="W781" s="1047"/>
      <c r="X781" s="1047"/>
      <c r="Y781" s="1047"/>
      <c r="Z781" s="1047"/>
      <c r="AA781" s="1351"/>
      <c r="AB781" s="1047"/>
      <c r="AC781" s="1047"/>
      <c r="AD781" s="1047"/>
      <c r="AE781" s="1047"/>
      <c r="AF781" s="1351"/>
      <c r="AG781" s="1047"/>
      <c r="AH781" s="1047"/>
      <c r="AI781" s="1047"/>
      <c r="AJ781" s="1047"/>
      <c r="AK781" s="1351"/>
      <c r="AL781" s="1047"/>
      <c r="AM781" s="1047"/>
      <c r="AN781" s="1047"/>
      <c r="AO781" s="1047"/>
      <c r="AP781" s="1351"/>
      <c r="AQ781" s="1047"/>
      <c r="AR781" s="1047"/>
      <c r="AS781" s="1225">
        <v>-20</v>
      </c>
      <c r="AT781" s="1047">
        <f>AU781</f>
        <v>-20</v>
      </c>
      <c r="AU781" s="1364">
        <v>-20</v>
      </c>
      <c r="AV781" s="1047"/>
      <c r="AW781" s="1047"/>
      <c r="AX781" s="1225">
        <v>0</v>
      </c>
      <c r="AY781" s="1047">
        <f t="shared" si="1522"/>
        <v>0</v>
      </c>
      <c r="AZ781" s="1351"/>
      <c r="BA781" s="1047"/>
      <c r="BB781" s="1047"/>
      <c r="BC781" s="1047"/>
      <c r="BD781" s="1047"/>
      <c r="BE781" s="1351"/>
      <c r="BF781" s="1047"/>
      <c r="BG781" s="1047"/>
      <c r="BH781" s="1048"/>
      <c r="BI781" s="1044"/>
      <c r="BJ781" s="1350"/>
      <c r="BK781" s="1044"/>
      <c r="BL781" s="1044"/>
      <c r="BM781" s="1044"/>
      <c r="BN781" s="1044"/>
      <c r="BO781" s="1350"/>
      <c r="BP781" s="1351"/>
      <c r="BQ781" s="1351"/>
      <c r="BR781" s="1350"/>
      <c r="BS781" s="648"/>
    </row>
    <row r="782" spans="1:71" s="665" customFormat="1" ht="15" hidden="1" outlineLevel="1">
      <c r="A782" s="371" t="s">
        <v>180</v>
      </c>
      <c r="B782" s="321"/>
      <c r="C782" s="1351"/>
      <c r="D782" s="1351"/>
      <c r="E782" s="1364">
        <v>0</v>
      </c>
      <c r="F782" s="1364">
        <v>-350</v>
      </c>
      <c r="G782" s="1364">
        <v>-150</v>
      </c>
      <c r="H782" s="1047"/>
      <c r="I782" s="1047"/>
      <c r="J782" s="1047"/>
      <c r="K782" s="1042">
        <f t="shared" si="1514"/>
        <v>0</v>
      </c>
      <c r="L782" s="1364">
        <v>0</v>
      </c>
      <c r="M782" s="1047"/>
      <c r="N782" s="1225">
        <v>-6.80</v>
      </c>
      <c r="O782" s="1225">
        <v>-13.60</v>
      </c>
      <c r="P782" s="1042">
        <f t="shared" si="1515"/>
        <v>-20.40</v>
      </c>
      <c r="Q782" s="1364">
        <v>-20.40</v>
      </c>
      <c r="R782" s="1225">
        <v>-6.80</v>
      </c>
      <c r="S782" s="1225">
        <v>-13</v>
      </c>
      <c r="T782" s="1225">
        <v>-19.20</v>
      </c>
      <c r="U782" s="1042">
        <f t="shared" si="1516"/>
        <v>-25.50</v>
      </c>
      <c r="V782" s="1364">
        <v>-25.50</v>
      </c>
      <c r="W782" s="1225">
        <v>-6.20</v>
      </c>
      <c r="X782" s="1225">
        <v>-12.50</v>
      </c>
      <c r="Y782" s="1225">
        <v>-42.80</v>
      </c>
      <c r="Z782" s="1042">
        <f t="shared" si="1517"/>
        <v>-49</v>
      </c>
      <c r="AA782" s="1364">
        <v>-49</v>
      </c>
      <c r="AB782" s="1225">
        <v>-37.10</v>
      </c>
      <c r="AC782" s="1225">
        <v>-37.10</v>
      </c>
      <c r="AD782" s="1225">
        <v>-37.10</v>
      </c>
      <c r="AE782" s="1042">
        <f t="shared" si="1518"/>
        <v>-37.10</v>
      </c>
      <c r="AF782" s="1364">
        <v>-37.10</v>
      </c>
      <c r="AG782" s="1047"/>
      <c r="AH782" s="1225">
        <v>0</v>
      </c>
      <c r="AI782" s="1047"/>
      <c r="AJ782" s="1042">
        <f t="shared" si="1519"/>
        <v>0</v>
      </c>
      <c r="AK782" s="1351"/>
      <c r="AL782" s="1047"/>
      <c r="AM782" s="1047"/>
      <c r="AN782" s="1047"/>
      <c r="AO782" s="1042">
        <f t="shared" si="1520"/>
        <v>0</v>
      </c>
      <c r="AP782" s="1351"/>
      <c r="AQ782" s="1047"/>
      <c r="AR782" s="1225">
        <v>-20</v>
      </c>
      <c r="AS782" s="1225">
        <v>-500</v>
      </c>
      <c r="AT782" s="1047">
        <f t="shared" si="1521"/>
        <v>-500</v>
      </c>
      <c r="AU782" s="1364">
        <v>-500</v>
      </c>
      <c r="AV782" s="1047"/>
      <c r="AW782" s="1047"/>
      <c r="AX782" s="1225">
        <v>0</v>
      </c>
      <c r="AY782" s="1047">
        <f t="shared" si="1522"/>
        <v>0</v>
      </c>
      <c r="AZ782" s="1351"/>
      <c r="BA782" s="1047"/>
      <c r="BB782" s="1047"/>
      <c r="BC782" s="1047"/>
      <c r="BD782" s="1047">
        <f>BE782</f>
        <v>0</v>
      </c>
      <c r="BE782" s="1351"/>
      <c r="BF782" s="1047"/>
      <c r="BG782" s="1047"/>
      <c r="BH782" s="1048"/>
      <c r="BI782" s="1044">
        <f>BJ782</f>
        <v>0</v>
      </c>
      <c r="BJ782" s="1350"/>
      <c r="BK782" s="1044"/>
      <c r="BL782" s="1044"/>
      <c r="BM782" s="1044"/>
      <c r="BN782" s="1044">
        <f>BO782</f>
        <v>0</v>
      </c>
      <c r="BO782" s="1350"/>
      <c r="BP782" s="1351"/>
      <c r="BQ782" s="1351"/>
      <c r="BR782" s="1350"/>
      <c r="BS782" s="648"/>
    </row>
    <row r="783" spans="1:71" s="665" customFormat="1" ht="15" hidden="1" outlineLevel="1">
      <c r="A783" s="371" t="s">
        <v>181</v>
      </c>
      <c r="B783" s="321"/>
      <c r="C783" s="1364">
        <v>0</v>
      </c>
      <c r="D783" s="1364">
        <v>-214.30</v>
      </c>
      <c r="E783" s="1364">
        <v>-15</v>
      </c>
      <c r="F783" s="1364">
        <v>-32.50</v>
      </c>
      <c r="G783" s="1364">
        <v>-58.10</v>
      </c>
      <c r="H783" s="1047"/>
      <c r="I783" s="1225">
        <v>0</v>
      </c>
      <c r="J783" s="1225">
        <v>-48.90</v>
      </c>
      <c r="K783" s="1042">
        <f t="shared" si="1514"/>
        <v>-48.90</v>
      </c>
      <c r="L783" s="1364">
        <v>-48.90</v>
      </c>
      <c r="M783" s="1047"/>
      <c r="N783" s="1225">
        <v>0</v>
      </c>
      <c r="O783" s="1225">
        <v>-19.30</v>
      </c>
      <c r="P783" s="1042">
        <f t="shared" si="1515"/>
        <v>-19.30</v>
      </c>
      <c r="Q783" s="1364">
        <v>-19.30</v>
      </c>
      <c r="R783" s="1225">
        <v>0</v>
      </c>
      <c r="S783" s="1225">
        <v>-18.20</v>
      </c>
      <c r="T783" s="1225">
        <v>-18.20</v>
      </c>
      <c r="U783" s="1042">
        <f t="shared" si="1516"/>
        <v>-18.20</v>
      </c>
      <c r="V783" s="1364">
        <v>-18.20</v>
      </c>
      <c r="W783" s="1225">
        <v>-30.70</v>
      </c>
      <c r="X783" s="1225">
        <v>-594.40</v>
      </c>
      <c r="Y783" s="1225">
        <v>-635.60</v>
      </c>
      <c r="Z783" s="1042">
        <f t="shared" si="1517"/>
        <v>-635.60</v>
      </c>
      <c r="AA783" s="1364">
        <v>-635.60</v>
      </c>
      <c r="AB783" s="1225">
        <v>0</v>
      </c>
      <c r="AC783" s="1047"/>
      <c r="AD783" s="1225">
        <v>0</v>
      </c>
      <c r="AE783" s="1042">
        <f t="shared" si="1518"/>
        <v>0</v>
      </c>
      <c r="AF783" s="1351"/>
      <c r="AG783" s="1047"/>
      <c r="AH783" s="1047"/>
      <c r="AI783" s="1047"/>
      <c r="AJ783" s="1042">
        <f t="shared" si="1519"/>
        <v>0</v>
      </c>
      <c r="AK783" s="1351"/>
      <c r="AL783" s="1047"/>
      <c r="AM783" s="1047"/>
      <c r="AN783" s="1047"/>
      <c r="AO783" s="1042">
        <f t="shared" si="1520"/>
        <v>0</v>
      </c>
      <c r="AP783" s="1351"/>
      <c r="AQ783" s="1047"/>
      <c r="AR783" s="1047"/>
      <c r="AS783" s="1047"/>
      <c r="AT783" s="1047">
        <f t="shared" si="1521"/>
        <v>0</v>
      </c>
      <c r="AU783" s="1351"/>
      <c r="AV783" s="1047"/>
      <c r="AW783" s="1047"/>
      <c r="AX783" s="1047"/>
      <c r="AY783" s="1047">
        <f t="shared" si="1522"/>
        <v>0</v>
      </c>
      <c r="AZ783" s="1351"/>
      <c r="BA783" s="1047"/>
      <c r="BB783" s="1047"/>
      <c r="BC783" s="1047"/>
      <c r="BD783" s="1047">
        <f>BE783</f>
        <v>0</v>
      </c>
      <c r="BE783" s="1351"/>
      <c r="BF783" s="1047"/>
      <c r="BG783" s="1047"/>
      <c r="BH783" s="1048"/>
      <c r="BI783" s="1044">
        <f>BJ783</f>
        <v>0</v>
      </c>
      <c r="BJ783" s="1350"/>
      <c r="BK783" s="1044"/>
      <c r="BL783" s="1044"/>
      <c r="BM783" s="1044"/>
      <c r="BN783" s="1044">
        <f>BO783</f>
        <v>0</v>
      </c>
      <c r="BO783" s="1350"/>
      <c r="BP783" s="1351"/>
      <c r="BQ783" s="1351"/>
      <c r="BR783" s="1350"/>
      <c r="BS783" s="648"/>
    </row>
    <row r="784" spans="1:71" s="665" customFormat="1" ht="15" hidden="1" outlineLevel="1">
      <c r="A784" s="371" t="s">
        <v>182</v>
      </c>
      <c r="B784" s="321"/>
      <c r="C784" s="1351"/>
      <c r="D784" s="1351"/>
      <c r="E784" s="1351"/>
      <c r="F784" s="1351"/>
      <c r="G784" s="1351"/>
      <c r="H784" s="1047"/>
      <c r="I784" s="1047"/>
      <c r="J784" s="1047"/>
      <c r="K784" s="1047"/>
      <c r="L784" s="1351"/>
      <c r="M784" s="1047"/>
      <c r="N784" s="1047"/>
      <c r="O784" s="1047"/>
      <c r="P784" s="1047"/>
      <c r="Q784" s="1351"/>
      <c r="R784" s="1047"/>
      <c r="S784" s="1047"/>
      <c r="T784" s="1047"/>
      <c r="U784" s="1047"/>
      <c r="V784" s="1351"/>
      <c r="W784" s="1047"/>
      <c r="X784" s="1047"/>
      <c r="Y784" s="1047"/>
      <c r="Z784" s="1047"/>
      <c r="AA784" s="1351"/>
      <c r="AB784" s="1047"/>
      <c r="AC784" s="1047"/>
      <c r="AD784" s="1225">
        <v>-13.50</v>
      </c>
      <c r="AE784" s="1042">
        <f t="shared" si="1518"/>
        <v>-13.50</v>
      </c>
      <c r="AF784" s="1364">
        <v>-13.50</v>
      </c>
      <c r="AG784" s="1225">
        <v>-13.40</v>
      </c>
      <c r="AH784" s="1225">
        <v>-13.40</v>
      </c>
      <c r="AI784" s="1225">
        <v>-26.80</v>
      </c>
      <c r="AJ784" s="1042">
        <f t="shared" si="1519"/>
        <v>-26.80</v>
      </c>
      <c r="AK784" s="1364">
        <v>-26.80</v>
      </c>
      <c r="AL784" s="1225">
        <v>-13.40</v>
      </c>
      <c r="AM784" s="1225">
        <v>-13.40</v>
      </c>
      <c r="AN784" s="1225">
        <v>-26.80</v>
      </c>
      <c r="AO784" s="1042">
        <f t="shared" si="1520"/>
        <v>-26.80</v>
      </c>
      <c r="AP784" s="1364">
        <v>-26.80</v>
      </c>
      <c r="AQ784" s="1225">
        <v>-13.40</v>
      </c>
      <c r="AR784" s="1225">
        <v>-13.40</v>
      </c>
      <c r="AS784" s="1225">
        <v>-26.80</v>
      </c>
      <c r="AT784" s="1047">
        <f>AU784</f>
        <v>-26.80</v>
      </c>
      <c r="AU784" s="1364">
        <v>-26.80</v>
      </c>
      <c r="AV784" s="1225">
        <v>-13.40</v>
      </c>
      <c r="AW784" s="1225">
        <v>-13.40</v>
      </c>
      <c r="AX784" s="1225">
        <v>-26.80</v>
      </c>
      <c r="AY784" s="1047">
        <f t="shared" si="1522"/>
        <v>-26.80</v>
      </c>
      <c r="AZ784" s="1364">
        <v>-26.80</v>
      </c>
      <c r="BA784" s="1225">
        <v>-13.40</v>
      </c>
      <c r="BB784" s="1225">
        <v>-22.90</v>
      </c>
      <c r="BC784" s="1225">
        <v>-33.200000000000003</v>
      </c>
      <c r="BD784" s="1047">
        <f>BE784</f>
        <v>-43.60</v>
      </c>
      <c r="BE784" s="1364">
        <v>-43.60</v>
      </c>
      <c r="BF784" s="1225">
        <v>-7.80</v>
      </c>
      <c r="BG784" s="1225">
        <v>-7.80</v>
      </c>
      <c r="BH784" s="1226">
        <v>-7.80</v>
      </c>
      <c r="BI784" s="1044"/>
      <c r="BJ784" s="1350"/>
      <c r="BK784" s="1044"/>
      <c r="BL784" s="1044"/>
      <c r="BM784" s="1044"/>
      <c r="BN784" s="1044"/>
      <c r="BO784" s="1350"/>
      <c r="BP784" s="1351"/>
      <c r="BQ784" s="1351"/>
      <c r="BR784" s="1350"/>
      <c r="BS784" s="648"/>
    </row>
    <row r="785" spans="1:71" s="665" customFormat="1" ht="15" hidden="1" outlineLevel="1">
      <c r="A785" s="371" t="s">
        <v>183</v>
      </c>
      <c r="B785" s="321"/>
      <c r="C785" s="1364">
        <v>0</v>
      </c>
      <c r="D785" s="1364">
        <v>-763.70</v>
      </c>
      <c r="E785" s="1364">
        <v>-263.60000000000002</v>
      </c>
      <c r="F785" s="1364">
        <v>-853.70</v>
      </c>
      <c r="G785" s="1364">
        <v>-175.60</v>
      </c>
      <c r="H785" s="1225">
        <v>-892.60</v>
      </c>
      <c r="I785" s="1225">
        <v>-892.60</v>
      </c>
      <c r="J785" s="1225">
        <v>-892.60</v>
      </c>
      <c r="K785" s="1042">
        <f>L785</f>
        <v>-892.60</v>
      </c>
      <c r="L785" s="1364">
        <v>-892.60</v>
      </c>
      <c r="M785" s="1225">
        <v>-403.60</v>
      </c>
      <c r="N785" s="1225">
        <v>-403.60</v>
      </c>
      <c r="O785" s="1225">
        <v>-403.60</v>
      </c>
      <c r="P785" s="1042">
        <f>Q785</f>
        <v>-403.60</v>
      </c>
      <c r="Q785" s="1364">
        <v>-403.60</v>
      </c>
      <c r="R785" s="1225">
        <v>-519</v>
      </c>
      <c r="S785" s="1225">
        <v>-519</v>
      </c>
      <c r="T785" s="1225">
        <v>-519</v>
      </c>
      <c r="U785" s="1042">
        <f>V785</f>
        <v>-519</v>
      </c>
      <c r="V785" s="1364">
        <v>-519</v>
      </c>
      <c r="W785" s="1225">
        <v>-395.40</v>
      </c>
      <c r="X785" s="1225">
        <v>-395.40</v>
      </c>
      <c r="Y785" s="1225">
        <v>-395.40</v>
      </c>
      <c r="Z785" s="1042">
        <f>AA785</f>
        <v>-395.40</v>
      </c>
      <c r="AA785" s="1364">
        <v>-395.40</v>
      </c>
      <c r="AB785" s="1225">
        <v>-654.90</v>
      </c>
      <c r="AC785" s="1225">
        <v>-654.90</v>
      </c>
      <c r="AD785" s="1225">
        <v>-654.90</v>
      </c>
      <c r="AE785" s="1042">
        <f t="shared" si="1518"/>
        <v>-654.90</v>
      </c>
      <c r="AF785" s="1364">
        <v>-654.90</v>
      </c>
      <c r="AG785" s="1225">
        <v>-1467.90</v>
      </c>
      <c r="AH785" s="1225">
        <v>-1526.30</v>
      </c>
      <c r="AI785" s="1225">
        <v>-1584.70</v>
      </c>
      <c r="AJ785" s="1042">
        <f t="shared" si="1519"/>
        <v>-1643.20</v>
      </c>
      <c r="AK785" s="1364">
        <v>-1643.20</v>
      </c>
      <c r="AL785" s="1225">
        <v>-1375.40</v>
      </c>
      <c r="AM785" s="1225">
        <v>-1433.90</v>
      </c>
      <c r="AN785" s="1225">
        <v>-1492.40</v>
      </c>
      <c r="AO785" s="1042">
        <f t="shared" si="1520"/>
        <v>-1551</v>
      </c>
      <c r="AP785" s="1364">
        <v>-1551</v>
      </c>
      <c r="AQ785" s="1225">
        <v>-2694.50</v>
      </c>
      <c r="AR785" s="1225">
        <v>-2753</v>
      </c>
      <c r="AS785" s="1225">
        <v>-2811.50</v>
      </c>
      <c r="AT785" s="1047">
        <f>AU785</f>
        <v>-3746.50</v>
      </c>
      <c r="AU785" s="1364">
        <v>-3746.50</v>
      </c>
      <c r="AV785" s="1225">
        <v>-58.50</v>
      </c>
      <c r="AW785" s="1225">
        <v>-117</v>
      </c>
      <c r="AX785" s="1225">
        <v>-175.50</v>
      </c>
      <c r="AY785" s="1047">
        <f>AZ785</f>
        <v>-234</v>
      </c>
      <c r="AZ785" s="1364">
        <v>-234</v>
      </c>
      <c r="BA785" s="1225">
        <v>-58.50</v>
      </c>
      <c r="BB785" s="1225">
        <v>-117</v>
      </c>
      <c r="BC785" s="1225">
        <v>-175.50</v>
      </c>
      <c r="BD785" s="1047">
        <f>BE785</f>
        <v>-234</v>
      </c>
      <c r="BE785" s="1364">
        <v>-234</v>
      </c>
      <c r="BF785" s="1225">
        <v>-497.90</v>
      </c>
      <c r="BG785" s="1225">
        <v>-556.50</v>
      </c>
      <c r="BH785" s="1226">
        <v>-615.10</v>
      </c>
      <c r="BI785" s="1044">
        <f>BJ785</f>
        <v>0</v>
      </c>
      <c r="BJ785" s="1350"/>
      <c r="BK785" s="1044"/>
      <c r="BL785" s="1044"/>
      <c r="BM785" s="1044"/>
      <c r="BN785" s="1044">
        <f>BO785</f>
        <v>0</v>
      </c>
      <c r="BO785" s="1350"/>
      <c r="BP785" s="1351"/>
      <c r="BQ785" s="1351"/>
      <c r="BR785" s="1350"/>
      <c r="BS785" s="648"/>
    </row>
    <row r="786" spans="1:71" s="665" customFormat="1" ht="15" hidden="1" outlineLevel="1">
      <c r="A786" s="371" t="s">
        <v>173</v>
      </c>
      <c r="B786" s="321"/>
      <c r="C786" s="1351"/>
      <c r="D786" s="1351"/>
      <c r="E786" s="1351"/>
      <c r="F786" s="1351"/>
      <c r="G786" s="1351"/>
      <c r="H786" s="1047"/>
      <c r="I786" s="1225">
        <v>0</v>
      </c>
      <c r="J786" s="1225">
        <v>0</v>
      </c>
      <c r="K786" s="1042">
        <f>L786</f>
        <v>0</v>
      </c>
      <c r="L786" s="1364">
        <v>0</v>
      </c>
      <c r="M786" s="1047"/>
      <c r="N786" s="1225">
        <v>-12.60</v>
      </c>
      <c r="O786" s="1225">
        <v>-12.60</v>
      </c>
      <c r="P786" s="1042">
        <f>Q786</f>
        <v>-12.60</v>
      </c>
      <c r="Q786" s="1364">
        <v>-12.60</v>
      </c>
      <c r="R786" s="1047"/>
      <c r="S786" s="1225">
        <v>0</v>
      </c>
      <c r="T786" s="1225">
        <v>0</v>
      </c>
      <c r="U786" s="1042">
        <f>V786</f>
        <v>0</v>
      </c>
      <c r="V786" s="1364">
        <v>0</v>
      </c>
      <c r="W786" s="1047"/>
      <c r="X786" s="1047"/>
      <c r="Y786" s="1047"/>
      <c r="Z786" s="1042">
        <f>AA786</f>
        <v>0</v>
      </c>
      <c r="AA786" s="1351"/>
      <c r="AB786" s="1047"/>
      <c r="AC786" s="1225">
        <v>-295.89999999999998</v>
      </c>
      <c r="AD786" s="1225">
        <v>-296.89999999999998</v>
      </c>
      <c r="AE786" s="1042">
        <f t="shared" si="1518"/>
        <v>-296.89999999999998</v>
      </c>
      <c r="AF786" s="1364">
        <v>-296.89999999999998</v>
      </c>
      <c r="AG786" s="1047"/>
      <c r="AH786" s="1225">
        <v>-11.20</v>
      </c>
      <c r="AI786" s="1225">
        <v>-11.20</v>
      </c>
      <c r="AJ786" s="1042">
        <f t="shared" si="1519"/>
        <v>-11.20</v>
      </c>
      <c r="AK786" s="1364">
        <v>-11.20</v>
      </c>
      <c r="AL786" s="1047"/>
      <c r="AM786" s="1225">
        <v>-243</v>
      </c>
      <c r="AN786" s="1225">
        <v>-243</v>
      </c>
      <c r="AO786" s="1042">
        <f t="shared" si="1520"/>
        <v>-243</v>
      </c>
      <c r="AP786" s="1364">
        <v>-243</v>
      </c>
      <c r="AQ786" s="1047"/>
      <c r="AR786" s="1047"/>
      <c r="AS786" s="1047"/>
      <c r="AT786" s="1047"/>
      <c r="AU786" s="1351"/>
      <c r="AV786" s="1047"/>
      <c r="AW786" s="1047"/>
      <c r="AX786" s="1047"/>
      <c r="AY786" s="1047"/>
      <c r="AZ786" s="1351"/>
      <c r="BA786" s="1047"/>
      <c r="BB786" s="1047"/>
      <c r="BC786" s="1047"/>
      <c r="BD786" s="1047"/>
      <c r="BE786" s="1351"/>
      <c r="BF786" s="1047"/>
      <c r="BG786" s="1047"/>
      <c r="BH786" s="1048"/>
      <c r="BI786" s="1044"/>
      <c r="BJ786" s="1350"/>
      <c r="BK786" s="1044"/>
      <c r="BL786" s="1044"/>
      <c r="BM786" s="1044"/>
      <c r="BN786" s="1044"/>
      <c r="BO786" s="1350"/>
      <c r="BP786" s="1351"/>
      <c r="BQ786" s="1351"/>
      <c r="BR786" s="1350"/>
      <c r="BS786" s="648"/>
    </row>
    <row r="787" spans="1:71" s="665" customFormat="1" ht="15" hidden="1" outlineLevel="1">
      <c r="A787" s="371" t="s">
        <v>184</v>
      </c>
      <c r="B787" s="321"/>
      <c r="C787" s="1364">
        <v>-180.60</v>
      </c>
      <c r="D787" s="1364">
        <v>-258.60000000000002</v>
      </c>
      <c r="E787" s="1364">
        <v>-997.80</v>
      </c>
      <c r="F787" s="1364">
        <v>-174.20</v>
      </c>
      <c r="G787" s="1364">
        <v>-273.39999999999998</v>
      </c>
      <c r="H787" s="1225">
        <v>-94.70</v>
      </c>
      <c r="I787" s="1225">
        <v>-140</v>
      </c>
      <c r="J787" s="1225">
        <v>-234.70</v>
      </c>
      <c r="K787" s="1042">
        <f>L787</f>
        <v>-271.39999999999998</v>
      </c>
      <c r="L787" s="1364">
        <v>-271.39999999999998</v>
      </c>
      <c r="M787" s="1225">
        <v>-65.900000000000006</v>
      </c>
      <c r="N787" s="1225">
        <v>-108.09999999999999</v>
      </c>
      <c r="O787" s="1225">
        <v>-174.90</v>
      </c>
      <c r="P787" s="1042">
        <f>Q787</f>
        <v>-208.50</v>
      </c>
      <c r="Q787" s="1364">
        <v>-208.50</v>
      </c>
      <c r="R787" s="1225">
        <v>-70.30</v>
      </c>
      <c r="S787" s="1225">
        <v>-112.09999999999999</v>
      </c>
      <c r="T787" s="1225">
        <v>-163.59999999999999</v>
      </c>
      <c r="U787" s="1042">
        <f>V787</f>
        <v>-192.50</v>
      </c>
      <c r="V787" s="1364">
        <v>-192.50</v>
      </c>
      <c r="W787" s="1225">
        <v>-21.40</v>
      </c>
      <c r="X787" s="1225">
        <v>-24.10</v>
      </c>
      <c r="Y787" s="1225">
        <v>-57.20</v>
      </c>
      <c r="Z787" s="1042">
        <f>AA787</f>
        <v>-57.60</v>
      </c>
      <c r="AA787" s="1364">
        <v>-57.60</v>
      </c>
      <c r="AB787" s="1225">
        <v>-36.799999999999997</v>
      </c>
      <c r="AC787" s="1225">
        <v>-39</v>
      </c>
      <c r="AD787" s="1225">
        <v>-78.30</v>
      </c>
      <c r="AE787" s="1042">
        <f t="shared" si="1518"/>
        <v>-78.599999999999994</v>
      </c>
      <c r="AF787" s="1364">
        <v>-78.599999999999994</v>
      </c>
      <c r="AG787" s="1225">
        <v>-26.10</v>
      </c>
      <c r="AH787" s="1225">
        <v>-28.40</v>
      </c>
      <c r="AI787" s="1225">
        <v>-81.20</v>
      </c>
      <c r="AJ787" s="1042">
        <f t="shared" si="1519"/>
        <v>-84.40</v>
      </c>
      <c r="AK787" s="1364">
        <v>-84.40</v>
      </c>
      <c r="AL787" s="1225">
        <v>-26.50</v>
      </c>
      <c r="AM787" s="1225">
        <v>-29.10</v>
      </c>
      <c r="AN787" s="1225">
        <v>-67</v>
      </c>
      <c r="AO787" s="1042">
        <f t="shared" si="1520"/>
        <v>-68.70</v>
      </c>
      <c r="AP787" s="1364">
        <v>-68.70</v>
      </c>
      <c r="AQ787" s="1225">
        <v>-30</v>
      </c>
      <c r="AR787" s="1225">
        <v>-30.40</v>
      </c>
      <c r="AS787" s="1225">
        <v>-66.900000000000006</v>
      </c>
      <c r="AT787" s="1047">
        <f>AU787</f>
        <v>-67.20</v>
      </c>
      <c r="AU787" s="1364">
        <v>-67.20</v>
      </c>
      <c r="AV787" s="1225">
        <v>-28.70</v>
      </c>
      <c r="AW787" s="1225">
        <v>-29.50</v>
      </c>
      <c r="AX787" s="1225">
        <v>-76.20</v>
      </c>
      <c r="AY787" s="1047">
        <f>AZ787</f>
        <v>-76.70</v>
      </c>
      <c r="AZ787" s="1364">
        <v>-76.70</v>
      </c>
      <c r="BA787" s="1225">
        <v>-32.700000000000003</v>
      </c>
      <c r="BB787" s="1225">
        <v>-33</v>
      </c>
      <c r="BC787" s="1225">
        <v>-52.30</v>
      </c>
      <c r="BD787" s="1047">
        <f>BE787</f>
        <v>-95</v>
      </c>
      <c r="BE787" s="1364">
        <v>-95</v>
      </c>
      <c r="BF787" s="1225">
        <v>-37.10</v>
      </c>
      <c r="BG787" s="1225">
        <v>-37.90</v>
      </c>
      <c r="BH787" s="1226">
        <v>-120.70</v>
      </c>
      <c r="BI787" s="1044">
        <f>BJ787</f>
        <v>0</v>
      </c>
      <c r="BJ787" s="1350"/>
      <c r="BK787" s="1044"/>
      <c r="BL787" s="1044"/>
      <c r="BM787" s="1044"/>
      <c r="BN787" s="1044">
        <f>BO787</f>
        <v>0</v>
      </c>
      <c r="BO787" s="1350"/>
      <c r="BP787" s="1351"/>
      <c r="BQ787" s="1351"/>
      <c r="BR787" s="1350"/>
      <c r="BS787" s="648"/>
    </row>
    <row r="788" spans="1:71" s="665" customFormat="1" ht="15" hidden="1" outlineLevel="1">
      <c r="A788" s="371" t="s">
        <v>185</v>
      </c>
      <c r="B788" s="321"/>
      <c r="C788" s="1351"/>
      <c r="D788" s="1351"/>
      <c r="E788" s="1351"/>
      <c r="F788" s="1351"/>
      <c r="G788" s="1351"/>
      <c r="H788" s="1047"/>
      <c r="I788" s="1047"/>
      <c r="J788" s="1047"/>
      <c r="K788" s="1042">
        <f>L788</f>
        <v>0</v>
      </c>
      <c r="L788" s="1351"/>
      <c r="M788" s="1047"/>
      <c r="N788" s="1047"/>
      <c r="O788" s="1047"/>
      <c r="P788" s="1042">
        <f>Q788</f>
        <v>0</v>
      </c>
      <c r="Q788" s="1351"/>
      <c r="R788" s="1047"/>
      <c r="S788" s="1047"/>
      <c r="T788" s="1047"/>
      <c r="U788" s="1042">
        <f>V788</f>
        <v>0</v>
      </c>
      <c r="V788" s="1351"/>
      <c r="W788" s="1047"/>
      <c r="X788" s="1225">
        <v>0</v>
      </c>
      <c r="Y788" s="1225">
        <v>-4.9000000000000004</v>
      </c>
      <c r="Z788" s="1042">
        <f>AA788</f>
        <v>-4.9000000000000004</v>
      </c>
      <c r="AA788" s="1364">
        <v>-4.9000000000000004</v>
      </c>
      <c r="AB788" s="1225">
        <v>-0.40</v>
      </c>
      <c r="AC788" s="1225">
        <v>-0.40</v>
      </c>
      <c r="AD788" s="1225">
        <v>-0.40</v>
      </c>
      <c r="AE788" s="1042">
        <f t="shared" si="1518"/>
        <v>-0.40</v>
      </c>
      <c r="AF788" s="1364">
        <v>-0.40</v>
      </c>
      <c r="AG788" s="1225">
        <v>0</v>
      </c>
      <c r="AH788" s="1225">
        <v>0</v>
      </c>
      <c r="AI788" s="1225">
        <v>-6.90</v>
      </c>
      <c r="AJ788" s="1042">
        <f t="shared" si="1519"/>
        <v>-6.90</v>
      </c>
      <c r="AK788" s="1364">
        <v>-6.90</v>
      </c>
      <c r="AL788" s="1047"/>
      <c r="AM788" s="1047"/>
      <c r="AN788" s="1225">
        <v>-7.50</v>
      </c>
      <c r="AO788" s="1042">
        <f t="shared" si="1520"/>
        <v>-42.90</v>
      </c>
      <c r="AP788" s="1364">
        <v>-42.90</v>
      </c>
      <c r="AQ788" s="1225">
        <v>-54.80</v>
      </c>
      <c r="AR788" s="1225">
        <v>-65</v>
      </c>
      <c r="AS788" s="1225">
        <v>-100.30</v>
      </c>
      <c r="AT788" s="1047">
        <f>AU788</f>
        <v>-155.80000000000001</v>
      </c>
      <c r="AU788" s="1364">
        <v>-155.80000000000001</v>
      </c>
      <c r="AV788" s="1047"/>
      <c r="AW788" s="1047"/>
      <c r="AX788" s="1225">
        <v>-2.40</v>
      </c>
      <c r="AY788" s="1047">
        <f>AZ788</f>
        <v>-22.30</v>
      </c>
      <c r="AZ788" s="1364">
        <v>-22.30</v>
      </c>
      <c r="BA788" s="1047"/>
      <c r="BB788" s="1225">
        <v>-7.10</v>
      </c>
      <c r="BC788" s="1225">
        <v>-27.50</v>
      </c>
      <c r="BD788" s="1047">
        <f>BE788</f>
        <v>-45.70</v>
      </c>
      <c r="BE788" s="1365">
        <v>-45.70</v>
      </c>
      <c r="BF788" s="1047"/>
      <c r="BG788" s="1225">
        <v>-10.10</v>
      </c>
      <c r="BH788" s="1226">
        <v>-13.10</v>
      </c>
      <c r="BI788" s="1044">
        <f>BJ788</f>
        <v>0</v>
      </c>
      <c r="BJ788" s="1350"/>
      <c r="BK788" s="1044"/>
      <c r="BL788" s="1044"/>
      <c r="BM788" s="1044"/>
      <c r="BN788" s="1044">
        <f>BO788</f>
        <v>0</v>
      </c>
      <c r="BO788" s="1350"/>
      <c r="BP788" s="1351"/>
      <c r="BQ788" s="1351"/>
      <c r="BR788" s="1350"/>
      <c r="BS788" s="648"/>
    </row>
    <row r="789" spans="1:71" s="668" customFormat="1" ht="15" hidden="1" outlineLevel="1">
      <c r="A789" s="42" t="s">
        <v>186</v>
      </c>
      <c r="B789" s="410"/>
      <c r="C789" s="1355">
        <f t="shared" si="1523" ref="C789:AU789">SUM(C777:C788)</f>
        <v>-152.09999999999999</v>
      </c>
      <c r="D789" s="1355">
        <f t="shared" si="1523"/>
        <v>-1195.4000000000001</v>
      </c>
      <c r="E789" s="1355">
        <f t="shared" si="1523"/>
        <v>-755.70</v>
      </c>
      <c r="F789" s="1355">
        <f t="shared" si="1523"/>
        <v>-1404.10</v>
      </c>
      <c r="G789" s="1355">
        <f t="shared" si="1523"/>
        <v>-646.79999999999995</v>
      </c>
      <c r="H789" s="1052">
        <f t="shared" si="1523"/>
        <v>-976.60</v>
      </c>
      <c r="I789" s="1052">
        <f t="shared" si="1523"/>
        <v>-677.20</v>
      </c>
      <c r="J789" s="1052">
        <f t="shared" si="1523"/>
        <v>-818.70</v>
      </c>
      <c r="K789" s="1052">
        <f t="shared" si="1523"/>
        <v>-855.40</v>
      </c>
      <c r="L789" s="1355">
        <f t="shared" si="1523"/>
        <v>-855.40</v>
      </c>
      <c r="M789" s="1052">
        <f t="shared" si="1523"/>
        <v>-81.200000000000017</v>
      </c>
      <c r="N789" s="1052">
        <f t="shared" si="1523"/>
        <v>-140.40000000000003</v>
      </c>
      <c r="O789" s="1052">
        <f t="shared" si="1523"/>
        <v>-227.00000000000006</v>
      </c>
      <c r="P789" s="1052">
        <f t="shared" si="1523"/>
        <v>-265.40000000000003</v>
      </c>
      <c r="Q789" s="1355">
        <f t="shared" si="1523"/>
        <v>-265.40000000000003</v>
      </c>
      <c r="R789" s="1052">
        <f t="shared" si="1523"/>
        <v>-589.50</v>
      </c>
      <c r="S789" s="1052">
        <f t="shared" si="1523"/>
        <v>-655.60</v>
      </c>
      <c r="T789" s="1052">
        <f t="shared" si="1523"/>
        <v>-216.39999999999995</v>
      </c>
      <c r="U789" s="1052">
        <f t="shared" si="1523"/>
        <v>-250.39999999999998</v>
      </c>
      <c r="V789" s="1355">
        <f t="shared" si="1523"/>
        <v>-250.39999999999998</v>
      </c>
      <c r="W789" s="1052">
        <f t="shared" si="1523"/>
        <v>-453.19999999999993</v>
      </c>
      <c r="X789" s="1052">
        <f t="shared" si="1523"/>
        <v>-184.79999999999993</v>
      </c>
      <c r="Y789" s="1052">
        <f t="shared" si="1523"/>
        <v>-294.2999999999999</v>
      </c>
      <c r="Z789" s="1052">
        <f t="shared" si="1523"/>
        <v>-300.89999999999998</v>
      </c>
      <c r="AA789" s="1355">
        <f t="shared" si="1523"/>
        <v>-300.89999999999998</v>
      </c>
      <c r="AB789" s="1052">
        <f t="shared" si="1523"/>
        <v>354.80000000000013</v>
      </c>
      <c r="AC789" s="1052">
        <f t="shared" si="1523"/>
        <v>59.400000000000183</v>
      </c>
      <c r="AD789" s="1052">
        <f t="shared" si="1523"/>
        <v>5.6000000000001844</v>
      </c>
      <c r="AE789" s="1052">
        <f t="shared" si="1523"/>
        <v>549.80000000000018</v>
      </c>
      <c r="AF789" s="1355">
        <f t="shared" si="1523"/>
        <v>549.80000000000018</v>
      </c>
      <c r="AG789" s="1052">
        <f t="shared" si="1523"/>
        <v>-1507.40</v>
      </c>
      <c r="AH789" s="1052">
        <f t="shared" si="1523"/>
        <v>-1577.70</v>
      </c>
      <c r="AI789" s="1052">
        <f t="shared" si="1523"/>
        <v>-1709.2000000000003</v>
      </c>
      <c r="AJ789" s="1052">
        <f t="shared" si="1523"/>
        <v>-1770.9000000000003</v>
      </c>
      <c r="AK789" s="1355">
        <f t="shared" si="1523"/>
        <v>-1770.9000000000003</v>
      </c>
      <c r="AL789" s="1054">
        <f t="shared" si="1523"/>
        <v>-429.00000000000011</v>
      </c>
      <c r="AM789" s="1054">
        <f t="shared" si="1523"/>
        <v>-725.80000000000018</v>
      </c>
      <c r="AN789" s="1054">
        <f t="shared" si="1523"/>
        <v>-843.10000000000014</v>
      </c>
      <c r="AO789" s="1052">
        <f>SUM(AO777:AO788)</f>
        <v>-938.80</v>
      </c>
      <c r="AP789" s="1355">
        <f>SUM(AP777:AP788)</f>
        <v>-938.80</v>
      </c>
      <c r="AQ789" s="1054">
        <f t="shared" si="1523"/>
        <v>-2792.7000000000003</v>
      </c>
      <c r="AR789" s="1054">
        <f t="shared" si="1523"/>
        <v>-2881.80</v>
      </c>
      <c r="AS789" s="1054">
        <f>SUM(AS777:AS788)</f>
        <v>-3525.5000000000005</v>
      </c>
      <c r="AT789" s="1054">
        <f t="shared" si="1523"/>
        <v>-4516.30</v>
      </c>
      <c r="AU789" s="1356">
        <f t="shared" si="1523"/>
        <v>-4516.30</v>
      </c>
      <c r="AV789" s="1054">
        <f t="shared" si="1524" ref="AV789:BJ789">SUM(AV777:AV788)</f>
        <v>1385.40</v>
      </c>
      <c r="AW789" s="1054">
        <f t="shared" si="1524"/>
        <v>1326.10</v>
      </c>
      <c r="AX789" s="1054">
        <f t="shared" si="1524"/>
        <v>1205.0999999999999</v>
      </c>
      <c r="AY789" s="1054">
        <f t="shared" si="1524"/>
        <v>1126.20</v>
      </c>
      <c r="AZ789" s="1356">
        <f t="shared" si="1524"/>
        <v>1126.20</v>
      </c>
      <c r="BA789" s="1054">
        <f t="shared" si="1524"/>
        <v>-104.60000000000001</v>
      </c>
      <c r="BB789" s="1054">
        <f t="shared" si="1524"/>
        <v>316.30</v>
      </c>
      <c r="BC789" s="1054">
        <f t="shared" si="1524"/>
        <v>207.80</v>
      </c>
      <c r="BD789" s="1054">
        <f t="shared" si="1524"/>
        <v>77.999999999999986</v>
      </c>
      <c r="BE789" s="1322">
        <f t="shared" si="1524"/>
        <v>77.999999999999986</v>
      </c>
      <c r="BF789" s="1054">
        <f>SUM(BF777:BF788)</f>
        <v>-1042.80</v>
      </c>
      <c r="BG789" s="1054">
        <f>SUM(BG777:BG788)</f>
        <v>-1112.30</v>
      </c>
      <c r="BH789" s="1100">
        <f>SUM(BH777:BH788)</f>
        <v>-1256.70</v>
      </c>
      <c r="BI789" s="1054">
        <f>SUM(BI777:BI788)</f>
        <v>0</v>
      </c>
      <c r="BJ789" s="1356">
        <f t="shared" si="1524"/>
        <v>0</v>
      </c>
      <c r="BK789" s="1054">
        <f t="shared" si="1525" ref="BK789:BR789">SUM(BK777:BK788)</f>
        <v>0</v>
      </c>
      <c r="BL789" s="1054">
        <f t="shared" si="1525"/>
        <v>0</v>
      </c>
      <c r="BM789" s="1054">
        <f t="shared" si="1525"/>
        <v>0</v>
      </c>
      <c r="BN789" s="1054">
        <f t="shared" si="1525"/>
        <v>0</v>
      </c>
      <c r="BO789" s="1356">
        <f t="shared" si="1525"/>
        <v>0</v>
      </c>
      <c r="BP789" s="1356">
        <f t="shared" si="1525"/>
        <v>0</v>
      </c>
      <c r="BQ789" s="1356">
        <f t="shared" si="1525"/>
        <v>0</v>
      </c>
      <c r="BR789" s="1356">
        <f t="shared" si="1525"/>
        <v>0</v>
      </c>
      <c r="BS789" s="648"/>
    </row>
    <row r="790" spans="1:71" s="668" customFormat="1" ht="15" hidden="1" outlineLevel="1">
      <c r="A790" s="904"/>
      <c r="B790" s="367"/>
      <c r="C790" s="1322"/>
      <c r="D790" s="1322"/>
      <c r="E790" s="1322"/>
      <c r="F790" s="1322"/>
      <c r="G790" s="1322"/>
      <c r="H790" s="1031"/>
      <c r="I790" s="1031"/>
      <c r="J790" s="1031"/>
      <c r="K790" s="1031"/>
      <c r="L790" s="1322"/>
      <c r="M790" s="1031"/>
      <c r="N790" s="1031"/>
      <c r="O790" s="1031"/>
      <c r="P790" s="1031"/>
      <c r="Q790" s="1322"/>
      <c r="R790" s="1031"/>
      <c r="S790" s="1031"/>
      <c r="T790" s="1031"/>
      <c r="U790" s="1031"/>
      <c r="V790" s="1322"/>
      <c r="W790" s="1031"/>
      <c r="X790" s="1031"/>
      <c r="Y790" s="1031"/>
      <c r="Z790" s="1031"/>
      <c r="AA790" s="1322"/>
      <c r="AB790" s="1031"/>
      <c r="AC790" s="1031"/>
      <c r="AD790" s="1031"/>
      <c r="AE790" s="1031"/>
      <c r="AF790" s="1322"/>
      <c r="AG790" s="1031"/>
      <c r="AH790" s="1031"/>
      <c r="AI790" s="1031"/>
      <c r="AJ790" s="1031"/>
      <c r="AK790" s="1322"/>
      <c r="AL790" s="1031"/>
      <c r="AM790" s="1031"/>
      <c r="AN790" s="1031"/>
      <c r="AO790" s="1031"/>
      <c r="AP790" s="1322"/>
      <c r="AQ790" s="1031"/>
      <c r="AR790" s="1031"/>
      <c r="AS790" s="1031"/>
      <c r="AT790" s="1031"/>
      <c r="AU790" s="1322"/>
      <c r="AV790" s="1031"/>
      <c r="AW790" s="1031"/>
      <c r="AX790" s="1031"/>
      <c r="AY790" s="1031"/>
      <c r="AZ790" s="1322"/>
      <c r="BA790" s="1031"/>
      <c r="BB790" s="1031"/>
      <c r="BC790" s="1031"/>
      <c r="BD790" s="1031"/>
      <c r="BE790" s="1322"/>
      <c r="BF790" s="1031"/>
      <c r="BG790" s="1031"/>
      <c r="BH790" s="1049"/>
      <c r="BI790" s="1023"/>
      <c r="BJ790" s="1321"/>
      <c r="BK790" s="1023"/>
      <c r="BL790" s="1023"/>
      <c r="BM790" s="1023"/>
      <c r="BN790" s="1023"/>
      <c r="BO790" s="1321"/>
      <c r="BP790" s="1322"/>
      <c r="BQ790" s="1322"/>
      <c r="BR790" s="1321"/>
      <c r="BS790" s="648"/>
    </row>
    <row r="791" spans="1:71" s="665" customFormat="1" ht="15" hidden="1" outlineLevel="1">
      <c r="A791" s="26" t="s">
        <v>187</v>
      </c>
      <c r="B791" s="321"/>
      <c r="C791" s="1364">
        <v>1.70</v>
      </c>
      <c r="D791" s="1364">
        <v>0.80</v>
      </c>
      <c r="E791" s="1364">
        <v>-0.50</v>
      </c>
      <c r="F791" s="1364">
        <v>1</v>
      </c>
      <c r="G791" s="1364">
        <v>-0.60</v>
      </c>
      <c r="H791" s="1225">
        <v>0.60</v>
      </c>
      <c r="I791" s="1225">
        <v>1.20</v>
      </c>
      <c r="J791" s="1225">
        <v>1.30</v>
      </c>
      <c r="K791" s="1042">
        <f>L791</f>
        <v>0</v>
      </c>
      <c r="L791" s="1364">
        <v>0</v>
      </c>
      <c r="M791" s="1225">
        <v>-0.40</v>
      </c>
      <c r="N791" s="1225">
        <v>-0.40</v>
      </c>
      <c r="O791" s="1225">
        <v>-0.70</v>
      </c>
      <c r="P791" s="1042">
        <f>Q791</f>
        <v>-0.20</v>
      </c>
      <c r="Q791" s="1364">
        <v>-0.20</v>
      </c>
      <c r="R791" s="1225">
        <v>0.10000000000000001</v>
      </c>
      <c r="S791" s="1225">
        <v>0.20</v>
      </c>
      <c r="T791" s="1225">
        <v>0.40</v>
      </c>
      <c r="U791" s="1042">
        <f>V791</f>
        <v>0.40</v>
      </c>
      <c r="V791" s="1364">
        <v>0.40</v>
      </c>
      <c r="W791" s="1225">
        <v>0</v>
      </c>
      <c r="X791" s="1225">
        <v>0</v>
      </c>
      <c r="Y791" s="1225">
        <v>0.40</v>
      </c>
      <c r="Z791" s="1042">
        <f>AA791</f>
        <v>-0.30</v>
      </c>
      <c r="AA791" s="1364">
        <v>-0.30</v>
      </c>
      <c r="AB791" s="1225">
        <v>0</v>
      </c>
      <c r="AC791" s="1225">
        <v>0</v>
      </c>
      <c r="AD791" s="1225">
        <v>0</v>
      </c>
      <c r="AE791" s="1042">
        <f>AF791</f>
        <v>0</v>
      </c>
      <c r="AF791" s="1364">
        <v>0</v>
      </c>
      <c r="AG791" s="1225">
        <v>0</v>
      </c>
      <c r="AH791" s="1225">
        <v>0</v>
      </c>
      <c r="AI791" s="1225">
        <v>0</v>
      </c>
      <c r="AJ791" s="1042">
        <f>AK791</f>
        <v>0</v>
      </c>
      <c r="AK791" s="1364">
        <v>0</v>
      </c>
      <c r="AL791" s="1225">
        <v>0</v>
      </c>
      <c r="AM791" s="1225">
        <v>0</v>
      </c>
      <c r="AN791" s="1225">
        <v>0</v>
      </c>
      <c r="AO791" s="1042">
        <f>AP791</f>
        <v>0</v>
      </c>
      <c r="AP791" s="1364">
        <v>0</v>
      </c>
      <c r="AQ791" s="1225">
        <v>0</v>
      </c>
      <c r="AR791" s="1225">
        <v>0</v>
      </c>
      <c r="AS791" s="1047"/>
      <c r="AT791" s="1047">
        <f>AU791</f>
        <v>0</v>
      </c>
      <c r="AU791" s="1351"/>
      <c r="AV791" s="1047"/>
      <c r="AW791" s="1225">
        <v>0</v>
      </c>
      <c r="AX791" s="1047"/>
      <c r="AY791" s="1047">
        <f>AZ791</f>
        <v>0</v>
      </c>
      <c r="AZ791" s="1351"/>
      <c r="BA791" s="1047"/>
      <c r="BB791" s="1047"/>
      <c r="BC791" s="1047"/>
      <c r="BD791" s="1047">
        <f>BE791</f>
        <v>0</v>
      </c>
      <c r="BE791" s="1351"/>
      <c r="BF791" s="1047"/>
      <c r="BG791" s="1047"/>
      <c r="BH791" s="1048"/>
      <c r="BI791" s="1044">
        <f>BJ791</f>
        <v>0</v>
      </c>
      <c r="BJ791" s="1350"/>
      <c r="BK791" s="1044"/>
      <c r="BL791" s="1044"/>
      <c r="BM791" s="1044"/>
      <c r="BN791" s="1044">
        <f>BO791</f>
        <v>0</v>
      </c>
      <c r="BO791" s="1350"/>
      <c r="BP791" s="1351"/>
      <c r="BQ791" s="1351"/>
      <c r="BR791" s="1350"/>
      <c r="BS791" s="648"/>
    </row>
    <row r="792" spans="1:71" s="668" customFormat="1" ht="15" hidden="1" outlineLevel="1">
      <c r="A792" s="25" t="s">
        <v>188</v>
      </c>
      <c r="B792" s="367"/>
      <c r="C792" s="1320">
        <f t="shared" si="1526" ref="C792:AN792">C789+C774+C758+C791</f>
        <v>157.80000000000013</v>
      </c>
      <c r="D792" s="1320">
        <f t="shared" si="1526"/>
        <v>-1.7999999999994543</v>
      </c>
      <c r="E792" s="1320">
        <f t="shared" si="1526"/>
        <v>-3.1999999999993634</v>
      </c>
      <c r="F792" s="1320">
        <f t="shared" si="1526"/>
        <v>23.399999999999409</v>
      </c>
      <c r="G792" s="1320">
        <f t="shared" si="1526"/>
        <v>-103.99999999999986</v>
      </c>
      <c r="H792" s="1021">
        <f t="shared" si="1526"/>
        <v>21.600000000000115</v>
      </c>
      <c r="I792" s="1021">
        <f t="shared" si="1526"/>
        <v>51.000000000000185</v>
      </c>
      <c r="J792" s="1021">
        <f t="shared" si="1526"/>
        <v>15.500000000000728</v>
      </c>
      <c r="K792" s="1021">
        <f t="shared" si="1526"/>
        <v>33.299999999999045</v>
      </c>
      <c r="L792" s="1320">
        <f t="shared" si="1526"/>
        <v>33.299999999999045</v>
      </c>
      <c r="M792" s="1021">
        <f t="shared" si="1526"/>
        <v>-6.900000000000114</v>
      </c>
      <c r="N792" s="1021">
        <f t="shared" si="1526"/>
        <v>155.4000000000004</v>
      </c>
      <c r="O792" s="1021">
        <f t="shared" si="1526"/>
        <v>86.100000000000634</v>
      </c>
      <c r="P792" s="1021">
        <f t="shared" si="1526"/>
        <v>115.99999999999936</v>
      </c>
      <c r="Q792" s="1320">
        <f t="shared" si="1526"/>
        <v>115.99999999999936</v>
      </c>
      <c r="R792" s="1021">
        <f t="shared" si="1526"/>
        <v>-14.499999999999796</v>
      </c>
      <c r="S792" s="1021">
        <f t="shared" si="1526"/>
        <v>-89.700000000000088</v>
      </c>
      <c r="T792" s="1021">
        <f t="shared" si="1526"/>
        <v>-80.700000000000358</v>
      </c>
      <c r="U792" s="1021">
        <f t="shared" si="1526"/>
        <v>-12.600000000001364</v>
      </c>
      <c r="V792" s="1320">
        <f t="shared" si="1526"/>
        <v>-12.600000000001364</v>
      </c>
      <c r="W792" s="1021">
        <f t="shared" si="1526"/>
        <v>3</v>
      </c>
      <c r="X792" s="1021">
        <f t="shared" si="1526"/>
        <v>-50.499999999999545</v>
      </c>
      <c r="Y792" s="1021">
        <f t="shared" si="1526"/>
        <v>13.399999999999546</v>
      </c>
      <c r="Z792" s="1021">
        <f t="shared" si="1526"/>
        <v>48.90000000000073</v>
      </c>
      <c r="AA792" s="1320">
        <f t="shared" si="1526"/>
        <v>48.90000000000073</v>
      </c>
      <c r="AB792" s="1021">
        <f t="shared" si="1526"/>
        <v>-78.699999999999818</v>
      </c>
      <c r="AC792" s="1021">
        <f t="shared" si="1526"/>
        <v>-117.59999999999945</v>
      </c>
      <c r="AD792" s="1021">
        <f t="shared" si="1526"/>
        <v>-152.60000000000036</v>
      </c>
      <c r="AE792" s="1021">
        <f t="shared" si="1526"/>
        <v>-200.29999999999836</v>
      </c>
      <c r="AF792" s="1320">
        <f t="shared" si="1526"/>
        <v>-200.29999999999836</v>
      </c>
      <c r="AG792" s="1021">
        <f t="shared" si="1526"/>
        <v>83.699999999998909</v>
      </c>
      <c r="AH792" s="1021">
        <f t="shared" si="1526"/>
        <v>17.900000000001</v>
      </c>
      <c r="AI792" s="1021">
        <f t="shared" si="1526"/>
        <v>-28.800000000001091</v>
      </c>
      <c r="AJ792" s="1021">
        <f t="shared" si="1526"/>
        <v>152.39999999999873</v>
      </c>
      <c r="AK792" s="1320">
        <f t="shared" si="1526"/>
        <v>152.39999999999873</v>
      </c>
      <c r="AL792" s="1031">
        <f t="shared" si="1526"/>
        <v>142.99999999999864</v>
      </c>
      <c r="AM792" s="1031">
        <f t="shared" si="1526"/>
        <v>-118.29999999999836</v>
      </c>
      <c r="AN792" s="1031">
        <f t="shared" si="1526"/>
        <v>-136.30000000000018</v>
      </c>
      <c r="AO792" s="1021">
        <f t="shared" si="1527" ref="AO792:AU792">AO789+AO774+AO758+AO791</f>
        <v>-150.89999999999873</v>
      </c>
      <c r="AP792" s="1320">
        <f t="shared" si="1527"/>
        <v>-150.89999999999873</v>
      </c>
      <c r="AQ792" s="1031">
        <f t="shared" si="1527"/>
        <v>46.699999999999363</v>
      </c>
      <c r="AR792" s="1031">
        <f t="shared" si="1527"/>
        <v>38.100000000002183</v>
      </c>
      <c r="AS792" s="1031">
        <f t="shared" si="1527"/>
        <v>208.99999999999818</v>
      </c>
      <c r="AT792" s="1031">
        <f t="shared" si="1527"/>
        <v>125.60000000000309</v>
      </c>
      <c r="AU792" s="1322">
        <f t="shared" si="1527"/>
        <v>125.60000000000309</v>
      </c>
      <c r="AV792" s="1031">
        <f>AV789+AV774+AV758+AV791</f>
        <v>85.199999999999363</v>
      </c>
      <c r="AW792" s="1031">
        <f t="shared" si="1528" ref="AW792">AW789+AW774+AW758+AW791</f>
        <v>38.400000000002365</v>
      </c>
      <c r="AX792" s="1031">
        <f>AX789+AX774+AX758+AX791</f>
        <v>163.20000000000073</v>
      </c>
      <c r="AY792" s="1031">
        <f t="shared" si="1529" ref="AY792:AZ792">AY789+AY774+AY758+AY791</f>
        <v>18.800000000002001</v>
      </c>
      <c r="AZ792" s="1322">
        <f t="shared" si="1529"/>
        <v>18.800000000002001</v>
      </c>
      <c r="BA792" s="1031">
        <f>BA789+BA774+BA758+BA791</f>
        <v>67.700000000000273</v>
      </c>
      <c r="BB792" s="1031">
        <f t="shared" si="1530" ref="BB792:BE792">BB789+BB774+BB758+BB791</f>
        <v>-41.400000000001455</v>
      </c>
      <c r="BC792" s="1031">
        <f t="shared" si="1530"/>
        <v>-82.500000000001819</v>
      </c>
      <c r="BD792" s="1031">
        <f t="shared" si="1530"/>
        <v>-121.29999999999927</v>
      </c>
      <c r="BE792" s="1322">
        <f t="shared" si="1530"/>
        <v>-121.29999999999927</v>
      </c>
      <c r="BF792" s="1031">
        <f>$BF$795-$BF$794</f>
        <v>68.300000000000182</v>
      </c>
      <c r="BG792" s="1031">
        <f t="shared" si="1531" ref="BG792:BH792">BG789+BG774+BG758+BG791</f>
        <v>2.1000000000003638</v>
      </c>
      <c r="BH792" s="1049">
        <f t="shared" si="1531"/>
        <v>47.400000000001455</v>
      </c>
      <c r="BI792" s="1023">
        <f>BI789+BI774+BI758+BI791</f>
        <v>0</v>
      </c>
      <c r="BJ792" s="1321">
        <f t="shared" si="1532" ref="BJ792">BJ789+BJ774+BJ758+BJ791</f>
        <v>0</v>
      </c>
      <c r="BK792" s="1023">
        <f t="shared" si="1533" ref="BK792:BR792">BK789+BK774+BK758+BK791</f>
        <v>0</v>
      </c>
      <c r="BL792" s="1023">
        <f t="shared" si="1533"/>
        <v>0</v>
      </c>
      <c r="BM792" s="1023">
        <f t="shared" si="1533"/>
        <v>0</v>
      </c>
      <c r="BN792" s="1023">
        <f t="shared" si="1533"/>
        <v>0</v>
      </c>
      <c r="BO792" s="1321">
        <f t="shared" si="1533"/>
        <v>0</v>
      </c>
      <c r="BP792" s="1322">
        <f t="shared" si="1533"/>
        <v>0</v>
      </c>
      <c r="BQ792" s="1322">
        <f t="shared" si="1533"/>
        <v>0</v>
      </c>
      <c r="BR792" s="1321">
        <f t="shared" si="1533"/>
        <v>0</v>
      </c>
      <c r="BS792" s="648"/>
    </row>
    <row r="793" spans="1:71" s="668" customFormat="1" ht="15" hidden="1" outlineLevel="1">
      <c r="A793" s="904"/>
      <c r="B793" s="367"/>
      <c r="C793" s="1322"/>
      <c r="D793" s="1322"/>
      <c r="E793" s="1322"/>
      <c r="F793" s="1322"/>
      <c r="G793" s="1322"/>
      <c r="H793" s="1031"/>
      <c r="I793" s="1031"/>
      <c r="J793" s="1031"/>
      <c r="K793" s="1031"/>
      <c r="L793" s="1322"/>
      <c r="M793" s="1031"/>
      <c r="N793" s="1031"/>
      <c r="O793" s="1031"/>
      <c r="P793" s="1031"/>
      <c r="Q793" s="1322"/>
      <c r="R793" s="1031"/>
      <c r="S793" s="1031"/>
      <c r="T793" s="1031"/>
      <c r="U793" s="1031"/>
      <c r="V793" s="1322"/>
      <c r="W793" s="1031"/>
      <c r="X793" s="1031"/>
      <c r="Y793" s="1031"/>
      <c r="Z793" s="1031"/>
      <c r="AA793" s="1322"/>
      <c r="AB793" s="1031"/>
      <c r="AC793" s="1031"/>
      <c r="AD793" s="1031"/>
      <c r="AE793" s="1031"/>
      <c r="AF793" s="1322"/>
      <c r="AG793" s="1031"/>
      <c r="AH793" s="1031"/>
      <c r="AI793" s="1031"/>
      <c r="AJ793" s="1031"/>
      <c r="AK793" s="1322"/>
      <c r="AL793" s="1031"/>
      <c r="AM793" s="1031"/>
      <c r="AN793" s="1031"/>
      <c r="AO793" s="1031"/>
      <c r="AP793" s="1322"/>
      <c r="AQ793" s="1031"/>
      <c r="AR793" s="1031"/>
      <c r="AS793" s="1031"/>
      <c r="AT793" s="1031"/>
      <c r="AU793" s="1322"/>
      <c r="AV793" s="1031"/>
      <c r="AW793" s="1031"/>
      <c r="AX793" s="1031"/>
      <c r="AY793" s="1031"/>
      <c r="AZ793" s="1322"/>
      <c r="BA793" s="1031"/>
      <c r="BB793" s="1031"/>
      <c r="BC793" s="1031"/>
      <c r="BD793" s="1031"/>
      <c r="BE793" s="1322"/>
      <c r="BF793" s="1031"/>
      <c r="BG793" s="1031"/>
      <c r="BH793" s="1049"/>
      <c r="BI793" s="1023"/>
      <c r="BJ793" s="1321"/>
      <c r="BK793" s="1023"/>
      <c r="BL793" s="1023"/>
      <c r="BM793" s="1023"/>
      <c r="BN793" s="1023"/>
      <c r="BO793" s="1321"/>
      <c r="BP793" s="1322"/>
      <c r="BQ793" s="1322"/>
      <c r="BR793" s="1321"/>
      <c r="BS793" s="648"/>
    </row>
    <row r="794" spans="1:71" s="668" customFormat="1" ht="15" hidden="1" outlineLevel="1">
      <c r="A794" s="25" t="s">
        <v>189</v>
      </c>
      <c r="B794" s="367"/>
      <c r="C794" s="1354">
        <v>2.90</v>
      </c>
      <c r="D794" s="1320">
        <f>C795</f>
        <v>160.70000000000013</v>
      </c>
      <c r="E794" s="1320">
        <f>D795</f>
        <v>158.90000000000069</v>
      </c>
      <c r="F794" s="1320">
        <f>E795</f>
        <v>155.70000000000132</v>
      </c>
      <c r="G794" s="1320">
        <f>F795</f>
        <v>179.10000000000073</v>
      </c>
      <c r="H794" s="1021">
        <f>G795</f>
        <v>75.100000000000875</v>
      </c>
      <c r="I794" s="1021">
        <f>H794</f>
        <v>75.100000000000875</v>
      </c>
      <c r="J794" s="1021">
        <f>I794</f>
        <v>75.100000000000875</v>
      </c>
      <c r="K794" s="1021">
        <f>J794</f>
        <v>75.100000000000875</v>
      </c>
      <c r="L794" s="1320">
        <f>K794</f>
        <v>75.100000000000875</v>
      </c>
      <c r="M794" s="1021">
        <f>L795</f>
        <v>108.39999999999992</v>
      </c>
      <c r="N794" s="1021">
        <f>M794</f>
        <v>108.39999999999992</v>
      </c>
      <c r="O794" s="1021">
        <f>N794</f>
        <v>108.39999999999992</v>
      </c>
      <c r="P794" s="1021">
        <f>O794</f>
        <v>108.39999999999992</v>
      </c>
      <c r="Q794" s="1320">
        <f>P794</f>
        <v>108.39999999999992</v>
      </c>
      <c r="R794" s="1021">
        <f>Q795</f>
        <v>224.3999999999993</v>
      </c>
      <c r="S794" s="1021">
        <f>R794</f>
        <v>224.3999999999993</v>
      </c>
      <c r="T794" s="1021">
        <f>S794-0.3</f>
        <v>224.09999999999928</v>
      </c>
      <c r="U794" s="1021">
        <f>T794</f>
        <v>224.09999999999928</v>
      </c>
      <c r="V794" s="1320">
        <f>U794</f>
        <v>224.09999999999928</v>
      </c>
      <c r="W794" s="1021">
        <f>V795</f>
        <v>211.49999999999793</v>
      </c>
      <c r="X794" s="1021">
        <f>W794</f>
        <v>211.49999999999793</v>
      </c>
      <c r="Y794" s="1021">
        <f>X794</f>
        <v>211.49999999999793</v>
      </c>
      <c r="Z794" s="1021">
        <f>AA794</f>
        <v>226.40</v>
      </c>
      <c r="AA794" s="1354">
        <v>226.40</v>
      </c>
      <c r="AB794" s="1021">
        <f>AA795</f>
        <v>275.30000000000075</v>
      </c>
      <c r="AC794" s="1021">
        <f>AB794</f>
        <v>275.30000000000075</v>
      </c>
      <c r="AD794" s="1021">
        <f>AC794</f>
        <v>275.30000000000075</v>
      </c>
      <c r="AE794" s="1021">
        <f>AF794</f>
        <v>275.30000000000075</v>
      </c>
      <c r="AF794" s="1320">
        <f>AA795</f>
        <v>275.30000000000075</v>
      </c>
      <c r="AG794" s="1021">
        <f>AF795</f>
        <v>75.000000000002387</v>
      </c>
      <c r="AH794" s="1021">
        <f>AG794</f>
        <v>75.000000000002387</v>
      </c>
      <c r="AI794" s="1021">
        <f>AH794</f>
        <v>75.000000000002387</v>
      </c>
      <c r="AJ794" s="1021">
        <f>AK794</f>
        <v>75.000000000002387</v>
      </c>
      <c r="AK794" s="1320">
        <f>AF795</f>
        <v>75.000000000002387</v>
      </c>
      <c r="AL794" s="1021">
        <f>AK795</f>
        <v>227.40000000000111</v>
      </c>
      <c r="AM794" s="1021">
        <f>AL794</f>
        <v>227.40000000000111</v>
      </c>
      <c r="AN794" s="1021">
        <f>AM794</f>
        <v>227.40000000000111</v>
      </c>
      <c r="AO794" s="1021">
        <f>AP794</f>
        <v>227.40000000000111</v>
      </c>
      <c r="AP794" s="1320">
        <f>AK795</f>
        <v>227.40000000000111</v>
      </c>
      <c r="AQ794" s="1021">
        <f>AP795</f>
        <v>76.500000000002387</v>
      </c>
      <c r="AR794" s="1031">
        <f>AQ794</f>
        <v>76.500000000002387</v>
      </c>
      <c r="AS794" s="1021">
        <f>AR794</f>
        <v>76.500000000002387</v>
      </c>
      <c r="AT794" s="1031">
        <f>AU794</f>
        <v>76.500000000002387</v>
      </c>
      <c r="AU794" s="1322">
        <f>AP795</f>
        <v>76.500000000002387</v>
      </c>
      <c r="AV794" s="1021">
        <f>AU795</f>
        <v>202.10000000000548</v>
      </c>
      <c r="AW794" s="1031">
        <f>AV794</f>
        <v>202.10000000000548</v>
      </c>
      <c r="AX794" s="1021">
        <f>AW794</f>
        <v>202.10000000000548</v>
      </c>
      <c r="AY794" s="1031">
        <f>AZ794</f>
        <v>202.10000000000548</v>
      </c>
      <c r="AZ794" s="1322">
        <f>AU795</f>
        <v>202.10000000000548</v>
      </c>
      <c r="BA794" s="1031">
        <f>AZ795</f>
        <v>220.90000000000748</v>
      </c>
      <c r="BB794" s="1031">
        <f>BA794</f>
        <v>220.90000000000748</v>
      </c>
      <c r="BC794" s="1031">
        <f>BB794</f>
        <v>220.90000000000748</v>
      </c>
      <c r="BD794" s="1031">
        <f>BE794</f>
        <v>220.90000000000748</v>
      </c>
      <c r="BE794" s="1322">
        <f>AZ795</f>
        <v>220.90000000000748</v>
      </c>
      <c r="BF794" s="1031">
        <f>BE795</f>
        <v>99.600000000008208</v>
      </c>
      <c r="BG794" s="1031">
        <f>BF794</f>
        <v>99.600000000008208</v>
      </c>
      <c r="BH794" s="1049">
        <f>BG794</f>
        <v>99.600000000008208</v>
      </c>
      <c r="BI794" s="1023"/>
      <c r="BJ794" s="1321"/>
      <c r="BK794" s="1023"/>
      <c r="BL794" s="1023"/>
      <c r="BM794" s="1023"/>
      <c r="BN794" s="1023"/>
      <c r="BO794" s="1321"/>
      <c r="BP794" s="1322"/>
      <c r="BQ794" s="1322"/>
      <c r="BR794" s="1321"/>
      <c r="BS794" s="648"/>
    </row>
    <row r="795" spans="1:71" s="668" customFormat="1" ht="15" hidden="1" outlineLevel="1">
      <c r="A795" s="25" t="s">
        <v>190</v>
      </c>
      <c r="B795" s="367"/>
      <c r="C795" s="1320">
        <f t="shared" si="1534" ref="C795:AN795">C792+C794</f>
        <v>160.70000000000013</v>
      </c>
      <c r="D795" s="1320">
        <f t="shared" si="1534"/>
        <v>158.90000000000069</v>
      </c>
      <c r="E795" s="1320">
        <f t="shared" si="1534"/>
        <v>155.70000000000132</v>
      </c>
      <c r="F795" s="1320">
        <f t="shared" si="1534"/>
        <v>179.10000000000073</v>
      </c>
      <c r="G795" s="1320">
        <f t="shared" si="1534"/>
        <v>75.100000000000875</v>
      </c>
      <c r="H795" s="1021">
        <f t="shared" si="1534"/>
        <v>96.700000000000983</v>
      </c>
      <c r="I795" s="1021">
        <f t="shared" si="1534"/>
        <v>126.10000000000106</v>
      </c>
      <c r="J795" s="1021">
        <f t="shared" si="1534"/>
        <v>90.6000000000016</v>
      </c>
      <c r="K795" s="1021">
        <f t="shared" si="1534"/>
        <v>108.39999999999992</v>
      </c>
      <c r="L795" s="1320">
        <f t="shared" si="1534"/>
        <v>108.39999999999992</v>
      </c>
      <c r="M795" s="1021">
        <f t="shared" si="1534"/>
        <v>101.4999999999998</v>
      </c>
      <c r="N795" s="1021">
        <f t="shared" si="1534"/>
        <v>263.8000000000003</v>
      </c>
      <c r="O795" s="1021">
        <f t="shared" si="1534"/>
        <v>194.50000000000057</v>
      </c>
      <c r="P795" s="1021">
        <f t="shared" si="1534"/>
        <v>224.3999999999993</v>
      </c>
      <c r="Q795" s="1320">
        <f t="shared" si="1534"/>
        <v>224.3999999999993</v>
      </c>
      <c r="R795" s="1021">
        <f t="shared" si="1534"/>
        <v>209.89999999999949</v>
      </c>
      <c r="S795" s="1021">
        <f t="shared" si="1534"/>
        <v>134.69999999999919</v>
      </c>
      <c r="T795" s="1021">
        <f t="shared" si="1534"/>
        <v>143.39999999999893</v>
      </c>
      <c r="U795" s="1021">
        <f t="shared" si="1534"/>
        <v>211.49999999999793</v>
      </c>
      <c r="V795" s="1320">
        <f t="shared" si="1534"/>
        <v>211.49999999999793</v>
      </c>
      <c r="W795" s="1021">
        <f t="shared" si="1534"/>
        <v>214.49999999999793</v>
      </c>
      <c r="X795" s="1021">
        <f t="shared" si="1534"/>
        <v>160.99999999999838</v>
      </c>
      <c r="Y795" s="1021">
        <f t="shared" si="1534"/>
        <v>224.89999999999748</v>
      </c>
      <c r="Z795" s="1021">
        <f t="shared" si="1534"/>
        <v>275.30000000000075</v>
      </c>
      <c r="AA795" s="1320">
        <f t="shared" si="1534"/>
        <v>275.30000000000075</v>
      </c>
      <c r="AB795" s="1021">
        <f t="shared" si="1534"/>
        <v>196.60000000000093</v>
      </c>
      <c r="AC795" s="1021">
        <f t="shared" si="1534"/>
        <v>157.7000000000013</v>
      </c>
      <c r="AD795" s="1021">
        <f t="shared" si="1534"/>
        <v>122.70000000000039</v>
      </c>
      <c r="AE795" s="1021">
        <f t="shared" si="1534"/>
        <v>75.000000000002387</v>
      </c>
      <c r="AF795" s="1320">
        <f t="shared" si="1534"/>
        <v>75.000000000002387</v>
      </c>
      <c r="AG795" s="1021">
        <f t="shared" si="1534"/>
        <v>158.7000000000013</v>
      </c>
      <c r="AH795" s="1021">
        <f t="shared" si="1534"/>
        <v>92.900000000003388</v>
      </c>
      <c r="AI795" s="1021">
        <f t="shared" si="1534"/>
        <v>46.200000000001296</v>
      </c>
      <c r="AJ795" s="1021">
        <f t="shared" si="1534"/>
        <v>227.40000000000111</v>
      </c>
      <c r="AK795" s="1320">
        <f t="shared" si="1534"/>
        <v>227.40000000000111</v>
      </c>
      <c r="AL795" s="1021">
        <f t="shared" si="1534"/>
        <v>370.39999999999975</v>
      </c>
      <c r="AM795" s="1021">
        <f t="shared" si="1534"/>
        <v>109.10000000000275</v>
      </c>
      <c r="AN795" s="1021">
        <f t="shared" si="1534"/>
        <v>91.100000000000932</v>
      </c>
      <c r="AO795" s="1021">
        <f t="shared" si="1535" ref="AO795:AU795">AO792+AO794</f>
        <v>76.500000000002387</v>
      </c>
      <c r="AP795" s="1320">
        <f t="shared" si="1535"/>
        <v>76.500000000002387</v>
      </c>
      <c r="AQ795" s="1021">
        <f t="shared" si="1535"/>
        <v>123.20000000000175</v>
      </c>
      <c r="AR795" s="1031">
        <f t="shared" si="1535"/>
        <v>114.60000000000457</v>
      </c>
      <c r="AS795" s="1021">
        <f t="shared" si="1535"/>
        <v>285.50000000000057</v>
      </c>
      <c r="AT795" s="1031">
        <f t="shared" si="1535"/>
        <v>202.10000000000548</v>
      </c>
      <c r="AU795" s="1322">
        <f t="shared" si="1535"/>
        <v>202.10000000000548</v>
      </c>
      <c r="AV795" s="1021">
        <f>AV792+AV794</f>
        <v>287.30000000000484</v>
      </c>
      <c r="AW795" s="1031">
        <f t="shared" si="1536" ref="AW795">AW792+AW794</f>
        <v>240.50000000000784</v>
      </c>
      <c r="AX795" s="1021">
        <f>AX792+AX794</f>
        <v>365.30000000000621</v>
      </c>
      <c r="AY795" s="1031">
        <f t="shared" si="1537" ref="AY795:AZ795">AY792+AY794</f>
        <v>220.90000000000748</v>
      </c>
      <c r="AZ795" s="1322">
        <f t="shared" si="1537"/>
        <v>220.90000000000748</v>
      </c>
      <c r="BA795" s="1031">
        <f>BA792+BA794</f>
        <v>288.60000000000775</v>
      </c>
      <c r="BB795" s="1031">
        <f t="shared" si="1538" ref="BB795:BE795">BB792+BB794</f>
        <v>179.50000000000603</v>
      </c>
      <c r="BC795" s="1031">
        <f t="shared" si="1538"/>
        <v>138.40000000000566</v>
      </c>
      <c r="BD795" s="1031">
        <f t="shared" si="1538"/>
        <v>99.600000000008208</v>
      </c>
      <c r="BE795" s="1322">
        <f t="shared" si="1538"/>
        <v>99.600000000008208</v>
      </c>
      <c r="BF795" s="1031">
        <f>BF861</f>
        <v>167.90000000000839</v>
      </c>
      <c r="BG795" s="1031">
        <f t="shared" si="1539" ref="BG795:BH795">BG792+BG794</f>
        <v>101.70000000000857</v>
      </c>
      <c r="BH795" s="1049">
        <f t="shared" si="1539"/>
        <v>147.00000000000966</v>
      </c>
      <c r="BI795" s="1023"/>
      <c r="BJ795" s="1321"/>
      <c r="BK795" s="1023"/>
      <c r="BL795" s="1023"/>
      <c r="BM795" s="1023"/>
      <c r="BN795" s="1023"/>
      <c r="BO795" s="1321"/>
      <c r="BP795" s="1322"/>
      <c r="BQ795" s="1322"/>
      <c r="BR795" s="1321"/>
      <c r="BS795" s="648"/>
    </row>
    <row r="796" spans="1:71" s="668" customFormat="1" ht="15" hidden="1" outlineLevel="1">
      <c r="A796" s="904"/>
      <c r="B796" s="367"/>
      <c r="C796" s="1322"/>
      <c r="D796" s="1322"/>
      <c r="E796" s="1322"/>
      <c r="F796" s="1322"/>
      <c r="G796" s="1322"/>
      <c r="H796" s="1031"/>
      <c r="I796" s="1031"/>
      <c r="J796" s="1031"/>
      <c r="K796" s="1031"/>
      <c r="L796" s="1322"/>
      <c r="M796" s="1031"/>
      <c r="N796" s="1031"/>
      <c r="O796" s="1031"/>
      <c r="P796" s="1031"/>
      <c r="Q796" s="1322"/>
      <c r="R796" s="1031"/>
      <c r="S796" s="1031"/>
      <c r="T796" s="1031"/>
      <c r="U796" s="1031"/>
      <c r="V796" s="1322"/>
      <c r="W796" s="1031"/>
      <c r="X796" s="1031"/>
      <c r="Y796" s="1031"/>
      <c r="Z796" s="1031"/>
      <c r="AA796" s="1322"/>
      <c r="AB796" s="1031"/>
      <c r="AC796" s="1031"/>
      <c r="AD796" s="1031"/>
      <c r="AE796" s="1031"/>
      <c r="AF796" s="1322"/>
      <c r="AG796" s="1031"/>
      <c r="AH796" s="1031"/>
      <c r="AI796" s="1031"/>
      <c r="AJ796" s="1031"/>
      <c r="AK796" s="1322"/>
      <c r="AL796" s="1031"/>
      <c r="AM796" s="1031"/>
      <c r="AN796" s="1031"/>
      <c r="AO796" s="1031"/>
      <c r="AP796" s="1322"/>
      <c r="AQ796" s="1031"/>
      <c r="AR796" s="1031"/>
      <c r="AS796" s="1031"/>
      <c r="AT796" s="1031"/>
      <c r="AU796" s="1322"/>
      <c r="AV796" s="1031"/>
      <c r="AW796" s="1031"/>
      <c r="AX796" s="1031"/>
      <c r="AY796" s="1031"/>
      <c r="AZ796" s="1322"/>
      <c r="BA796" s="1031"/>
      <c r="BB796" s="1031"/>
      <c r="BC796" s="1031"/>
      <c r="BD796" s="1031"/>
      <c r="BE796" s="1322"/>
      <c r="BF796" s="1031"/>
      <c r="BG796" s="1031"/>
      <c r="BH796" s="1049"/>
      <c r="BI796" s="1023"/>
      <c r="BJ796" s="1321"/>
      <c r="BK796" s="1023"/>
      <c r="BL796" s="1023"/>
      <c r="BM796" s="1023"/>
      <c r="BN796" s="1023"/>
      <c r="BO796" s="1321"/>
      <c r="BP796" s="1322"/>
      <c r="BQ796" s="1322"/>
      <c r="BR796" s="1321"/>
      <c r="BS796" s="648"/>
    </row>
    <row r="797" spans="1:71" s="665" customFormat="1" ht="15" hidden="1" outlineLevel="1">
      <c r="A797" s="26" t="s">
        <v>727</v>
      </c>
      <c r="B797" s="321"/>
      <c r="C797" s="1364">
        <v>144.69999999999999</v>
      </c>
      <c r="D797" s="1364">
        <v>138.40000000000001</v>
      </c>
      <c r="E797" s="1364">
        <v>129.50</v>
      </c>
      <c r="F797" s="1364">
        <v>135</v>
      </c>
      <c r="G797" s="1364">
        <v>122.30</v>
      </c>
      <c r="H797" s="1225">
        <v>19.30</v>
      </c>
      <c r="I797" s="1225">
        <v>54.50</v>
      </c>
      <c r="J797" s="1225">
        <v>74.70</v>
      </c>
      <c r="K797" s="1042">
        <f>L797</f>
        <v>116</v>
      </c>
      <c r="L797" s="1364">
        <v>116</v>
      </c>
      <c r="M797" s="1225">
        <v>19.30</v>
      </c>
      <c r="N797" s="1225">
        <v>62</v>
      </c>
      <c r="O797" s="1225">
        <v>90.30</v>
      </c>
      <c r="P797" s="1042">
        <f>Q797</f>
        <v>132</v>
      </c>
      <c r="Q797" s="1364">
        <v>132</v>
      </c>
      <c r="R797" s="1225">
        <v>28.10</v>
      </c>
      <c r="S797" s="1225">
        <v>70.099999999999994</v>
      </c>
      <c r="T797" s="1225">
        <v>98</v>
      </c>
      <c r="U797" s="1042">
        <f>V797</f>
        <v>139.19999999999999</v>
      </c>
      <c r="V797" s="1364">
        <v>139.19999999999999</v>
      </c>
      <c r="W797" s="1225">
        <v>33.10</v>
      </c>
      <c r="X797" s="1225">
        <v>73.30</v>
      </c>
      <c r="Y797" s="1225">
        <v>107.40000000000001</v>
      </c>
      <c r="Z797" s="1042">
        <f>AA797</f>
        <v>146.30000000000001</v>
      </c>
      <c r="AA797" s="1364">
        <v>146.30000000000001</v>
      </c>
      <c r="AB797" s="1225">
        <v>33.299999999999997</v>
      </c>
      <c r="AC797" s="1225">
        <v>70.900000000000006</v>
      </c>
      <c r="AD797" s="1225">
        <v>116.40000000000001</v>
      </c>
      <c r="AE797" s="1042">
        <f>AF797</f>
        <v>154</v>
      </c>
      <c r="AF797" s="1364">
        <v>154</v>
      </c>
      <c r="AG797" s="1225">
        <v>53.30</v>
      </c>
      <c r="AH797" s="1225">
        <v>94</v>
      </c>
      <c r="AI797" s="1225">
        <v>147.30000000000001</v>
      </c>
      <c r="AJ797" s="1042">
        <f>AK797</f>
        <v>184.90</v>
      </c>
      <c r="AK797" s="1364">
        <v>184.90</v>
      </c>
      <c r="AL797" s="1225">
        <v>56.40</v>
      </c>
      <c r="AM797" s="1225">
        <v>94.10</v>
      </c>
      <c r="AN797" s="1225">
        <v>168.40</v>
      </c>
      <c r="AO797" s="1042">
        <f>AP797</f>
        <v>206</v>
      </c>
      <c r="AP797" s="1364">
        <v>206</v>
      </c>
      <c r="AQ797" s="1225">
        <v>74.30</v>
      </c>
      <c r="AR797" s="1225">
        <v>112</v>
      </c>
      <c r="AS797" s="1225">
        <v>186.30</v>
      </c>
      <c r="AT797" s="1042">
        <f>AU797</f>
        <v>224</v>
      </c>
      <c r="AU797" s="1364">
        <v>224</v>
      </c>
      <c r="AV797" s="1225">
        <v>64.900000000000006</v>
      </c>
      <c r="AW797" s="1225">
        <v>102.59999999999999</v>
      </c>
      <c r="AX797" s="1225">
        <v>191.30</v>
      </c>
      <c r="AY797" s="1042">
        <f>AZ797</f>
        <v>228.90</v>
      </c>
      <c r="AZ797" s="1364">
        <v>228.90</v>
      </c>
      <c r="BA797" s="1225">
        <v>87.90</v>
      </c>
      <c r="BB797" s="1225">
        <v>125.59999999999999</v>
      </c>
      <c r="BC797" s="1225">
        <v>213.50</v>
      </c>
      <c r="BD797" s="1042">
        <f>BE797</f>
        <v>264.89999999999998</v>
      </c>
      <c r="BE797" s="1364">
        <v>264.89999999999998</v>
      </c>
      <c r="BF797" s="1225">
        <v>87.90</v>
      </c>
      <c r="BG797" s="1225">
        <v>138</v>
      </c>
      <c r="BH797" s="1226">
        <v>225.90</v>
      </c>
      <c r="BI797" s="1044"/>
      <c r="BJ797" s="1350"/>
      <c r="BK797" s="1044"/>
      <c r="BL797" s="1044"/>
      <c r="BM797" s="1044"/>
      <c r="BN797" s="1044"/>
      <c r="BO797" s="1350"/>
      <c r="BP797" s="1351"/>
      <c r="BQ797" s="1351"/>
      <c r="BR797" s="1350"/>
      <c r="BS797" s="647"/>
    </row>
    <row r="798" spans="1:71" s="665" customFormat="1" ht="15" hidden="1" outlineLevel="1">
      <c r="A798" s="26" t="s">
        <v>728</v>
      </c>
      <c r="B798" s="321"/>
      <c r="C798" s="1364">
        <v>461.70</v>
      </c>
      <c r="D798" s="1364">
        <v>434</v>
      </c>
      <c r="E798" s="1364">
        <v>435</v>
      </c>
      <c r="F798" s="1364">
        <v>389.10</v>
      </c>
      <c r="G798" s="1364">
        <v>497</v>
      </c>
      <c r="H798" s="1225">
        <v>0</v>
      </c>
      <c r="I798" s="1225">
        <v>240</v>
      </c>
      <c r="J798" s="1225">
        <v>355</v>
      </c>
      <c r="K798" s="1042">
        <f>L798</f>
        <v>515</v>
      </c>
      <c r="L798" s="1364">
        <v>515</v>
      </c>
      <c r="M798" s="1225">
        <v>60</v>
      </c>
      <c r="N798" s="1225">
        <v>372.10</v>
      </c>
      <c r="O798" s="1225">
        <v>513.10</v>
      </c>
      <c r="P798" s="1042">
        <f>Q798</f>
        <v>701.80</v>
      </c>
      <c r="Q798" s="1364">
        <v>701.80</v>
      </c>
      <c r="R798" s="1225">
        <v>30</v>
      </c>
      <c r="S798" s="1225">
        <v>275.39999999999998</v>
      </c>
      <c r="T798" s="1225">
        <v>380.80</v>
      </c>
      <c r="U798" s="1042">
        <f>V798</f>
        <v>459.40</v>
      </c>
      <c r="V798" s="1364">
        <v>459.40</v>
      </c>
      <c r="W798" s="1225">
        <v>0.70</v>
      </c>
      <c r="X798" s="1225">
        <v>452.90</v>
      </c>
      <c r="Y798" s="1225">
        <v>538.70000000000005</v>
      </c>
      <c r="Z798" s="1042">
        <f>AA798</f>
        <v>715.60</v>
      </c>
      <c r="AA798" s="1364">
        <v>715.60</v>
      </c>
      <c r="AB798" s="1225">
        <v>0</v>
      </c>
      <c r="AC798" s="1225">
        <v>358.90</v>
      </c>
      <c r="AD798" s="1225">
        <v>535.79999999999995</v>
      </c>
      <c r="AE798" s="1042">
        <f>AF798</f>
        <v>702.60</v>
      </c>
      <c r="AF798" s="1364">
        <v>702.60</v>
      </c>
      <c r="AG798" s="1225">
        <v>20</v>
      </c>
      <c r="AH798" s="1225">
        <v>592.79999999999995</v>
      </c>
      <c r="AI798" s="1225">
        <v>738.70</v>
      </c>
      <c r="AJ798" s="1042">
        <f>AK798</f>
        <v>954.30</v>
      </c>
      <c r="AK798" s="1364">
        <v>954.30</v>
      </c>
      <c r="AL798" s="1225">
        <v>0</v>
      </c>
      <c r="AM798" s="1225">
        <v>18</v>
      </c>
      <c r="AN798" s="1225">
        <v>1079.20</v>
      </c>
      <c r="AO798" s="1042">
        <f>AP798</f>
        <v>1446.30</v>
      </c>
      <c r="AP798" s="1364">
        <v>1446.30</v>
      </c>
      <c r="AQ798" s="1225">
        <v>0.80</v>
      </c>
      <c r="AR798" s="1225">
        <v>574.10</v>
      </c>
      <c r="AS798" s="1225">
        <v>669.50</v>
      </c>
      <c r="AT798" s="1042">
        <f>AU798</f>
        <v>842.40</v>
      </c>
      <c r="AU798" s="1364">
        <v>842.40</v>
      </c>
      <c r="AV798" s="1225">
        <v>0</v>
      </c>
      <c r="AW798" s="1225">
        <v>363.20</v>
      </c>
      <c r="AX798" s="1225">
        <v>595.90</v>
      </c>
      <c r="AY798" s="1042">
        <f>AZ798</f>
        <v>719</v>
      </c>
      <c r="AZ798" s="1364">
        <v>719</v>
      </c>
      <c r="BA798" s="1225">
        <v>0.10000000000000001</v>
      </c>
      <c r="BB798" s="1225">
        <v>183.80</v>
      </c>
      <c r="BC798" s="1225">
        <v>413</v>
      </c>
      <c r="BD798" s="1042">
        <f>BE798</f>
        <v>820.80</v>
      </c>
      <c r="BE798" s="1364">
        <v>820.80</v>
      </c>
      <c r="BF798" s="1225">
        <v>0</v>
      </c>
      <c r="BG798" s="1225">
        <v>1350.50</v>
      </c>
      <c r="BH798" s="1226">
        <v>1985.30</v>
      </c>
      <c r="BI798" s="1044"/>
      <c r="BJ798" s="1350"/>
      <c r="BK798" s="1044"/>
      <c r="BL798" s="1044"/>
      <c r="BM798" s="1044"/>
      <c r="BN798" s="1044"/>
      <c r="BO798" s="1350"/>
      <c r="BP798" s="1351"/>
      <c r="BQ798" s="1351"/>
      <c r="BR798" s="1350"/>
      <c r="BS798" s="647"/>
    </row>
    <row r="799" spans="1:71" s="668" customFormat="1" ht="15" collapsed="1">
      <c r="A799" s="904"/>
      <c r="B799" s="367"/>
      <c r="C799" s="1322"/>
      <c r="D799" s="1322"/>
      <c r="E799" s="1322"/>
      <c r="F799" s="1322"/>
      <c r="G799" s="1322"/>
      <c r="H799" s="1031"/>
      <c r="I799" s="1031"/>
      <c r="J799" s="1031"/>
      <c r="K799" s="1031"/>
      <c r="L799" s="1322"/>
      <c r="M799" s="1031"/>
      <c r="N799" s="1031"/>
      <c r="O799" s="1031"/>
      <c r="P799" s="1031"/>
      <c r="Q799" s="1322"/>
      <c r="R799" s="1031"/>
      <c r="S799" s="1031"/>
      <c r="T799" s="1031"/>
      <c r="U799" s="1031"/>
      <c r="V799" s="1322"/>
      <c r="W799" s="1031"/>
      <c r="X799" s="1031"/>
      <c r="Y799" s="1031"/>
      <c r="Z799" s="1031"/>
      <c r="AA799" s="1322"/>
      <c r="AB799" s="1031"/>
      <c r="AC799" s="1031"/>
      <c r="AD799" s="1031"/>
      <c r="AE799" s="1031"/>
      <c r="AF799" s="1322"/>
      <c r="AG799" s="1031"/>
      <c r="AH799" s="1031"/>
      <c r="AI799" s="1031"/>
      <c r="AJ799" s="1031"/>
      <c r="AK799" s="1322"/>
      <c r="AL799" s="1031"/>
      <c r="AM799" s="1031"/>
      <c r="AN799" s="1031"/>
      <c r="AO799" s="1031"/>
      <c r="AP799" s="1322"/>
      <c r="AQ799" s="1031"/>
      <c r="AR799" s="1031"/>
      <c r="AS799" s="1031"/>
      <c r="AT799" s="1031"/>
      <c r="AU799" s="1322"/>
      <c r="AV799" s="1031"/>
      <c r="AW799" s="1031"/>
      <c r="AX799" s="1031"/>
      <c r="AY799" s="1031"/>
      <c r="AZ799" s="1322"/>
      <c r="BA799" s="1031"/>
      <c r="BB799" s="1031"/>
      <c r="BC799" s="1031"/>
      <c r="BD799" s="1031"/>
      <c r="BE799" s="1322"/>
      <c r="BF799" s="1031"/>
      <c r="BG799" s="1031"/>
      <c r="BH799" s="1049"/>
      <c r="BI799" s="1023"/>
      <c r="BJ799" s="1321"/>
      <c r="BK799" s="1023"/>
      <c r="BL799" s="1023"/>
      <c r="BM799" s="1023"/>
      <c r="BN799" s="1023"/>
      <c r="BO799" s="1321"/>
      <c r="BP799" s="1322"/>
      <c r="BQ799" s="1322"/>
      <c r="BR799" s="1321"/>
      <c r="BS799" s="648"/>
    </row>
    <row r="800" spans="1:71" s="668" customFormat="1" ht="15">
      <c r="A800" s="991" t="s">
        <v>191</v>
      </c>
      <c r="B800" s="991"/>
      <c r="C800" s="1035"/>
      <c r="D800" s="1035"/>
      <c r="E800" s="1035"/>
      <c r="F800" s="1035"/>
      <c r="G800" s="1035"/>
      <c r="H800" s="1035"/>
      <c r="I800" s="1035"/>
      <c r="J800" s="1035"/>
      <c r="K800" s="1035"/>
      <c r="L800" s="1035"/>
      <c r="M800" s="1035"/>
      <c r="N800" s="1035"/>
      <c r="O800" s="1035"/>
      <c r="P800" s="1035"/>
      <c r="Q800" s="1035"/>
      <c r="R800" s="1035"/>
      <c r="S800" s="1035"/>
      <c r="T800" s="1035"/>
      <c r="U800" s="1035"/>
      <c r="V800" s="1035"/>
      <c r="W800" s="1035"/>
      <c r="X800" s="1035"/>
      <c r="Y800" s="1035"/>
      <c r="Z800" s="1035"/>
      <c r="AA800" s="1035"/>
      <c r="AB800" s="1035"/>
      <c r="AC800" s="1035"/>
      <c r="AD800" s="1035"/>
      <c r="AE800" s="1035"/>
      <c r="AF800" s="1035"/>
      <c r="AG800" s="1035"/>
      <c r="AH800" s="1035"/>
      <c r="AI800" s="1035"/>
      <c r="AJ800" s="1035"/>
      <c r="AK800" s="1035"/>
      <c r="AL800" s="1035"/>
      <c r="AM800" s="1035"/>
      <c r="AN800" s="1035"/>
      <c r="AO800" s="1035"/>
      <c r="AP800" s="1035"/>
      <c r="AQ800" s="1035"/>
      <c r="AR800" s="1035"/>
      <c r="AS800" s="1035"/>
      <c r="AT800" s="1035"/>
      <c r="AU800" s="1035"/>
      <c r="AV800" s="1035"/>
      <c r="AW800" s="1035"/>
      <c r="AX800" s="1035"/>
      <c r="AY800" s="1035"/>
      <c r="AZ800" s="1035"/>
      <c r="BA800" s="1035"/>
      <c r="BB800" s="1035"/>
      <c r="BC800" s="1035"/>
      <c r="BD800" s="1035"/>
      <c r="BE800" s="1035"/>
      <c r="BF800" s="1035"/>
      <c r="BG800" s="1035"/>
      <c r="BH800" s="1036"/>
      <c r="BI800" s="1037"/>
      <c r="BJ800" s="1037"/>
      <c r="BK800" s="1037"/>
      <c r="BL800" s="1037"/>
      <c r="BM800" s="1037"/>
      <c r="BN800" s="1037"/>
      <c r="BO800" s="1037"/>
      <c r="BP800" s="1035"/>
      <c r="BQ800" s="1035"/>
      <c r="BR800" s="1037"/>
      <c r="BS800" s="648"/>
    </row>
    <row r="801" spans="1:71" s="696" customFormat="1" ht="15">
      <c r="A801" s="44" t="str">
        <f t="shared" si="1540" ref="A801:A824">A735</f>
        <v>CFO</v>
      </c>
      <c r="B801" s="367"/>
      <c r="C801" s="1322"/>
      <c r="D801" s="1322"/>
      <c r="E801" s="1322"/>
      <c r="F801" s="1322"/>
      <c r="G801" s="1322"/>
      <c r="H801" s="1031"/>
      <c r="I801" s="1031"/>
      <c r="J801" s="1031"/>
      <c r="K801" s="1031"/>
      <c r="L801" s="1322"/>
      <c r="M801" s="1031"/>
      <c r="N801" s="1031"/>
      <c r="O801" s="1031"/>
      <c r="P801" s="1031"/>
      <c r="Q801" s="1322"/>
      <c r="R801" s="1031"/>
      <c r="S801" s="1031"/>
      <c r="T801" s="1031"/>
      <c r="U801" s="1031"/>
      <c r="V801" s="1322"/>
      <c r="W801" s="1031"/>
      <c r="X801" s="1031"/>
      <c r="Y801" s="1031"/>
      <c r="Z801" s="1031"/>
      <c r="AA801" s="1322"/>
      <c r="AB801" s="1031"/>
      <c r="AC801" s="1031"/>
      <c r="AD801" s="1031"/>
      <c r="AE801" s="1031"/>
      <c r="AF801" s="1322"/>
      <c r="AG801" s="1031"/>
      <c r="AH801" s="1031"/>
      <c r="AI801" s="1031"/>
      <c r="AJ801" s="1031"/>
      <c r="AK801" s="1322"/>
      <c r="AL801" s="1031"/>
      <c r="AM801" s="1031"/>
      <c r="AN801" s="1031"/>
      <c r="AO801" s="1031"/>
      <c r="AP801" s="1322"/>
      <c r="AQ801" s="1031"/>
      <c r="AR801" s="1031"/>
      <c r="AS801" s="1031"/>
      <c r="AT801" s="1031"/>
      <c r="AU801" s="1322"/>
      <c r="AV801" s="1031"/>
      <c r="AW801" s="1031"/>
      <c r="AX801" s="1031"/>
      <c r="AY801" s="1031"/>
      <c r="AZ801" s="1322"/>
      <c r="BA801" s="1031"/>
      <c r="BB801" s="1031"/>
      <c r="BC801" s="1031"/>
      <c r="BD801" s="1031"/>
      <c r="BE801" s="1322"/>
      <c r="BF801" s="1031"/>
      <c r="BG801" s="1031"/>
      <c r="BH801" s="1049"/>
      <c r="BI801" s="1023"/>
      <c r="BJ801" s="1321"/>
      <c r="BK801" s="1023"/>
      <c r="BL801" s="1023"/>
      <c r="BM801" s="1023"/>
      <c r="BN801" s="1023"/>
      <c r="BO801" s="1321"/>
      <c r="BP801" s="1322"/>
      <c r="BQ801" s="1322"/>
      <c r="BR801" s="1321"/>
      <c r="BS801" s="648"/>
    </row>
    <row r="802" spans="1:71" s="686" customFormat="1" ht="15">
      <c r="A802" s="999" t="str">
        <f t="shared" si="1540"/>
        <v>Net income</v>
      </c>
      <c r="B802" s="321"/>
      <c r="C802" s="1351">
        <f t="shared" si="1541" ref="C802:H812">C736</f>
        <v>1057.50</v>
      </c>
      <c r="D802" s="1351">
        <f t="shared" si="1541"/>
        <v>1068.30</v>
      </c>
      <c r="E802" s="1351">
        <f t="shared" si="1541"/>
        <v>1015.50</v>
      </c>
      <c r="F802" s="1351">
        <f t="shared" si="1541"/>
        <v>902.30</v>
      </c>
      <c r="G802" s="1351">
        <f t="shared" si="1541"/>
        <v>1165.4000000000001</v>
      </c>
      <c r="H802" s="1047">
        <f t="shared" si="1541"/>
        <v>321.30</v>
      </c>
      <c r="I802" s="1047">
        <f t="shared" si="1542" ref="I802:K812">I736-H736</f>
        <v>293.40000000000003</v>
      </c>
      <c r="J802" s="1047">
        <f t="shared" si="1542"/>
        <v>296.09999999999991</v>
      </c>
      <c r="K802" s="1047">
        <f t="shared" si="1542"/>
        <v>370.20000000000005</v>
      </c>
      <c r="L802" s="1351">
        <f t="shared" si="1543" ref="L802:M812">L736</f>
        <v>1281</v>
      </c>
      <c r="M802" s="1047">
        <f t="shared" si="1543"/>
        <v>295.60000000000002</v>
      </c>
      <c r="N802" s="1047">
        <f t="shared" si="1544" ref="N802:P812">N736-M736</f>
        <v>368.50</v>
      </c>
      <c r="O802" s="1047">
        <f t="shared" si="1544"/>
        <v>286.50</v>
      </c>
      <c r="P802" s="1047">
        <f t="shared" si="1544"/>
        <v>349.90</v>
      </c>
      <c r="Q802" s="1351">
        <f t="shared" si="1545" ref="Q802:R812">Q736</f>
        <v>1300.50</v>
      </c>
      <c r="R802" s="1047">
        <f t="shared" si="1545"/>
        <v>258.70</v>
      </c>
      <c r="S802" s="1047">
        <f t="shared" si="1546" ref="S802:U812">S736-R736</f>
        <v>194.90000000000003</v>
      </c>
      <c r="T802" s="1047">
        <f t="shared" si="1546"/>
        <v>205.50</v>
      </c>
      <c r="U802" s="1047">
        <f t="shared" si="1546"/>
        <v>398.10</v>
      </c>
      <c r="V802" s="1351">
        <f t="shared" si="1547" ref="V802:W812">V736</f>
        <v>1057.20</v>
      </c>
      <c r="W802" s="1047">
        <f t="shared" si="1547"/>
        <v>430.30</v>
      </c>
      <c r="X802" s="1047">
        <f t="shared" si="1548" ref="X802:Z812">X736-W736</f>
        <v>372.70</v>
      </c>
      <c r="Y802" s="1047">
        <f t="shared" si="1548"/>
        <v>214.79999999999995</v>
      </c>
      <c r="Z802" s="1047">
        <f t="shared" si="1548"/>
        <v>580.29999999999995</v>
      </c>
      <c r="AA802" s="1351">
        <f t="shared" si="1549" ref="AA802:AB812">AA736</f>
        <v>1598.10</v>
      </c>
      <c r="AB802" s="1047">
        <f t="shared" si="1549"/>
        <v>729.80</v>
      </c>
      <c r="AC802" s="1047">
        <f t="shared" si="1550" ref="AC802:AE812">AC736-AB736</f>
        <v>701.20</v>
      </c>
      <c r="AD802" s="1047">
        <f t="shared" si="1550"/>
        <v>930.19999999999982</v>
      </c>
      <c r="AE802" s="1047">
        <f t="shared" si="1550"/>
        <v>259.80000000000018</v>
      </c>
      <c r="AF802" s="1351">
        <f t="shared" si="1551" ref="AF802:AG812">AF736</f>
        <v>2621</v>
      </c>
      <c r="AG802" s="1047">
        <f t="shared" si="1551"/>
        <v>1082.80</v>
      </c>
      <c r="AH802" s="1047">
        <f t="shared" si="1552" ref="AH802:AJ812">AH736-AG736</f>
        <v>979.00000000000023</v>
      </c>
      <c r="AI802" s="1047">
        <f t="shared" si="1552"/>
        <v>843.59999999999991</v>
      </c>
      <c r="AJ802" s="1047">
        <f t="shared" si="1552"/>
        <v>1074.5999999999999</v>
      </c>
      <c r="AK802" s="1351">
        <f t="shared" si="1553" ref="AK802:AL812">AK736</f>
        <v>3980</v>
      </c>
      <c r="AL802" s="1047">
        <f t="shared" si="1553"/>
        <v>699.10</v>
      </c>
      <c r="AM802" s="1047">
        <f t="shared" si="1554" ref="AM802:AO812">AM736-AL736</f>
        <v>1790.40</v>
      </c>
      <c r="AN802" s="1047">
        <f t="shared" si="1554"/>
        <v>1530.8000000000002</v>
      </c>
      <c r="AO802" s="1047">
        <f t="shared" si="1554"/>
        <v>1684.3000000000002</v>
      </c>
      <c r="AP802" s="1351">
        <f t="shared" si="1555" ref="AP802:AQ812">AP736</f>
        <v>5704.60</v>
      </c>
      <c r="AQ802" s="1047">
        <f t="shared" si="1555"/>
        <v>1480</v>
      </c>
      <c r="AR802" s="1047">
        <f t="shared" si="1556" ref="AR802:AT812">AR736-AQ736</f>
        <v>790.09999999999991</v>
      </c>
      <c r="AS802" s="1047">
        <f t="shared" si="1556"/>
        <v>118.50</v>
      </c>
      <c r="AT802" s="1047">
        <f t="shared" si="1556"/>
        <v>962.30000000000018</v>
      </c>
      <c r="AU802" s="1351">
        <f t="shared" si="1557" ref="AU802:AV812">AU736</f>
        <v>3350.90</v>
      </c>
      <c r="AV802" s="1047">
        <f t="shared" si="1557"/>
        <v>313.89999999999998</v>
      </c>
      <c r="AW802" s="1047">
        <f t="shared" si="1558" ref="AW802:AY812">AW736-AV736</f>
        <v>-542.90</v>
      </c>
      <c r="AX802" s="1047">
        <f t="shared" si="1558"/>
        <v>124.09999999999999</v>
      </c>
      <c r="AY802" s="1047">
        <f t="shared" si="1558"/>
        <v>826.40</v>
      </c>
      <c r="AZ802" s="1351">
        <f t="shared" si="1559" ref="AZ802:BA802">AZ736</f>
        <v>721.50</v>
      </c>
      <c r="BA802" s="1047">
        <f t="shared" si="1559"/>
        <v>447.90</v>
      </c>
      <c r="BB802" s="1047">
        <f t="shared" si="1560" ref="BB802:BC812">BB736-BA736</f>
        <v>345.40</v>
      </c>
      <c r="BC802" s="1047">
        <f t="shared" si="1560"/>
        <v>1121.30</v>
      </c>
      <c r="BD802" s="1047">
        <f t="shared" si="1561" ref="BD802:BD812">BD736-BC736</f>
        <v>1987.8000000000002</v>
      </c>
      <c r="BE802" s="1351">
        <f t="shared" si="1562" ref="BE802:BF802">BE736</f>
        <v>3902.40</v>
      </c>
      <c r="BF802" s="1047">
        <f t="shared" si="1562"/>
        <v>2331.40</v>
      </c>
      <c r="BG802" s="1047">
        <f t="shared" si="1563" ref="BG802:BH812">BG736-BF736</f>
        <v>1458.6999999999998</v>
      </c>
      <c r="BH802" s="1048">
        <f t="shared" si="1563"/>
        <v>2333.40</v>
      </c>
      <c r="BI802" s="1044">
        <f>BI626</f>
        <v>1651.241149051843</v>
      </c>
      <c r="BJ802" s="1350">
        <f t="shared" si="1564" ref="BJ802:BJ812">SUM(BF802,BG802,BH802,BI802)</f>
        <v>7774.7411490518425</v>
      </c>
      <c r="BK802" s="1044">
        <f>BK626</f>
        <v>2040.439299543955</v>
      </c>
      <c r="BL802" s="1044">
        <f>BL626</f>
        <v>1435.7459501265862</v>
      </c>
      <c r="BM802" s="1044">
        <f>BM626</f>
        <v>1256.2839708479364</v>
      </c>
      <c r="BN802" s="1044">
        <f>BN626</f>
        <v>2204.9368076464912</v>
      </c>
      <c r="BO802" s="1350">
        <f t="shared" si="1565" ref="BO802:BO812">SUM(BK802,BL802,BM802,BN802)</f>
        <v>6937.406028164969</v>
      </c>
      <c r="BP802" s="1351">
        <f>BP626</f>
        <v>7455.8004158312433</v>
      </c>
      <c r="BQ802" s="1351">
        <f>BQ626</f>
        <v>7874.8224004774738</v>
      </c>
      <c r="BR802" s="1350">
        <f>BR626</f>
        <v>8315.5090160141099</v>
      </c>
      <c r="BS802" s="648"/>
    </row>
    <row r="803" spans="1:71" s="686" customFormat="1" ht="15">
      <c r="A803" s="999" t="str">
        <f t="shared" si="1540"/>
        <v>Depreciation</v>
      </c>
      <c r="B803" s="321"/>
      <c r="C803" s="1351">
        <f t="shared" si="1541"/>
        <v>87.30</v>
      </c>
      <c r="D803" s="1351">
        <f t="shared" si="1541"/>
        <v>83.10</v>
      </c>
      <c r="E803" s="1351">
        <f t="shared" si="1541"/>
        <v>88.50</v>
      </c>
      <c r="F803" s="1351">
        <f t="shared" si="1541"/>
        <v>94.40</v>
      </c>
      <c r="G803" s="1351">
        <f t="shared" si="1541"/>
        <v>101.30</v>
      </c>
      <c r="H803" s="1047">
        <f t="shared" si="1541"/>
        <v>22.80</v>
      </c>
      <c r="I803" s="1047">
        <f t="shared" si="1542"/>
        <v>23.90</v>
      </c>
      <c r="J803" s="1047">
        <f t="shared" si="1542"/>
        <v>25.099999999999994</v>
      </c>
      <c r="K803" s="1047">
        <f t="shared" si="1542"/>
        <v>25.299999999999997</v>
      </c>
      <c r="L803" s="1351">
        <f t="shared" si="1543"/>
        <v>97.10</v>
      </c>
      <c r="M803" s="1047">
        <f t="shared" si="1543"/>
        <v>23.80</v>
      </c>
      <c r="N803" s="1047">
        <f t="shared" si="1544"/>
        <v>25.90</v>
      </c>
      <c r="O803" s="1047">
        <f t="shared" si="1544"/>
        <v>26.399999999999991</v>
      </c>
      <c r="P803" s="1047">
        <f t="shared" si="1544"/>
        <v>27.600000000000009</v>
      </c>
      <c r="Q803" s="1351">
        <f t="shared" si="1545"/>
        <v>103.70</v>
      </c>
      <c r="R803" s="1047">
        <f t="shared" si="1545"/>
        <v>27.50</v>
      </c>
      <c r="S803" s="1047">
        <f t="shared" si="1546"/>
        <v>30.60</v>
      </c>
      <c r="T803" s="1047">
        <f t="shared" si="1546"/>
        <v>36.499999999999993</v>
      </c>
      <c r="U803" s="1047">
        <f t="shared" si="1546"/>
        <v>42.800000000000011</v>
      </c>
      <c r="V803" s="1351">
        <f t="shared" si="1547"/>
        <v>137.40000000000001</v>
      </c>
      <c r="W803" s="1047">
        <f t="shared" si="1547"/>
        <v>41</v>
      </c>
      <c r="X803" s="1047">
        <f t="shared" si="1548"/>
        <v>43</v>
      </c>
      <c r="Y803" s="1047">
        <f t="shared" si="1548"/>
        <v>42.70</v>
      </c>
      <c r="Z803" s="1047">
        <f t="shared" si="1548"/>
        <v>43.20</v>
      </c>
      <c r="AA803" s="1351">
        <f t="shared" si="1549"/>
        <v>169.90</v>
      </c>
      <c r="AB803" s="1047">
        <f t="shared" si="1549"/>
        <v>40.90</v>
      </c>
      <c r="AC803" s="1047">
        <f t="shared" si="1550"/>
        <v>45.70</v>
      </c>
      <c r="AD803" s="1047">
        <f t="shared" si="1550"/>
        <v>51.200000000000017</v>
      </c>
      <c r="AE803" s="1047">
        <f t="shared" si="1550"/>
        <v>52.599999999999994</v>
      </c>
      <c r="AF803" s="1351">
        <f t="shared" si="1551"/>
        <v>190.40</v>
      </c>
      <c r="AG803" s="1047">
        <f t="shared" si="1551"/>
        <v>52.60</v>
      </c>
      <c r="AH803" s="1047">
        <f t="shared" si="1552"/>
        <v>61.999999999999993</v>
      </c>
      <c r="AI803" s="1047">
        <f t="shared" si="1552"/>
        <v>56.400000000000006</v>
      </c>
      <c r="AJ803" s="1047">
        <f t="shared" si="1552"/>
        <v>68.800000000000011</v>
      </c>
      <c r="AK803" s="1351">
        <f t="shared" si="1553"/>
        <v>239.80</v>
      </c>
      <c r="AL803" s="1047">
        <f t="shared" si="1553"/>
        <v>62.60</v>
      </c>
      <c r="AM803" s="1047">
        <f t="shared" si="1554"/>
        <v>67.700000000000017</v>
      </c>
      <c r="AN803" s="1047">
        <f t="shared" si="1554"/>
        <v>70.899999999999977</v>
      </c>
      <c r="AO803" s="1047">
        <f t="shared" si="1554"/>
        <v>73.699999999999989</v>
      </c>
      <c r="AP803" s="1351">
        <f t="shared" si="1555"/>
        <v>274.89999999999998</v>
      </c>
      <c r="AQ803" s="1047">
        <f t="shared" si="1555"/>
        <v>62.90</v>
      </c>
      <c r="AR803" s="1047">
        <f t="shared" si="1556"/>
        <v>66.50</v>
      </c>
      <c r="AS803" s="1047">
        <f t="shared" si="1556"/>
        <v>74.50</v>
      </c>
      <c r="AT803" s="1047">
        <f t="shared" si="1556"/>
        <v>75.799999999999983</v>
      </c>
      <c r="AU803" s="1351">
        <f t="shared" si="1557"/>
        <v>279.70</v>
      </c>
      <c r="AV803" s="1047">
        <f t="shared" si="1557"/>
        <v>71.099999999999994</v>
      </c>
      <c r="AW803" s="1047">
        <f t="shared" si="1558"/>
        <v>78.50</v>
      </c>
      <c r="AX803" s="1047">
        <f t="shared" si="1558"/>
        <v>77.900000000000006</v>
      </c>
      <c r="AY803" s="1047">
        <f t="shared" si="1558"/>
        <v>78.100000000000023</v>
      </c>
      <c r="AZ803" s="1351">
        <f t="shared" si="1566" ref="AZ803:BA803">AZ737</f>
        <v>305.60000000000002</v>
      </c>
      <c r="BA803" s="1047">
        <f t="shared" si="1566"/>
        <v>68</v>
      </c>
      <c r="BB803" s="1047">
        <f t="shared" si="1560"/>
        <v>72.599999999999994</v>
      </c>
      <c r="BC803" s="1047">
        <f t="shared" si="1560"/>
        <v>71.400000000000006</v>
      </c>
      <c r="BD803" s="1047">
        <f t="shared" si="1561"/>
        <v>73.50</v>
      </c>
      <c r="BE803" s="1351">
        <f t="shared" si="1567" ref="BE803:BF803">BE737</f>
        <v>285.50</v>
      </c>
      <c r="BF803" s="1047">
        <f t="shared" si="1567"/>
        <v>69.70</v>
      </c>
      <c r="BG803" s="1047">
        <f t="shared" si="1563"/>
        <v>67.80</v>
      </c>
      <c r="BH803" s="1048">
        <f t="shared" si="1563"/>
        <v>70.699999999999989</v>
      </c>
      <c r="BI803" s="1044">
        <f>-BI870</f>
        <v>45.882360655737706</v>
      </c>
      <c r="BJ803" s="1350">
        <f t="shared" si="1564"/>
        <v>254.08236065573769</v>
      </c>
      <c r="BK803" s="1044">
        <f>-BK870</f>
        <v>46.25708410509769</v>
      </c>
      <c r="BL803" s="1044">
        <f>-BL870</f>
        <v>48.009367916691666</v>
      </c>
      <c r="BM803" s="1044">
        <f>-BM870</f>
        <v>49.671824512114767</v>
      </c>
      <c r="BN803" s="1044">
        <f>-BN870</f>
        <v>50.695662644702828</v>
      </c>
      <c r="BO803" s="1350">
        <f t="shared" si="1565"/>
        <v>194.63393917860694</v>
      </c>
      <c r="BP803" s="1351">
        <f>-BP870</f>
        <v>204.92018054389871</v>
      </c>
      <c r="BQ803" s="1351">
        <f>-BQ870</f>
        <v>219.51633269976554</v>
      </c>
      <c r="BR803" s="1350">
        <f>-BR870</f>
        <v>230.24450453432766</v>
      </c>
      <c r="BS803" s="648"/>
    </row>
    <row r="804" spans="1:71" s="686" customFormat="1" ht="15">
      <c r="A804" s="999" t="str">
        <f t="shared" si="1540"/>
        <v>Amortization of intangible assets</v>
      </c>
      <c r="B804" s="321"/>
      <c r="C804" s="1351">
        <f t="shared" si="1541"/>
        <v>0</v>
      </c>
      <c r="D804" s="1351">
        <f t="shared" si="1541"/>
        <v>0</v>
      </c>
      <c r="E804" s="1351">
        <f t="shared" si="1541"/>
        <v>0</v>
      </c>
      <c r="F804" s="1351">
        <f t="shared" si="1541"/>
        <v>0</v>
      </c>
      <c r="G804" s="1351">
        <f t="shared" si="1541"/>
        <v>0</v>
      </c>
      <c r="H804" s="1047">
        <f t="shared" si="1541"/>
        <v>0</v>
      </c>
      <c r="I804" s="1047">
        <f t="shared" si="1542"/>
        <v>0</v>
      </c>
      <c r="J804" s="1047">
        <f t="shared" si="1542"/>
        <v>0</v>
      </c>
      <c r="K804" s="1047">
        <f t="shared" si="1542"/>
        <v>0</v>
      </c>
      <c r="L804" s="1351">
        <f t="shared" si="1543"/>
        <v>0</v>
      </c>
      <c r="M804" s="1047">
        <f t="shared" si="1543"/>
        <v>0</v>
      </c>
      <c r="N804" s="1047">
        <f t="shared" si="1544"/>
        <v>15.70</v>
      </c>
      <c r="O804" s="1047">
        <f t="shared" si="1544"/>
        <v>15.50</v>
      </c>
      <c r="P804" s="1047">
        <f t="shared" si="1544"/>
        <v>15.599999999999998</v>
      </c>
      <c r="Q804" s="1351">
        <f t="shared" si="1545"/>
        <v>46.80</v>
      </c>
      <c r="R804" s="1047">
        <f t="shared" si="1545"/>
        <v>15.50</v>
      </c>
      <c r="S804" s="1047">
        <f t="shared" si="1546"/>
        <v>15.60</v>
      </c>
      <c r="T804" s="1047">
        <f t="shared" si="1546"/>
        <v>15.50</v>
      </c>
      <c r="U804" s="1047">
        <f t="shared" si="1546"/>
        <v>15.50</v>
      </c>
      <c r="V804" s="1351">
        <f t="shared" si="1547"/>
        <v>62.10</v>
      </c>
      <c r="W804" s="1047">
        <f t="shared" si="1547"/>
        <v>15.50</v>
      </c>
      <c r="X804" s="1047">
        <f t="shared" si="1548"/>
        <v>15.50</v>
      </c>
      <c r="Y804" s="1047">
        <f t="shared" si="1548"/>
        <v>17.200000000000003</v>
      </c>
      <c r="Z804" s="1047">
        <f t="shared" si="1548"/>
        <v>18</v>
      </c>
      <c r="AA804" s="1351">
        <f t="shared" si="1549"/>
        <v>66.20</v>
      </c>
      <c r="AB804" s="1047">
        <f t="shared" si="1549"/>
        <v>18</v>
      </c>
      <c r="AC804" s="1047">
        <f t="shared" si="1550"/>
        <v>18</v>
      </c>
      <c r="AD804" s="1047">
        <f t="shared" si="1550"/>
        <v>18</v>
      </c>
      <c r="AE804" s="1047">
        <f t="shared" si="1550"/>
        <v>18</v>
      </c>
      <c r="AF804" s="1351">
        <f t="shared" si="1551"/>
        <v>72</v>
      </c>
      <c r="AG804" s="1047">
        <f t="shared" si="1551"/>
        <v>17.90</v>
      </c>
      <c r="AH804" s="1047">
        <f t="shared" si="1552"/>
        <v>18</v>
      </c>
      <c r="AI804" s="1047">
        <f t="shared" si="1552"/>
        <v>15.800000000000004</v>
      </c>
      <c r="AJ804" s="1047">
        <f t="shared" si="1552"/>
        <v>14.599999999999994</v>
      </c>
      <c r="AK804" s="1351">
        <f t="shared" si="1553"/>
        <v>66.30</v>
      </c>
      <c r="AL804" s="1047">
        <f t="shared" si="1553"/>
        <v>14.50</v>
      </c>
      <c r="AM804" s="1047">
        <f t="shared" si="1554"/>
        <v>14.10</v>
      </c>
      <c r="AN804" s="1047">
        <f t="shared" si="1554"/>
        <v>14.199999999999996</v>
      </c>
      <c r="AO804" s="1047">
        <f t="shared" si="1554"/>
        <v>14.10</v>
      </c>
      <c r="AP804" s="1351">
        <f t="shared" si="1555"/>
        <v>56.90</v>
      </c>
      <c r="AQ804" s="1047">
        <f t="shared" si="1555"/>
        <v>14.20</v>
      </c>
      <c r="AR804" s="1047">
        <f t="shared" si="1556"/>
        <v>14.30</v>
      </c>
      <c r="AS804" s="1047">
        <f t="shared" si="1556"/>
        <v>14.60</v>
      </c>
      <c r="AT804" s="1047">
        <f t="shared" si="1556"/>
        <v>14.60</v>
      </c>
      <c r="AU804" s="1351">
        <f t="shared" si="1557"/>
        <v>57.70</v>
      </c>
      <c r="AV804" s="1047">
        <f t="shared" si="1557"/>
        <v>14.60</v>
      </c>
      <c r="AW804" s="1047">
        <f t="shared" si="1558"/>
        <v>5.5000000000000018</v>
      </c>
      <c r="AX804" s="1047">
        <f t="shared" si="1558"/>
        <v>5.3999999999999986</v>
      </c>
      <c r="AY804" s="1047">
        <f t="shared" si="1558"/>
        <v>5.50</v>
      </c>
      <c r="AZ804" s="1351">
        <f t="shared" si="1568" ref="AZ804:BA804">AZ738</f>
        <v>31</v>
      </c>
      <c r="BA804" s="1047">
        <f t="shared" si="1568"/>
        <v>5.40</v>
      </c>
      <c r="BB804" s="1047">
        <f t="shared" si="1560"/>
        <v>3.0999999999999996</v>
      </c>
      <c r="BC804" s="1047">
        <f t="shared" si="1560"/>
        <v>2.9000000000000004</v>
      </c>
      <c r="BD804" s="1047">
        <f t="shared" si="1561"/>
        <v>2.7999999999999989</v>
      </c>
      <c r="BE804" s="1351">
        <f t="shared" si="1569" ref="BE804:BF804">BE738</f>
        <v>14.20</v>
      </c>
      <c r="BF804" s="1047">
        <f t="shared" si="1569"/>
        <v>0</v>
      </c>
      <c r="BG804" s="1047">
        <f t="shared" si="1563"/>
        <v>0</v>
      </c>
      <c r="BH804" s="1048">
        <f t="shared" si="1563"/>
        <v>0</v>
      </c>
      <c r="BI804" s="1044">
        <f>-BI876</f>
        <v>0</v>
      </c>
      <c r="BJ804" s="1350">
        <f t="shared" si="1564"/>
        <v>0</v>
      </c>
      <c r="BK804" s="1044">
        <f>-BK876</f>
        <v>0</v>
      </c>
      <c r="BL804" s="1044">
        <f>-BL876</f>
        <v>0</v>
      </c>
      <c r="BM804" s="1044">
        <f>-BM876</f>
        <v>0</v>
      </c>
      <c r="BN804" s="1044">
        <f>-BN876</f>
        <v>0</v>
      </c>
      <c r="BO804" s="1350">
        <f t="shared" si="1565"/>
        <v>0</v>
      </c>
      <c r="BP804" s="1351">
        <f>-BP876</f>
        <v>0</v>
      </c>
      <c r="BQ804" s="1351">
        <f>-BQ876</f>
        <v>0</v>
      </c>
      <c r="BR804" s="1350">
        <f>-BR876</f>
        <v>0</v>
      </c>
      <c r="BS804" s="648"/>
    </row>
    <row r="805" spans="1:71" s="686" customFormat="1" ht="15">
      <c r="A805" s="999" t="str">
        <f t="shared" si="1540"/>
        <v>Net Amortization of fixed-income securities</v>
      </c>
      <c r="B805" s="321"/>
      <c r="C805" s="1351">
        <f t="shared" si="1541"/>
        <v>230.80</v>
      </c>
      <c r="D805" s="1351">
        <f t="shared" si="1541"/>
        <v>229.20</v>
      </c>
      <c r="E805" s="1351">
        <f t="shared" si="1541"/>
        <v>233</v>
      </c>
      <c r="F805" s="1351">
        <f t="shared" si="1541"/>
        <v>186.70</v>
      </c>
      <c r="G805" s="1351">
        <f t="shared" si="1541"/>
        <v>134</v>
      </c>
      <c r="H805" s="1047">
        <f t="shared" si="1541"/>
        <v>19</v>
      </c>
      <c r="I805" s="1047">
        <f t="shared" si="1542"/>
        <v>19.10</v>
      </c>
      <c r="J805" s="1047">
        <f t="shared" si="1542"/>
        <v>21.40</v>
      </c>
      <c r="K805" s="1047">
        <f t="shared" si="1542"/>
        <v>18.700000000000003</v>
      </c>
      <c r="L805" s="1351">
        <f t="shared" si="1543"/>
        <v>78.20</v>
      </c>
      <c r="M805" s="1047">
        <f t="shared" si="1543"/>
        <v>17.30</v>
      </c>
      <c r="N805" s="1047">
        <f t="shared" si="1544"/>
        <v>26.20</v>
      </c>
      <c r="O805" s="1047">
        <f t="shared" si="1544"/>
        <v>27.700000000000003</v>
      </c>
      <c r="P805" s="1047">
        <f t="shared" si="1544"/>
        <v>27.200000000000003</v>
      </c>
      <c r="Q805" s="1351">
        <f t="shared" si="1545"/>
        <v>98.40</v>
      </c>
      <c r="R805" s="1047">
        <f t="shared" si="1545"/>
        <v>20.50</v>
      </c>
      <c r="S805" s="1047">
        <f t="shared" si="1546"/>
        <v>21.60</v>
      </c>
      <c r="T805" s="1047">
        <f t="shared" si="1546"/>
        <v>15</v>
      </c>
      <c r="U805" s="1047">
        <f t="shared" si="1546"/>
        <v>20.10</v>
      </c>
      <c r="V805" s="1351">
        <f t="shared" si="1547"/>
        <v>77.20</v>
      </c>
      <c r="W805" s="1047">
        <f t="shared" si="1547"/>
        <v>22.10</v>
      </c>
      <c r="X805" s="1047">
        <f t="shared" si="1548"/>
        <v>22</v>
      </c>
      <c r="Y805" s="1047">
        <f t="shared" si="1548"/>
        <v>23.40</v>
      </c>
      <c r="Z805" s="1047">
        <f t="shared" si="1548"/>
        <v>18.700000000000003</v>
      </c>
      <c r="AA805" s="1351">
        <f t="shared" si="1549"/>
        <v>86.20</v>
      </c>
      <c r="AB805" s="1047">
        <f t="shared" si="1549"/>
        <v>15</v>
      </c>
      <c r="AC805" s="1047">
        <f t="shared" si="1550"/>
        <v>8.1999999999999993</v>
      </c>
      <c r="AD805" s="1047">
        <f t="shared" si="1550"/>
        <v>6.50</v>
      </c>
      <c r="AE805" s="1047">
        <f t="shared" si="1550"/>
        <v>4.5999999999999979</v>
      </c>
      <c r="AF805" s="1351">
        <f t="shared" si="1551"/>
        <v>34.299999999999997</v>
      </c>
      <c r="AG805" s="1047">
        <f t="shared" si="1551"/>
        <v>0.20</v>
      </c>
      <c r="AH805" s="1047">
        <f t="shared" si="1552"/>
        <v>1.70</v>
      </c>
      <c r="AI805" s="1047">
        <f t="shared" si="1552"/>
        <v>12.20</v>
      </c>
      <c r="AJ805" s="1047">
        <f t="shared" si="1552"/>
        <v>19.199999999999996</v>
      </c>
      <c r="AK805" s="1351">
        <f t="shared" si="1553"/>
        <v>33.299999999999997</v>
      </c>
      <c r="AL805" s="1047">
        <f t="shared" si="1553"/>
        <v>18.90</v>
      </c>
      <c r="AM805" s="1047">
        <f t="shared" si="1554"/>
        <v>23.60</v>
      </c>
      <c r="AN805" s="1047">
        <f t="shared" si="1554"/>
        <v>29.900000000000006</v>
      </c>
      <c r="AO805" s="1047">
        <f t="shared" si="1554"/>
        <v>28.50</v>
      </c>
      <c r="AP805" s="1351">
        <f t="shared" si="1555"/>
        <v>100.90000000000001</v>
      </c>
      <c r="AQ805" s="1047">
        <f t="shared" si="1555"/>
        <v>31.70</v>
      </c>
      <c r="AR805" s="1047">
        <f t="shared" si="1556"/>
        <v>30.40</v>
      </c>
      <c r="AS805" s="1047">
        <f t="shared" si="1556"/>
        <v>35.10</v>
      </c>
      <c r="AT805" s="1047">
        <f t="shared" si="1556"/>
        <v>33.100000000000009</v>
      </c>
      <c r="AU805" s="1351">
        <f t="shared" si="1557"/>
        <v>130.30000000000001</v>
      </c>
      <c r="AV805" s="1047">
        <f t="shared" si="1557"/>
        <v>27</v>
      </c>
      <c r="AW805" s="1047">
        <f t="shared" si="1558"/>
        <v>2.1999999999999993</v>
      </c>
      <c r="AX805" s="1047">
        <f t="shared" si="1558"/>
        <v>-27.60</v>
      </c>
      <c r="AY805" s="1047">
        <f t="shared" si="1558"/>
        <v>-26.80</v>
      </c>
      <c r="AZ805" s="1351">
        <f t="shared" si="1570" ref="AZ805:BA805">AZ739</f>
        <v>-25.20</v>
      </c>
      <c r="BA805" s="1047">
        <f t="shared" si="1570"/>
        <v>-5</v>
      </c>
      <c r="BB805" s="1047">
        <f t="shared" si="1560"/>
        <v>-0.50</v>
      </c>
      <c r="BC805" s="1047">
        <f t="shared" si="1560"/>
        <v>-2.0999999999999996</v>
      </c>
      <c r="BD805" s="1047">
        <f t="shared" si="1561"/>
        <v>49</v>
      </c>
      <c r="BE805" s="1351">
        <f t="shared" si="1571" ref="BE805:BF805">BE739</f>
        <v>41.40</v>
      </c>
      <c r="BF805" s="1047">
        <f t="shared" si="1571"/>
        <v>-7.50</v>
      </c>
      <c r="BG805" s="1047">
        <f t="shared" si="1563"/>
        <v>-12.60</v>
      </c>
      <c r="BH805" s="1048">
        <f t="shared" si="1563"/>
        <v>-3.3999999999999986</v>
      </c>
      <c r="BI805" s="1044"/>
      <c r="BJ805" s="1350">
        <f t="shared" si="1564"/>
        <v>-23.50</v>
      </c>
      <c r="BK805" s="1044"/>
      <c r="BL805" s="1044"/>
      <c r="BM805" s="1044"/>
      <c r="BN805" s="1044"/>
      <c r="BO805" s="1350">
        <f t="shared" si="1565"/>
        <v>0</v>
      </c>
      <c r="BP805" s="1351"/>
      <c r="BQ805" s="1351"/>
      <c r="BR805" s="1350"/>
      <c r="BS805" s="648"/>
    </row>
    <row r="806" spans="1:71" s="686" customFormat="1" ht="15">
      <c r="A806" s="999" t="str">
        <f t="shared" si="1540"/>
        <v>Amortization of equity-based compensation</v>
      </c>
      <c r="B806" s="321"/>
      <c r="C806" s="1351">
        <f t="shared" si="1541"/>
        <v>40.299999999999997</v>
      </c>
      <c r="D806" s="1351">
        <f t="shared" si="1541"/>
        <v>45.90</v>
      </c>
      <c r="E806" s="1351">
        <f t="shared" si="1541"/>
        <v>50.50</v>
      </c>
      <c r="F806" s="1351">
        <f t="shared" si="1541"/>
        <v>63.40</v>
      </c>
      <c r="G806" s="1351">
        <f t="shared" si="1541"/>
        <v>64.900000000000006</v>
      </c>
      <c r="H806" s="1047">
        <f t="shared" si="1541"/>
        <v>15.20</v>
      </c>
      <c r="I806" s="1047">
        <f t="shared" si="1542"/>
        <v>14.60</v>
      </c>
      <c r="J806" s="1047">
        <f t="shared" si="1542"/>
        <v>8.5999999999999979</v>
      </c>
      <c r="K806" s="1047">
        <f t="shared" si="1542"/>
        <v>13</v>
      </c>
      <c r="L806" s="1351">
        <f t="shared" si="1543"/>
        <v>51.40</v>
      </c>
      <c r="M806" s="1047">
        <f t="shared" si="1543"/>
        <v>13.10</v>
      </c>
      <c r="N806" s="1047">
        <f t="shared" si="1544"/>
        <v>13.40</v>
      </c>
      <c r="O806" s="1047">
        <f t="shared" si="1544"/>
        <v>19.40</v>
      </c>
      <c r="P806" s="1047">
        <f t="shared" si="1544"/>
        <v>20.300000000000004</v>
      </c>
      <c r="Q806" s="1351">
        <f t="shared" si="1545"/>
        <v>66.20</v>
      </c>
      <c r="R806" s="1047">
        <f t="shared" si="1545"/>
        <v>12.80</v>
      </c>
      <c r="S806" s="1047">
        <f t="shared" si="1546"/>
        <v>29.30</v>
      </c>
      <c r="T806" s="1047">
        <f t="shared" si="1546"/>
        <v>22.499999999999993</v>
      </c>
      <c r="U806" s="1047">
        <f t="shared" si="1546"/>
        <v>20.600000000000009</v>
      </c>
      <c r="V806" s="1351">
        <f t="shared" si="1547"/>
        <v>85.20</v>
      </c>
      <c r="W806" s="1047">
        <f t="shared" si="1547"/>
        <v>30.90</v>
      </c>
      <c r="X806" s="1047">
        <f t="shared" si="1548"/>
        <v>23</v>
      </c>
      <c r="Y806" s="1047">
        <f t="shared" si="1548"/>
        <v>22.699999999999996</v>
      </c>
      <c r="Z806" s="1047">
        <f t="shared" si="1548"/>
        <v>18.800000000000011</v>
      </c>
      <c r="AA806" s="1351">
        <f t="shared" si="1549"/>
        <v>95.40</v>
      </c>
      <c r="AB806" s="1047">
        <f t="shared" si="1549"/>
        <v>17.40</v>
      </c>
      <c r="AC806" s="1047">
        <f t="shared" si="1550"/>
        <v>21.10</v>
      </c>
      <c r="AD806" s="1047">
        <f t="shared" si="1550"/>
        <v>15.50</v>
      </c>
      <c r="AE806" s="1047">
        <f t="shared" si="1550"/>
        <v>23.200000000000003</v>
      </c>
      <c r="AF806" s="1351">
        <f t="shared" si="1551"/>
        <v>77.20</v>
      </c>
      <c r="AG806" s="1047">
        <f t="shared" si="1551"/>
        <v>19.20</v>
      </c>
      <c r="AH806" s="1047">
        <f t="shared" si="1552"/>
        <v>26.80</v>
      </c>
      <c r="AI806" s="1047">
        <f t="shared" si="1552"/>
        <v>18.700000000000003</v>
      </c>
      <c r="AJ806" s="1047">
        <f t="shared" si="1552"/>
        <v>25.50</v>
      </c>
      <c r="AK806" s="1351">
        <f t="shared" si="1553"/>
        <v>90.20</v>
      </c>
      <c r="AL806" s="1047">
        <f t="shared" si="1553"/>
        <v>23.30</v>
      </c>
      <c r="AM806" s="1047">
        <f t="shared" si="1554"/>
        <v>21.90</v>
      </c>
      <c r="AN806" s="1047">
        <f t="shared" si="1554"/>
        <v>16.699999999999996</v>
      </c>
      <c r="AO806" s="1047">
        <f t="shared" si="1554"/>
        <v>27.500000000000007</v>
      </c>
      <c r="AP806" s="1351">
        <f t="shared" si="1555"/>
        <v>89.40</v>
      </c>
      <c r="AQ806" s="1047">
        <f t="shared" si="1555"/>
        <v>15.80</v>
      </c>
      <c r="AR806" s="1047">
        <f t="shared" si="1556"/>
        <v>26.90</v>
      </c>
      <c r="AS806" s="1047">
        <f t="shared" si="1556"/>
        <v>26</v>
      </c>
      <c r="AT806" s="1047">
        <f t="shared" si="1556"/>
        <v>32</v>
      </c>
      <c r="AU806" s="1351">
        <f t="shared" si="1557"/>
        <v>100.70</v>
      </c>
      <c r="AV806" s="1047">
        <f t="shared" si="1557"/>
        <v>17.30</v>
      </c>
      <c r="AW806" s="1047">
        <f t="shared" si="1558"/>
        <v>26.40</v>
      </c>
      <c r="AX806" s="1047">
        <f t="shared" si="1558"/>
        <v>26</v>
      </c>
      <c r="AY806" s="1047">
        <f t="shared" si="1558"/>
        <v>53</v>
      </c>
      <c r="AZ806" s="1351">
        <f t="shared" si="1572" ref="AZ806:BA806">AZ740</f>
        <v>122.70</v>
      </c>
      <c r="BA806" s="1047">
        <f t="shared" si="1572"/>
        <v>15.90</v>
      </c>
      <c r="BB806" s="1047">
        <f t="shared" si="1560"/>
        <v>27.90</v>
      </c>
      <c r="BC806" s="1047">
        <f t="shared" si="1560"/>
        <v>42.900000000000006</v>
      </c>
      <c r="BD806" s="1047">
        <f t="shared" si="1561"/>
        <v>34.599999999999994</v>
      </c>
      <c r="BE806" s="1351">
        <f t="shared" si="1573" ref="BE806:BF806">BE740</f>
        <v>121.30</v>
      </c>
      <c r="BF806" s="1047">
        <f t="shared" si="1573"/>
        <v>16.80</v>
      </c>
      <c r="BG806" s="1047">
        <f t="shared" si="1563"/>
        <v>31.70</v>
      </c>
      <c r="BH806" s="1048">
        <f t="shared" si="1563"/>
        <v>37.299999999999997</v>
      </c>
      <c r="BI806" s="1044"/>
      <c r="BJ806" s="1350">
        <f t="shared" si="1564"/>
        <v>85.80</v>
      </c>
      <c r="BK806" s="1044"/>
      <c r="BL806" s="1044"/>
      <c r="BM806" s="1044"/>
      <c r="BN806" s="1044"/>
      <c r="BO806" s="1350">
        <f t="shared" si="1565"/>
        <v>0</v>
      </c>
      <c r="BP806" s="1351"/>
      <c r="BQ806" s="1351"/>
      <c r="BR806" s="1350"/>
      <c r="BS806" s="648"/>
    </row>
    <row r="807" spans="1:71" s="686" customFormat="1" ht="15">
      <c r="A807" s="999" t="str">
        <f t="shared" si="1540"/>
        <v>Net realized (gains) losses on securities</v>
      </c>
      <c r="B807" s="321"/>
      <c r="C807" s="1351">
        <f t="shared" si="1541"/>
        <v>-27.10</v>
      </c>
      <c r="D807" s="1351">
        <f t="shared" si="1541"/>
        <v>-96.10</v>
      </c>
      <c r="E807" s="1351">
        <f t="shared" si="1541"/>
        <v>-102.59999999999999</v>
      </c>
      <c r="F807" s="1351">
        <f t="shared" si="1541"/>
        <v>-306.80</v>
      </c>
      <c r="G807" s="1351">
        <f t="shared" si="1541"/>
        <v>-318.39999999999998</v>
      </c>
      <c r="H807" s="1047">
        <f t="shared" si="1541"/>
        <v>-119.40000000000001</v>
      </c>
      <c r="I807" s="1047">
        <f t="shared" si="1542"/>
        <v>-40.400000000000006</v>
      </c>
      <c r="J807" s="1047">
        <f t="shared" si="1542"/>
        <v>-38.199999999999989</v>
      </c>
      <c r="K807" s="1047">
        <f t="shared" si="1542"/>
        <v>-26.199999999999989</v>
      </c>
      <c r="L807" s="1351">
        <f t="shared" si="1543"/>
        <v>-224.20</v>
      </c>
      <c r="M807" s="1047">
        <f t="shared" si="1543"/>
        <v>-33</v>
      </c>
      <c r="N807" s="1047">
        <f t="shared" si="1544"/>
        <v>-76</v>
      </c>
      <c r="O807" s="1047">
        <f t="shared" si="1544"/>
        <v>15.799999999999997</v>
      </c>
      <c r="P807" s="1047">
        <f t="shared" si="1544"/>
        <v>-19.50</v>
      </c>
      <c r="Q807" s="1351">
        <f t="shared" si="1545"/>
        <v>-112.70</v>
      </c>
      <c r="R807" s="1047">
        <f t="shared" si="1545"/>
        <v>-17.40</v>
      </c>
      <c r="S807" s="1047">
        <f t="shared" si="1546"/>
        <v>-32.300000000000004</v>
      </c>
      <c r="T807" s="1047">
        <f t="shared" si="1546"/>
        <v>20.700000000000003</v>
      </c>
      <c r="U807" s="1047">
        <f t="shared" si="1546"/>
        <v>-22.10</v>
      </c>
      <c r="V807" s="1351">
        <f t="shared" si="1547"/>
        <v>-51.10</v>
      </c>
      <c r="W807" s="1047">
        <f t="shared" si="1547"/>
        <v>-51.90</v>
      </c>
      <c r="X807" s="1047">
        <f t="shared" si="1548"/>
        <v>-32.10</v>
      </c>
      <c r="Y807" s="1047">
        <f t="shared" si="1548"/>
        <v>24.700000000000003</v>
      </c>
      <c r="Z807" s="1047">
        <f t="shared" si="1548"/>
        <v>9.6999999999999957</v>
      </c>
      <c r="AA807" s="1351">
        <f t="shared" si="1549"/>
        <v>-49.60</v>
      </c>
      <c r="AB807" s="1047">
        <f t="shared" si="1549"/>
        <v>48.20</v>
      </c>
      <c r="AC807" s="1047">
        <f t="shared" si="1550"/>
        <v>-32.800000000000004</v>
      </c>
      <c r="AD807" s="1047">
        <f t="shared" si="1550"/>
        <v>-182.10</v>
      </c>
      <c r="AE807" s="1047">
        <f t="shared" si="1550"/>
        <v>572.20000000000005</v>
      </c>
      <c r="AF807" s="1351">
        <f t="shared" si="1551"/>
        <v>405.50</v>
      </c>
      <c r="AG807" s="1047">
        <f t="shared" si="1551"/>
        <v>-414.50</v>
      </c>
      <c r="AH807" s="1047">
        <f t="shared" si="1552"/>
        <v>-179.89999999999998</v>
      </c>
      <c r="AI807" s="1047">
        <f t="shared" si="1552"/>
        <v>-65.399999999999977</v>
      </c>
      <c r="AJ807" s="1047">
        <f t="shared" si="1552"/>
        <v>-369.40000000000009</v>
      </c>
      <c r="AK807" s="1351">
        <f t="shared" si="1553"/>
        <v>-1029.20</v>
      </c>
      <c r="AL807" s="1047">
        <f t="shared" si="1553"/>
        <v>553.60</v>
      </c>
      <c r="AM807" s="1047">
        <f t="shared" si="1554"/>
        <v>-890.80</v>
      </c>
      <c r="AN807" s="1047">
        <f t="shared" si="1554"/>
        <v>-532.59999999999991</v>
      </c>
      <c r="AO807" s="1047">
        <f t="shared" si="1554"/>
        <v>-760.20</v>
      </c>
      <c r="AP807" s="1351">
        <f t="shared" si="1555"/>
        <v>-1630</v>
      </c>
      <c r="AQ807" s="1047">
        <f t="shared" si="1555"/>
        <v>-585.29999999999995</v>
      </c>
      <c r="AR807" s="1047">
        <f t="shared" si="1556"/>
        <v>-461.79999999999995</v>
      </c>
      <c r="AS807" s="1047">
        <f t="shared" si="1556"/>
        <v>-36.800000000000182</v>
      </c>
      <c r="AT807" s="1047">
        <f t="shared" si="1556"/>
        <v>-425.29999999999995</v>
      </c>
      <c r="AU807" s="1351">
        <f t="shared" si="1557"/>
        <v>-1509.20</v>
      </c>
      <c r="AV807" s="1047">
        <f t="shared" si="1557"/>
        <v>445.30</v>
      </c>
      <c r="AW807" s="1047">
        <f t="shared" si="1558"/>
        <v>1177.70</v>
      </c>
      <c r="AX807" s="1047">
        <f t="shared" si="1558"/>
        <v>216.40000000000009</v>
      </c>
      <c r="AY807" s="1047">
        <f t="shared" si="1558"/>
        <v>72.799999999999955</v>
      </c>
      <c r="AZ807" s="1351">
        <f t="shared" si="1574" ref="AZ807:BA807">AZ741</f>
        <v>1912.20</v>
      </c>
      <c r="BA807" s="1047">
        <f t="shared" si="1574"/>
        <v>-71.80</v>
      </c>
      <c r="BB807" s="1047">
        <f t="shared" si="1560"/>
        <v>-126.89999999999999</v>
      </c>
      <c r="BC807" s="1047">
        <f t="shared" si="1560"/>
        <v>149</v>
      </c>
      <c r="BD807" s="1047">
        <f t="shared" si="1561"/>
        <v>-303.40000000000003</v>
      </c>
      <c r="BE807" s="1351">
        <f t="shared" si="1575" ref="BE807:BF807">BE741</f>
        <v>-353.10</v>
      </c>
      <c r="BF807" s="1047">
        <f t="shared" si="1575"/>
        <v>-155.59999999999999</v>
      </c>
      <c r="BG807" s="1047">
        <f t="shared" si="1563"/>
        <v>126.30</v>
      </c>
      <c r="BH807" s="1048">
        <f t="shared" si="1563"/>
        <v>-287.39999999999998</v>
      </c>
      <c r="BI807" s="1044"/>
      <c r="BJ807" s="1350">
        <f t="shared" si="1564"/>
        <v>-316.70</v>
      </c>
      <c r="BK807" s="1044"/>
      <c r="BL807" s="1044"/>
      <c r="BM807" s="1044"/>
      <c r="BN807" s="1044"/>
      <c r="BO807" s="1350">
        <f t="shared" si="1565"/>
        <v>0</v>
      </c>
      <c r="BP807" s="1351"/>
      <c r="BQ807" s="1351"/>
      <c r="BR807" s="1350"/>
      <c r="BS807" s="648"/>
    </row>
    <row r="808" spans="1:71" s="686" customFormat="1" ht="15">
      <c r="A808" s="999" t="str">
        <f t="shared" si="1540"/>
        <v>Net (gains) losses on disposition of property and equipment</v>
      </c>
      <c r="B808" s="321"/>
      <c r="C808" s="1351">
        <f t="shared" si="1541"/>
        <v>13.30</v>
      </c>
      <c r="D808" s="1351">
        <f t="shared" si="1541"/>
        <v>2.2999999999999998</v>
      </c>
      <c r="E808" s="1351">
        <f t="shared" si="1541"/>
        <v>8.6999999999999993</v>
      </c>
      <c r="F808" s="1351">
        <f t="shared" si="1541"/>
        <v>7.10</v>
      </c>
      <c r="G808" s="1351">
        <f t="shared" si="1541"/>
        <v>5.60</v>
      </c>
      <c r="H808" s="1047">
        <f t="shared" si="1541"/>
        <v>2.10</v>
      </c>
      <c r="I808" s="1047">
        <f t="shared" si="1542"/>
        <v>1.1999999999999997</v>
      </c>
      <c r="J808" s="1047">
        <f t="shared" si="1542"/>
        <v>0.90000000000000036</v>
      </c>
      <c r="K808" s="1047">
        <f t="shared" si="1542"/>
        <v>1.2000000000000002</v>
      </c>
      <c r="L808" s="1351">
        <f t="shared" si="1543"/>
        <v>5.40</v>
      </c>
      <c r="M808" s="1047">
        <f t="shared" si="1543"/>
        <v>0.10000000000000001</v>
      </c>
      <c r="N808" s="1047">
        <f t="shared" si="1544"/>
        <v>0.60</v>
      </c>
      <c r="O808" s="1047">
        <f t="shared" si="1544"/>
        <v>-0.19999999999999996</v>
      </c>
      <c r="P808" s="1047">
        <f t="shared" si="1544"/>
        <v>1.50</v>
      </c>
      <c r="Q808" s="1351">
        <f t="shared" si="1545"/>
        <v>2</v>
      </c>
      <c r="R808" s="1047">
        <f t="shared" si="1545"/>
        <v>0.10000000000000001</v>
      </c>
      <c r="S808" s="1047">
        <f t="shared" si="1546"/>
        <v>1.0999999999999999</v>
      </c>
      <c r="T808" s="1047">
        <f t="shared" si="1546"/>
        <v>2.8999999999999995</v>
      </c>
      <c r="U808" s="1047">
        <f t="shared" si="1546"/>
        <v>2.50</v>
      </c>
      <c r="V808" s="1351">
        <f t="shared" si="1547"/>
        <v>6.60</v>
      </c>
      <c r="W808" s="1047">
        <f t="shared" si="1547"/>
        <v>1.30</v>
      </c>
      <c r="X808" s="1047">
        <f t="shared" si="1548"/>
        <v>1.90</v>
      </c>
      <c r="Y808" s="1047">
        <f t="shared" si="1548"/>
        <v>2.0999999999999996</v>
      </c>
      <c r="Z808" s="1047">
        <f t="shared" si="1548"/>
        <v>1.9000000000000004</v>
      </c>
      <c r="AA808" s="1351">
        <f t="shared" si="1549"/>
        <v>7.20</v>
      </c>
      <c r="AB808" s="1047">
        <f t="shared" si="1549"/>
        <v>1.20</v>
      </c>
      <c r="AC808" s="1047">
        <f t="shared" si="1550"/>
        <v>0.50</v>
      </c>
      <c r="AD808" s="1047">
        <f t="shared" si="1550"/>
        <v>5.70</v>
      </c>
      <c r="AE808" s="1047">
        <f t="shared" si="1550"/>
        <v>24.700000000000003</v>
      </c>
      <c r="AF808" s="1351">
        <f t="shared" si="1551"/>
        <v>32.10</v>
      </c>
      <c r="AG808" s="1047">
        <f t="shared" si="1551"/>
        <v>5.0999999999999996</v>
      </c>
      <c r="AH808" s="1047">
        <f t="shared" si="1552"/>
        <v>-6.6999999999999993</v>
      </c>
      <c r="AI808" s="1047">
        <f t="shared" si="1552"/>
        <v>1.50</v>
      </c>
      <c r="AJ808" s="1047">
        <f t="shared" si="1552"/>
        <v>11.10</v>
      </c>
      <c r="AK808" s="1351">
        <f t="shared" si="1553"/>
        <v>11</v>
      </c>
      <c r="AL808" s="1047">
        <f t="shared" si="1553"/>
        <v>0.10000000000000001</v>
      </c>
      <c r="AM808" s="1047">
        <f t="shared" si="1554"/>
        <v>1.70</v>
      </c>
      <c r="AN808" s="1047">
        <f t="shared" si="1554"/>
        <v>3</v>
      </c>
      <c r="AO808" s="1047">
        <f t="shared" si="1554"/>
        <v>7.70</v>
      </c>
      <c r="AP808" s="1351">
        <f t="shared" si="1555"/>
        <v>12.50</v>
      </c>
      <c r="AQ808" s="1047">
        <f t="shared" si="1555"/>
        <v>-1.1000000000000001</v>
      </c>
      <c r="AR808" s="1047">
        <f t="shared" si="1556"/>
        <v>1.60</v>
      </c>
      <c r="AS808" s="1047">
        <f t="shared" si="1556"/>
        <v>-4.50</v>
      </c>
      <c r="AT808" s="1047">
        <f t="shared" si="1556"/>
        <v>0.39999999999999991</v>
      </c>
      <c r="AU808" s="1351">
        <f t="shared" si="1557"/>
        <v>-3.60</v>
      </c>
      <c r="AV808" s="1047">
        <f t="shared" si="1557"/>
        <v>3.30</v>
      </c>
      <c r="AW808" s="1047">
        <f t="shared" si="1558"/>
        <v>-1.2999999999999998</v>
      </c>
      <c r="AX808" s="1047">
        <f t="shared" si="1558"/>
        <v>3.30</v>
      </c>
      <c r="AY808" s="1047">
        <f t="shared" si="1558"/>
        <v>-5.90</v>
      </c>
      <c r="AZ808" s="1351">
        <f t="shared" si="1576" ref="AZ808:BA808">AZ742</f>
        <v>-0.60</v>
      </c>
      <c r="BA808" s="1047">
        <f t="shared" si="1576"/>
        <v>16.50</v>
      </c>
      <c r="BB808" s="1047">
        <f t="shared" si="1560"/>
        <v>-10.30</v>
      </c>
      <c r="BC808" s="1047">
        <f t="shared" si="1560"/>
        <v>16.80</v>
      </c>
      <c r="BD808" s="1047">
        <f t="shared" si="1561"/>
        <v>13.200000000000003</v>
      </c>
      <c r="BE808" s="1351">
        <f t="shared" si="1577" ref="BE808:BF808">BE742</f>
        <v>36.200000000000003</v>
      </c>
      <c r="BF808" s="1047">
        <f t="shared" si="1577"/>
        <v>-1.70</v>
      </c>
      <c r="BG808" s="1047">
        <f t="shared" si="1563"/>
        <v>0.59999999999999987</v>
      </c>
      <c r="BH808" s="1048">
        <f t="shared" si="1563"/>
        <v>-0.79999999999999982</v>
      </c>
      <c r="BI808" s="1044"/>
      <c r="BJ808" s="1350">
        <f t="shared" si="1564"/>
        <v>-1.90</v>
      </c>
      <c r="BK808" s="1044"/>
      <c r="BL808" s="1044"/>
      <c r="BM808" s="1044"/>
      <c r="BN808" s="1044"/>
      <c r="BO808" s="1350">
        <f t="shared" si="1565"/>
        <v>0</v>
      </c>
      <c r="BP808" s="1351"/>
      <c r="BQ808" s="1351"/>
      <c r="BR808" s="1350"/>
      <c r="BS808" s="648"/>
    </row>
    <row r="809" spans="1:71" s="686" customFormat="1" ht="15">
      <c r="A809" s="999" t="str">
        <f t="shared" si="1540"/>
        <v>Goodwill Impairment</v>
      </c>
      <c r="B809" s="321"/>
      <c r="C809" s="1351">
        <f t="shared" si="1541"/>
        <v>0</v>
      </c>
      <c r="D809" s="1351">
        <f t="shared" si="1541"/>
        <v>0</v>
      </c>
      <c r="E809" s="1351">
        <f t="shared" si="1541"/>
        <v>0</v>
      </c>
      <c r="F809" s="1351">
        <f t="shared" si="1541"/>
        <v>0</v>
      </c>
      <c r="G809" s="1351">
        <f t="shared" si="1541"/>
        <v>0</v>
      </c>
      <c r="H809" s="1047">
        <f t="shared" si="1541"/>
        <v>0</v>
      </c>
      <c r="I809" s="1047">
        <f t="shared" si="1542"/>
        <v>0</v>
      </c>
      <c r="J809" s="1047">
        <f t="shared" si="1542"/>
        <v>0</v>
      </c>
      <c r="K809" s="1047">
        <f t="shared" si="1542"/>
        <v>0</v>
      </c>
      <c r="L809" s="1351">
        <f t="shared" si="1543"/>
        <v>0</v>
      </c>
      <c r="M809" s="1047">
        <f t="shared" si="1543"/>
        <v>0</v>
      </c>
      <c r="N809" s="1047">
        <f t="shared" si="1544"/>
        <v>0</v>
      </c>
      <c r="O809" s="1047">
        <f t="shared" si="1544"/>
        <v>0</v>
      </c>
      <c r="P809" s="1047">
        <f t="shared" si="1544"/>
        <v>0</v>
      </c>
      <c r="Q809" s="1351">
        <f t="shared" si="1545"/>
        <v>0</v>
      </c>
      <c r="R809" s="1047">
        <f t="shared" si="1545"/>
        <v>0</v>
      </c>
      <c r="S809" s="1047">
        <f t="shared" si="1546"/>
        <v>0</v>
      </c>
      <c r="T809" s="1047">
        <f t="shared" si="1546"/>
        <v>0</v>
      </c>
      <c r="U809" s="1047">
        <f t="shared" si="1546"/>
        <v>0</v>
      </c>
      <c r="V809" s="1351">
        <f t="shared" si="1547"/>
        <v>0</v>
      </c>
      <c r="W809" s="1047">
        <f t="shared" si="1547"/>
        <v>0</v>
      </c>
      <c r="X809" s="1047">
        <f t="shared" si="1548"/>
        <v>0</v>
      </c>
      <c r="Y809" s="1047">
        <f t="shared" si="1548"/>
        <v>0</v>
      </c>
      <c r="Z809" s="1047">
        <f t="shared" si="1548"/>
        <v>0</v>
      </c>
      <c r="AA809" s="1351">
        <f t="shared" si="1549"/>
        <v>0</v>
      </c>
      <c r="AB809" s="1047">
        <f t="shared" si="1549"/>
        <v>0</v>
      </c>
      <c r="AC809" s="1047">
        <f t="shared" si="1550"/>
        <v>0</v>
      </c>
      <c r="AD809" s="1047">
        <f t="shared" si="1550"/>
        <v>0</v>
      </c>
      <c r="AE809" s="1047">
        <f t="shared" si="1550"/>
        <v>0</v>
      </c>
      <c r="AF809" s="1351">
        <f t="shared" si="1551"/>
        <v>0</v>
      </c>
      <c r="AG809" s="1047">
        <f t="shared" si="1551"/>
        <v>0</v>
      </c>
      <c r="AH809" s="1047">
        <f t="shared" si="1552"/>
        <v>0</v>
      </c>
      <c r="AI809" s="1047">
        <f t="shared" si="1552"/>
        <v>0</v>
      </c>
      <c r="AJ809" s="1047">
        <f t="shared" si="1552"/>
        <v>0</v>
      </c>
      <c r="AK809" s="1351">
        <f t="shared" si="1553"/>
        <v>0</v>
      </c>
      <c r="AL809" s="1047">
        <f t="shared" si="1553"/>
        <v>0</v>
      </c>
      <c r="AM809" s="1047">
        <f t="shared" si="1554"/>
        <v>0</v>
      </c>
      <c r="AN809" s="1047">
        <f t="shared" si="1554"/>
        <v>0</v>
      </c>
      <c r="AO809" s="1047">
        <f t="shared" si="1554"/>
        <v>0</v>
      </c>
      <c r="AP809" s="1351">
        <f t="shared" si="1555"/>
        <v>0</v>
      </c>
      <c r="AQ809" s="1047">
        <f t="shared" si="1555"/>
        <v>0</v>
      </c>
      <c r="AR809" s="1047">
        <f t="shared" si="1556"/>
        <v>0</v>
      </c>
      <c r="AS809" s="1047">
        <f t="shared" si="1556"/>
        <v>0</v>
      </c>
      <c r="AT809" s="1047">
        <f t="shared" si="1556"/>
        <v>0</v>
      </c>
      <c r="AU809" s="1351">
        <f t="shared" si="1557"/>
        <v>0</v>
      </c>
      <c r="AV809" s="1047">
        <f t="shared" si="1557"/>
        <v>0</v>
      </c>
      <c r="AW809" s="1047">
        <f t="shared" si="1558"/>
        <v>224.80</v>
      </c>
      <c r="AX809" s="1047">
        <f t="shared" si="1558"/>
        <v>0</v>
      </c>
      <c r="AY809" s="1047">
        <f t="shared" si="1558"/>
        <v>0</v>
      </c>
      <c r="AZ809" s="1351">
        <f t="shared" si="1578" ref="AZ809:BA809">AZ743</f>
        <v>224.80</v>
      </c>
      <c r="BA809" s="1047">
        <f t="shared" si="1578"/>
        <v>0</v>
      </c>
      <c r="BB809" s="1047">
        <f t="shared" si="1560"/>
        <v>0</v>
      </c>
      <c r="BC809" s="1047">
        <f t="shared" si="1560"/>
        <v>0</v>
      </c>
      <c r="BD809" s="1047">
        <f t="shared" si="1561"/>
        <v>0</v>
      </c>
      <c r="BE809" s="1351">
        <f t="shared" si="1579" ref="BE809:BF809">BE743</f>
        <v>0</v>
      </c>
      <c r="BF809" s="1047">
        <f t="shared" si="1579"/>
        <v>0</v>
      </c>
      <c r="BG809" s="1047">
        <f t="shared" si="1563"/>
        <v>0</v>
      </c>
      <c r="BH809" s="1048">
        <f t="shared" si="1563"/>
        <v>0</v>
      </c>
      <c r="BI809" s="1044"/>
      <c r="BJ809" s="1350">
        <f t="shared" si="1564"/>
        <v>0</v>
      </c>
      <c r="BK809" s="1044"/>
      <c r="BL809" s="1044"/>
      <c r="BM809" s="1044"/>
      <c r="BN809" s="1044"/>
      <c r="BO809" s="1350">
        <f t="shared" si="1565"/>
        <v>0</v>
      </c>
      <c r="BP809" s="1351"/>
      <c r="BQ809" s="1351"/>
      <c r="BR809" s="1350"/>
      <c r="BS809" s="648"/>
    </row>
    <row r="810" spans="1:71" s="686" customFormat="1" ht="15">
      <c r="A810" s="999" t="str">
        <f t="shared" si="1540"/>
        <v>(Gains) losses on extinguishment of debt</v>
      </c>
      <c r="B810" s="321"/>
      <c r="C810" s="1351">
        <f t="shared" si="1541"/>
        <v>0</v>
      </c>
      <c r="D810" s="1351">
        <f t="shared" si="1541"/>
        <v>-6.40</v>
      </c>
      <c r="E810" s="1351">
        <f t="shared" si="1541"/>
        <v>0.10000000000000001</v>
      </c>
      <c r="F810" s="1351">
        <f t="shared" si="1541"/>
        <v>1.80</v>
      </c>
      <c r="G810" s="1351">
        <f t="shared" si="1541"/>
        <v>4.30</v>
      </c>
      <c r="H810" s="1047">
        <f t="shared" si="1541"/>
        <v>0</v>
      </c>
      <c r="I810" s="1047">
        <f t="shared" si="1542"/>
        <v>0</v>
      </c>
      <c r="J810" s="1047">
        <f t="shared" si="1542"/>
        <v>4.80</v>
      </c>
      <c r="K810" s="1047">
        <f t="shared" si="1542"/>
        <v>0</v>
      </c>
      <c r="L810" s="1351">
        <f t="shared" si="1543"/>
        <v>4.80</v>
      </c>
      <c r="M810" s="1047">
        <f t="shared" si="1543"/>
        <v>0</v>
      </c>
      <c r="N810" s="1047">
        <f t="shared" si="1544"/>
        <v>0</v>
      </c>
      <c r="O810" s="1047">
        <f t="shared" si="1544"/>
        <v>0.90</v>
      </c>
      <c r="P810" s="1047">
        <f t="shared" si="1544"/>
        <v>0</v>
      </c>
      <c r="Q810" s="1351">
        <f t="shared" si="1545"/>
        <v>0.90</v>
      </c>
      <c r="R810" s="1047">
        <f t="shared" si="1545"/>
        <v>0</v>
      </c>
      <c r="S810" s="1047">
        <f t="shared" si="1546"/>
        <v>-1.60</v>
      </c>
      <c r="T810" s="1047">
        <f t="shared" si="1546"/>
        <v>0</v>
      </c>
      <c r="U810" s="1047">
        <f t="shared" si="1546"/>
        <v>0</v>
      </c>
      <c r="V810" s="1351">
        <f t="shared" si="1547"/>
        <v>-1.60</v>
      </c>
      <c r="W810" s="1047">
        <f t="shared" si="1547"/>
        <v>-0.20</v>
      </c>
      <c r="X810" s="1047">
        <f t="shared" si="1548"/>
        <v>0</v>
      </c>
      <c r="Y810" s="1047">
        <f t="shared" si="1548"/>
        <v>0</v>
      </c>
      <c r="Z810" s="1047">
        <f t="shared" si="1548"/>
        <v>1.20</v>
      </c>
      <c r="AA810" s="1351">
        <f t="shared" si="1549"/>
        <v>1</v>
      </c>
      <c r="AB810" s="1047">
        <f t="shared" si="1549"/>
        <v>0</v>
      </c>
      <c r="AC810" s="1047">
        <f t="shared" si="1550"/>
        <v>0</v>
      </c>
      <c r="AD810" s="1047">
        <f t="shared" si="1550"/>
        <v>0</v>
      </c>
      <c r="AE810" s="1047">
        <f t="shared" si="1550"/>
        <v>0</v>
      </c>
      <c r="AF810" s="1351">
        <f t="shared" si="1551"/>
        <v>0</v>
      </c>
      <c r="AG810" s="1047">
        <f t="shared" si="1551"/>
        <v>0</v>
      </c>
      <c r="AH810" s="1047">
        <f t="shared" si="1552"/>
        <v>0</v>
      </c>
      <c r="AI810" s="1047">
        <f t="shared" si="1552"/>
        <v>0</v>
      </c>
      <c r="AJ810" s="1047">
        <f t="shared" si="1552"/>
        <v>0</v>
      </c>
      <c r="AK810" s="1351">
        <f t="shared" si="1553"/>
        <v>0</v>
      </c>
      <c r="AL810" s="1047">
        <f t="shared" si="1553"/>
        <v>0</v>
      </c>
      <c r="AM810" s="1047">
        <f t="shared" si="1554"/>
        <v>0</v>
      </c>
      <c r="AN810" s="1047">
        <f t="shared" si="1554"/>
        <v>0</v>
      </c>
      <c r="AO810" s="1047">
        <f t="shared" si="1554"/>
        <v>0</v>
      </c>
      <c r="AP810" s="1351">
        <f t="shared" si="1555"/>
        <v>0</v>
      </c>
      <c r="AQ810" s="1047">
        <f t="shared" si="1555"/>
        <v>0</v>
      </c>
      <c r="AR810" s="1047">
        <f t="shared" si="1556"/>
        <v>0</v>
      </c>
      <c r="AS810" s="1047">
        <f t="shared" si="1556"/>
        <v>0</v>
      </c>
      <c r="AT810" s="1047">
        <f t="shared" si="1556"/>
        <v>0</v>
      </c>
      <c r="AU810" s="1351">
        <f t="shared" si="1557"/>
        <v>0</v>
      </c>
      <c r="AV810" s="1047">
        <f t="shared" si="1557"/>
        <v>0</v>
      </c>
      <c r="AW810" s="1047">
        <f t="shared" si="1558"/>
        <v>0</v>
      </c>
      <c r="AX810" s="1047">
        <f t="shared" si="1558"/>
        <v>0</v>
      </c>
      <c r="AY810" s="1047">
        <f t="shared" si="1558"/>
        <v>0</v>
      </c>
      <c r="AZ810" s="1351">
        <f t="shared" si="1580" ref="AZ810:BA810">AZ744</f>
        <v>0</v>
      </c>
      <c r="BA810" s="1047">
        <f t="shared" si="1580"/>
        <v>0</v>
      </c>
      <c r="BB810" s="1047">
        <f t="shared" si="1560"/>
        <v>0</v>
      </c>
      <c r="BC810" s="1047">
        <f t="shared" si="1560"/>
        <v>0</v>
      </c>
      <c r="BD810" s="1047">
        <f t="shared" si="1561"/>
        <v>0</v>
      </c>
      <c r="BE810" s="1351">
        <f t="shared" si="1581" ref="BE810:BF810">BE744</f>
        <v>0</v>
      </c>
      <c r="BF810" s="1047">
        <f t="shared" si="1581"/>
        <v>0</v>
      </c>
      <c r="BG810" s="1047">
        <f t="shared" si="1563"/>
        <v>0</v>
      </c>
      <c r="BH810" s="1048">
        <f t="shared" si="1563"/>
        <v>0</v>
      </c>
      <c r="BI810" s="1044"/>
      <c r="BJ810" s="1350">
        <f t="shared" si="1564"/>
        <v>0</v>
      </c>
      <c r="BK810" s="1044"/>
      <c r="BL810" s="1044"/>
      <c r="BM810" s="1044"/>
      <c r="BN810" s="1044"/>
      <c r="BO810" s="1350">
        <f t="shared" si="1565"/>
        <v>0</v>
      </c>
      <c r="BP810" s="1351"/>
      <c r="BQ810" s="1351"/>
      <c r="BR810" s="1350"/>
      <c r="BS810" s="648"/>
    </row>
    <row r="811" spans="1:71" s="686" customFormat="1" ht="15">
      <c r="A811" s="999" t="str">
        <f t="shared" si="1540"/>
        <v>Deferred tax</v>
      </c>
      <c r="B811" s="321"/>
      <c r="C811" s="1351">
        <f t="shared" si="1541"/>
        <v>0</v>
      </c>
      <c r="D811" s="1351">
        <f t="shared" si="1541"/>
        <v>0</v>
      </c>
      <c r="E811" s="1351">
        <f t="shared" si="1541"/>
        <v>0</v>
      </c>
      <c r="F811" s="1351">
        <f t="shared" si="1541"/>
        <v>0</v>
      </c>
      <c r="G811" s="1351">
        <f t="shared" si="1541"/>
        <v>0</v>
      </c>
      <c r="H811" s="1047">
        <f t="shared" si="1541"/>
        <v>0</v>
      </c>
      <c r="I811" s="1047">
        <f t="shared" si="1542"/>
        <v>0</v>
      </c>
      <c r="J811" s="1047">
        <f t="shared" si="1542"/>
        <v>0</v>
      </c>
      <c r="K811" s="1047">
        <f t="shared" si="1542"/>
        <v>0</v>
      </c>
      <c r="L811" s="1351">
        <f t="shared" si="1543"/>
        <v>0</v>
      </c>
      <c r="M811" s="1047">
        <f t="shared" si="1543"/>
        <v>0</v>
      </c>
      <c r="N811" s="1047">
        <f t="shared" si="1544"/>
        <v>0</v>
      </c>
      <c r="O811" s="1047">
        <f t="shared" si="1544"/>
        <v>0</v>
      </c>
      <c r="P811" s="1047">
        <f t="shared" si="1544"/>
        <v>0</v>
      </c>
      <c r="Q811" s="1351">
        <f t="shared" si="1545"/>
        <v>0</v>
      </c>
      <c r="R811" s="1047">
        <f t="shared" si="1545"/>
        <v>0</v>
      </c>
      <c r="S811" s="1047">
        <f t="shared" si="1546"/>
        <v>0</v>
      </c>
      <c r="T811" s="1047">
        <f t="shared" si="1546"/>
        <v>0</v>
      </c>
      <c r="U811" s="1047">
        <f t="shared" si="1546"/>
        <v>0</v>
      </c>
      <c r="V811" s="1351">
        <f t="shared" si="1547"/>
        <v>0</v>
      </c>
      <c r="W811" s="1047">
        <f t="shared" si="1547"/>
        <v>0</v>
      </c>
      <c r="X811" s="1047">
        <f t="shared" si="1548"/>
        <v>0</v>
      </c>
      <c r="Y811" s="1047">
        <f t="shared" si="1548"/>
        <v>0</v>
      </c>
      <c r="Z811" s="1047">
        <f t="shared" si="1548"/>
        <v>0</v>
      </c>
      <c r="AA811" s="1351">
        <f t="shared" si="1549"/>
        <v>0</v>
      </c>
      <c r="AB811" s="1047">
        <f t="shared" si="1549"/>
        <v>0</v>
      </c>
      <c r="AC811" s="1047">
        <f t="shared" si="1550"/>
        <v>0</v>
      </c>
      <c r="AD811" s="1047">
        <f t="shared" si="1550"/>
        <v>0</v>
      </c>
      <c r="AE811" s="1047">
        <f t="shared" si="1550"/>
        <v>0</v>
      </c>
      <c r="AF811" s="1351">
        <f t="shared" si="1551"/>
        <v>0</v>
      </c>
      <c r="AG811" s="1047">
        <f t="shared" si="1551"/>
        <v>0</v>
      </c>
      <c r="AH811" s="1047">
        <f t="shared" si="1552"/>
        <v>0</v>
      </c>
      <c r="AI811" s="1047">
        <f t="shared" si="1552"/>
        <v>0</v>
      </c>
      <c r="AJ811" s="1047">
        <f t="shared" si="1552"/>
        <v>0</v>
      </c>
      <c r="AK811" s="1351">
        <f t="shared" si="1553"/>
        <v>0</v>
      </c>
      <c r="AL811" s="1047">
        <f t="shared" si="1553"/>
        <v>0</v>
      </c>
      <c r="AM811" s="1047">
        <f t="shared" si="1554"/>
        <v>0</v>
      </c>
      <c r="AN811" s="1047">
        <f t="shared" si="1554"/>
        <v>0</v>
      </c>
      <c r="AO811" s="1047">
        <f t="shared" si="1554"/>
        <v>0</v>
      </c>
      <c r="AP811" s="1351">
        <f t="shared" si="1555"/>
        <v>0</v>
      </c>
      <c r="AQ811" s="1047">
        <f t="shared" si="1555"/>
        <v>0</v>
      </c>
      <c r="AR811" s="1047">
        <f t="shared" si="1556"/>
        <v>0</v>
      </c>
      <c r="AS811" s="1047">
        <f t="shared" si="1556"/>
        <v>0</v>
      </c>
      <c r="AT811" s="1047">
        <f t="shared" si="1556"/>
        <v>0</v>
      </c>
      <c r="AU811" s="1351">
        <f t="shared" si="1557"/>
        <v>0</v>
      </c>
      <c r="AV811" s="1047">
        <f t="shared" si="1557"/>
        <v>0</v>
      </c>
      <c r="AW811" s="1047">
        <f t="shared" si="1558"/>
        <v>0</v>
      </c>
      <c r="AX811" s="1047">
        <f t="shared" si="1558"/>
        <v>0</v>
      </c>
      <c r="AY811" s="1047">
        <f t="shared" si="1558"/>
        <v>0</v>
      </c>
      <c r="AZ811" s="1351">
        <f t="shared" si="1582" ref="AZ811:BA811">AZ745</f>
        <v>0</v>
      </c>
      <c r="BA811" s="1047">
        <f t="shared" si="1582"/>
        <v>0</v>
      </c>
      <c r="BB811" s="1047">
        <f t="shared" si="1560"/>
        <v>0</v>
      </c>
      <c r="BC811" s="1047">
        <f t="shared" si="1560"/>
        <v>0</v>
      </c>
      <c r="BD811" s="1047">
        <f t="shared" si="1561"/>
        <v>0</v>
      </c>
      <c r="BE811" s="1351">
        <f t="shared" si="1583" ref="BE811:BF811">BE745</f>
        <v>0</v>
      </c>
      <c r="BF811" s="1047">
        <f t="shared" si="1583"/>
        <v>0</v>
      </c>
      <c r="BG811" s="1047">
        <f t="shared" si="1563"/>
        <v>0</v>
      </c>
      <c r="BH811" s="1048">
        <f t="shared" si="1563"/>
        <v>0</v>
      </c>
      <c r="BI811" s="1044">
        <f>BI625</f>
        <v>0</v>
      </c>
      <c r="BJ811" s="1350">
        <f t="shared" si="1564"/>
        <v>0</v>
      </c>
      <c r="BK811" s="1044">
        <f>BK625</f>
        <v>0</v>
      </c>
      <c r="BL811" s="1044">
        <f>BL625</f>
        <v>0</v>
      </c>
      <c r="BM811" s="1044">
        <f>BM625</f>
        <v>0</v>
      </c>
      <c r="BN811" s="1044">
        <f>BN625</f>
        <v>0</v>
      </c>
      <c r="BO811" s="1350">
        <f t="shared" si="1565"/>
        <v>0</v>
      </c>
      <c r="BP811" s="1351">
        <f>BP625</f>
        <v>0</v>
      </c>
      <c r="BQ811" s="1351">
        <f>BQ625</f>
        <v>0</v>
      </c>
      <c r="BR811" s="1350">
        <f>BR625</f>
        <v>0</v>
      </c>
      <c r="BS811" s="648"/>
    </row>
    <row r="812" spans="1:71" s="686" customFormat="1" ht="15">
      <c r="A812" s="1001" t="str">
        <f t="shared" si="1540"/>
        <v>Net loss on exchange transaction</v>
      </c>
      <c r="B812" s="261"/>
      <c r="C812" s="1324">
        <f t="shared" si="1541"/>
        <v>0</v>
      </c>
      <c r="D812" s="1324">
        <f t="shared" si="1541"/>
        <v>0</v>
      </c>
      <c r="E812" s="1324">
        <f t="shared" si="1541"/>
        <v>0</v>
      </c>
      <c r="F812" s="1324">
        <f t="shared" si="1541"/>
        <v>0</v>
      </c>
      <c r="G812" s="1324">
        <f t="shared" si="1541"/>
        <v>0</v>
      </c>
      <c r="H812" s="1029">
        <f t="shared" si="1541"/>
        <v>0</v>
      </c>
      <c r="I812" s="1029">
        <f t="shared" si="1542"/>
        <v>0</v>
      </c>
      <c r="J812" s="1029">
        <f t="shared" si="1542"/>
        <v>0</v>
      </c>
      <c r="K812" s="1029">
        <f t="shared" si="1542"/>
        <v>0</v>
      </c>
      <c r="L812" s="1324">
        <f t="shared" si="1543"/>
        <v>0</v>
      </c>
      <c r="M812" s="1029">
        <f t="shared" si="1543"/>
        <v>0</v>
      </c>
      <c r="N812" s="1029">
        <f t="shared" si="1544"/>
        <v>0</v>
      </c>
      <c r="O812" s="1029">
        <f t="shared" si="1544"/>
        <v>0</v>
      </c>
      <c r="P812" s="1029">
        <f t="shared" si="1544"/>
        <v>0</v>
      </c>
      <c r="Q812" s="1324">
        <f t="shared" si="1545"/>
        <v>0</v>
      </c>
      <c r="R812" s="1029">
        <f t="shared" si="1545"/>
        <v>0</v>
      </c>
      <c r="S812" s="1029">
        <f t="shared" si="1546"/>
        <v>4.50</v>
      </c>
      <c r="T812" s="1029">
        <f t="shared" si="1546"/>
        <v>0</v>
      </c>
      <c r="U812" s="1029">
        <f t="shared" si="1546"/>
        <v>0</v>
      </c>
      <c r="V812" s="1324">
        <f t="shared" si="1547"/>
        <v>4.50</v>
      </c>
      <c r="W812" s="1029">
        <f t="shared" si="1547"/>
        <v>0</v>
      </c>
      <c r="X812" s="1029">
        <f t="shared" si="1548"/>
        <v>0</v>
      </c>
      <c r="Y812" s="1029">
        <f t="shared" si="1548"/>
        <v>0</v>
      </c>
      <c r="Z812" s="1029">
        <f t="shared" si="1548"/>
        <v>0</v>
      </c>
      <c r="AA812" s="1324">
        <f t="shared" si="1549"/>
        <v>0</v>
      </c>
      <c r="AB812" s="1029">
        <f t="shared" si="1549"/>
        <v>0</v>
      </c>
      <c r="AC812" s="1029">
        <f t="shared" si="1550"/>
        <v>0</v>
      </c>
      <c r="AD812" s="1029">
        <f t="shared" si="1550"/>
        <v>0</v>
      </c>
      <c r="AE812" s="1029">
        <f t="shared" si="1550"/>
        <v>0</v>
      </c>
      <c r="AF812" s="1324">
        <f t="shared" si="1551"/>
        <v>0</v>
      </c>
      <c r="AG812" s="1029">
        <f t="shared" si="1551"/>
        <v>0</v>
      </c>
      <c r="AH812" s="1029">
        <f t="shared" si="1552"/>
        <v>0</v>
      </c>
      <c r="AI812" s="1029">
        <f t="shared" si="1552"/>
        <v>0</v>
      </c>
      <c r="AJ812" s="1029">
        <f t="shared" si="1552"/>
        <v>0</v>
      </c>
      <c r="AK812" s="1324">
        <f t="shared" si="1553"/>
        <v>0</v>
      </c>
      <c r="AL812" s="1029">
        <f t="shared" si="1553"/>
        <v>0</v>
      </c>
      <c r="AM812" s="1029">
        <f t="shared" si="1554"/>
        <v>0</v>
      </c>
      <c r="AN812" s="1029">
        <f t="shared" si="1554"/>
        <v>0</v>
      </c>
      <c r="AO812" s="1029">
        <f t="shared" si="1554"/>
        <v>0</v>
      </c>
      <c r="AP812" s="1324">
        <f t="shared" si="1555"/>
        <v>0</v>
      </c>
      <c r="AQ812" s="1029">
        <f t="shared" si="1555"/>
        <v>0</v>
      </c>
      <c r="AR812" s="1029">
        <f t="shared" si="1556"/>
        <v>0</v>
      </c>
      <c r="AS812" s="1029">
        <f t="shared" si="1556"/>
        <v>0</v>
      </c>
      <c r="AT812" s="1029">
        <f t="shared" si="1556"/>
        <v>0</v>
      </c>
      <c r="AU812" s="1324">
        <f t="shared" si="1557"/>
        <v>0</v>
      </c>
      <c r="AV812" s="1029">
        <f t="shared" si="1557"/>
        <v>0</v>
      </c>
      <c r="AW812" s="1029">
        <f t="shared" si="1558"/>
        <v>0</v>
      </c>
      <c r="AX812" s="1029">
        <f t="shared" si="1558"/>
        <v>0</v>
      </c>
      <c r="AY812" s="1029">
        <f t="shared" si="1558"/>
        <v>0</v>
      </c>
      <c r="AZ812" s="1324">
        <f t="shared" si="1584" ref="AZ812:BA812">AZ746</f>
        <v>0</v>
      </c>
      <c r="BA812" s="1029">
        <f t="shared" si="1584"/>
        <v>0</v>
      </c>
      <c r="BB812" s="1029">
        <f t="shared" si="1560"/>
        <v>0</v>
      </c>
      <c r="BC812" s="1029">
        <f t="shared" si="1560"/>
        <v>0</v>
      </c>
      <c r="BD812" s="1029">
        <f t="shared" si="1561"/>
        <v>0</v>
      </c>
      <c r="BE812" s="1324">
        <f t="shared" si="1585" ref="BE812:BF812">BE746</f>
        <v>0</v>
      </c>
      <c r="BF812" s="1029">
        <f t="shared" si="1585"/>
        <v>0</v>
      </c>
      <c r="BG812" s="1029">
        <f t="shared" si="1563"/>
        <v>0</v>
      </c>
      <c r="BH812" s="1050">
        <f t="shared" si="1563"/>
        <v>0</v>
      </c>
      <c r="BI812" s="1029"/>
      <c r="BJ812" s="1324">
        <f t="shared" si="1564"/>
        <v>0</v>
      </c>
      <c r="BK812" s="1029"/>
      <c r="BL812" s="1029"/>
      <c r="BM812" s="1029"/>
      <c r="BN812" s="1029"/>
      <c r="BO812" s="1324">
        <f t="shared" si="1565"/>
        <v>0</v>
      </c>
      <c r="BP812" s="1324"/>
      <c r="BQ812" s="1324"/>
      <c r="BR812" s="1324"/>
      <c r="BS812" s="648"/>
    </row>
    <row r="813" spans="1:71" s="696" customFormat="1" ht="15">
      <c r="A813" s="475" t="str">
        <f t="shared" si="1540"/>
        <v>CFO before WC</v>
      </c>
      <c r="B813" s="410"/>
      <c r="C813" s="1356">
        <f t="shared" si="1586" ref="C813:AM813">SUM(C802:C812)</f>
        <v>1402.10</v>
      </c>
      <c r="D813" s="1356">
        <f t="shared" si="1586"/>
        <v>1326.30</v>
      </c>
      <c r="E813" s="1356">
        <f t="shared" si="1586"/>
        <v>1293.70</v>
      </c>
      <c r="F813" s="1356">
        <f t="shared" si="1586"/>
        <v>948.90</v>
      </c>
      <c r="G813" s="1356">
        <f t="shared" si="1586"/>
        <v>1157.1000000000001</v>
      </c>
      <c r="H813" s="1054">
        <f t="shared" si="1586"/>
        <v>261</v>
      </c>
      <c r="I813" s="1054">
        <f t="shared" si="1586"/>
        <v>311.80</v>
      </c>
      <c r="J813" s="1054">
        <f t="shared" si="1586"/>
        <v>318.69999999999993</v>
      </c>
      <c r="K813" s="1054">
        <f t="shared" si="1586"/>
        <v>402.20000000000005</v>
      </c>
      <c r="L813" s="1356">
        <f t="shared" si="1586"/>
        <v>1293.70</v>
      </c>
      <c r="M813" s="1054">
        <f t="shared" si="1586"/>
        <v>316.90000000000009</v>
      </c>
      <c r="N813" s="1054">
        <f t="shared" si="1586"/>
        <v>374.29999999999995</v>
      </c>
      <c r="O813" s="1054">
        <f t="shared" si="1586"/>
        <v>391.99999999999994</v>
      </c>
      <c r="P813" s="1054">
        <f t="shared" si="1586"/>
        <v>422.60</v>
      </c>
      <c r="Q813" s="1356">
        <f t="shared" si="1586"/>
        <v>1505.8000000000002</v>
      </c>
      <c r="R813" s="1054">
        <f t="shared" si="1586"/>
        <v>317.70000000000005</v>
      </c>
      <c r="S813" s="1054">
        <f t="shared" si="1586"/>
        <v>263.70000000000005</v>
      </c>
      <c r="T813" s="1054">
        <f t="shared" si="1586"/>
        <v>318.59999999999997</v>
      </c>
      <c r="U813" s="1054">
        <f t="shared" si="1586"/>
        <v>477.50000000000006</v>
      </c>
      <c r="V813" s="1356">
        <f t="shared" si="1586"/>
        <v>1377.5000000000002</v>
      </c>
      <c r="W813" s="1054">
        <f t="shared" si="1586"/>
        <v>489.00000000000011</v>
      </c>
      <c r="X813" s="1054">
        <f t="shared" si="1586"/>
        <v>445.99999999999994</v>
      </c>
      <c r="Y813" s="1054">
        <f t="shared" si="1586"/>
        <v>347.59999999999991</v>
      </c>
      <c r="Z813" s="1054">
        <f t="shared" si="1586"/>
        <v>691.80</v>
      </c>
      <c r="AA813" s="1356">
        <f t="shared" si="1586"/>
        <v>1974.4000000000003</v>
      </c>
      <c r="AB813" s="1054">
        <f t="shared" si="1586"/>
        <v>870.50</v>
      </c>
      <c r="AC813" s="1054">
        <f t="shared" si="1586"/>
        <v>761.9000000000002</v>
      </c>
      <c r="AD813" s="1054">
        <f t="shared" si="1586"/>
        <v>844.99999999999989</v>
      </c>
      <c r="AE813" s="1054">
        <f t="shared" si="1586"/>
        <v>955.10000000000036</v>
      </c>
      <c r="AF813" s="1356">
        <f t="shared" si="1586"/>
        <v>3432.50</v>
      </c>
      <c r="AG813" s="1054">
        <f t="shared" si="1586"/>
        <v>763.30</v>
      </c>
      <c r="AH813" s="1054">
        <f t="shared" si="1586"/>
        <v>900.9000000000002</v>
      </c>
      <c r="AI813" s="1054">
        <f t="shared" si="1586"/>
        <v>882.80</v>
      </c>
      <c r="AJ813" s="1054">
        <f t="shared" si="1586"/>
        <v>844.39999999999975</v>
      </c>
      <c r="AK813" s="1356">
        <f t="shared" si="1586"/>
        <v>3391.4000000000005</v>
      </c>
      <c r="AL813" s="1054">
        <f t="shared" si="1586"/>
        <v>1372.10</v>
      </c>
      <c r="AM813" s="1054">
        <f t="shared" si="1586"/>
        <v>1028.6000000000001</v>
      </c>
      <c r="AN813" s="1054">
        <f t="shared" si="1587" ref="AN813:AU813">SUM(AN802:AN812)</f>
        <v>1132.9000000000005</v>
      </c>
      <c r="AO813" s="1054">
        <f t="shared" si="1587"/>
        <v>1075.6000000000001</v>
      </c>
      <c r="AP813" s="1356">
        <f t="shared" si="1587"/>
        <v>4609.1999999999989</v>
      </c>
      <c r="AQ813" s="1054">
        <f t="shared" si="1587"/>
        <v>1018.2000000000002</v>
      </c>
      <c r="AR813" s="1054">
        <f t="shared" si="1587"/>
        <v>467.99999999999989</v>
      </c>
      <c r="AS813" s="1054">
        <f t="shared" si="1587"/>
        <v>227.39999999999981</v>
      </c>
      <c r="AT813" s="1054">
        <f t="shared" si="1587"/>
        <v>692.90</v>
      </c>
      <c r="AU813" s="1356">
        <f t="shared" si="1587"/>
        <v>2406.4999999999995</v>
      </c>
      <c r="AV813" s="1054">
        <f>SUM(AV802:AV812)</f>
        <v>892.50</v>
      </c>
      <c r="AW813" s="1054">
        <f t="shared" si="1588" ref="AW813">SUM(AW802:AW812)</f>
        <v>970.90000000000009</v>
      </c>
      <c r="AX813" s="1054">
        <f>SUM(AX802:AX812)</f>
        <v>425.50000000000011</v>
      </c>
      <c r="AY813" s="1054">
        <f t="shared" si="1589" ref="AY813:AZ813">SUM(AY802:AY812)</f>
        <v>1003.10</v>
      </c>
      <c r="AZ813" s="1356">
        <f t="shared" si="1589"/>
        <v>3292.0000000000005</v>
      </c>
      <c r="BA813" s="1054">
        <f>SUM(BA802:BA812)</f>
        <v>476.89999999999992</v>
      </c>
      <c r="BB813" s="1054">
        <f t="shared" si="1590" ref="BB813">SUM(BB802:BB812)</f>
        <v>311.30</v>
      </c>
      <c r="BC813" s="1054">
        <f t="shared" si="1591" ref="BC813:BJ813">SUM(BC802:BC812)</f>
        <v>1402.2000000000003</v>
      </c>
      <c r="BD813" s="1054">
        <f t="shared" si="1591"/>
        <v>1857.5000000000002</v>
      </c>
      <c r="BE813" s="1356">
        <f t="shared" si="1591"/>
        <v>4047.8999999999992</v>
      </c>
      <c r="BF813" s="1054">
        <f>SUM(BF802:BF812)</f>
        <v>2253.1000000000004</v>
      </c>
      <c r="BG813" s="1054">
        <f t="shared" si="1592" ref="BG813:BH813">SUM(BG802:BG812)</f>
        <v>1672.4999999999998</v>
      </c>
      <c r="BH813" s="1100">
        <f t="shared" si="1592"/>
        <v>2149.7999999999997</v>
      </c>
      <c r="BI813" s="1054">
        <f>SUM(BI802:BI812)</f>
        <v>1697.1235097075808</v>
      </c>
      <c r="BJ813" s="1356">
        <f t="shared" si="1591"/>
        <v>7772.5235097075811</v>
      </c>
      <c r="BK813" s="1054">
        <f t="shared" si="1593" ref="BK813:BR813">SUM(BK802:BK812)</f>
        <v>2086.6963836490527</v>
      </c>
      <c r="BL813" s="1054">
        <f t="shared" si="1593"/>
        <v>1483.7553180432778</v>
      </c>
      <c r="BM813" s="1054">
        <f t="shared" si="1593"/>
        <v>1305.9557953600511</v>
      </c>
      <c r="BN813" s="1054">
        <f t="shared" si="1593"/>
        <v>2255.6324702911938</v>
      </c>
      <c r="BO813" s="1356">
        <f t="shared" si="1593"/>
        <v>7132.0399673435759</v>
      </c>
      <c r="BP813" s="1356">
        <f t="shared" si="1593"/>
        <v>7660.7205963751421</v>
      </c>
      <c r="BQ813" s="1356">
        <f t="shared" si="1593"/>
        <v>8094.3387331772392</v>
      </c>
      <c r="BR813" s="1356">
        <f t="shared" si="1593"/>
        <v>8545.7535205484382</v>
      </c>
      <c r="BS813" s="648"/>
    </row>
    <row r="814" spans="1:71" s="686" customFormat="1" ht="15">
      <c r="A814" s="999" t="str">
        <f t="shared" si="1540"/>
        <v>Premiums receivable</v>
      </c>
      <c r="B814" s="321"/>
      <c r="C814" s="1351">
        <f t="shared" si="1594" ref="C814:H823">C748</f>
        <v>-46.20</v>
      </c>
      <c r="D814" s="1351">
        <f t="shared" si="1594"/>
        <v>-283.60000000000002</v>
      </c>
      <c r="E814" s="1351">
        <f t="shared" si="1594"/>
        <v>-191.40</v>
      </c>
      <c r="F814" s="1351">
        <f t="shared" si="1594"/>
        <v>-253.80</v>
      </c>
      <c r="G814" s="1351">
        <f t="shared" si="1594"/>
        <v>-127.40000000000001</v>
      </c>
      <c r="H814" s="1047">
        <f t="shared" si="1594"/>
        <v>-205.20</v>
      </c>
      <c r="I814" s="1047">
        <f t="shared" si="1595" ref="I814:K823">I748-H748</f>
        <v>-50.200000000000017</v>
      </c>
      <c r="J814" s="1047">
        <f t="shared" si="1595"/>
        <v>-139.49999999999997</v>
      </c>
      <c r="K814" s="1047">
        <f t="shared" si="1595"/>
        <v>167.79999999999998</v>
      </c>
      <c r="L814" s="1351">
        <f t="shared" si="1596" ref="L814:M823">L748</f>
        <v>-227.10</v>
      </c>
      <c r="M814" s="1047">
        <f t="shared" si="1596"/>
        <v>-239.60</v>
      </c>
      <c r="N814" s="1047">
        <f t="shared" si="1597" ref="N814:P821">N748-M748</f>
        <v>-60.900000000000006</v>
      </c>
      <c r="O814" s="1047">
        <f t="shared" si="1597"/>
        <v>-272.70000000000005</v>
      </c>
      <c r="P814" s="1047">
        <f t="shared" si="1597"/>
        <v>152.10000000000002</v>
      </c>
      <c r="Q814" s="1351">
        <f t="shared" si="1598" ref="Q814:R821">Q748</f>
        <v>-421.10</v>
      </c>
      <c r="R814" s="1047">
        <f t="shared" si="1598"/>
        <v>-391.10</v>
      </c>
      <c r="S814" s="1047">
        <f t="shared" si="1599" ref="S814:U821">S748-R748</f>
        <v>-140.39999999999998</v>
      </c>
      <c r="T814" s="1047">
        <f t="shared" si="1599"/>
        <v>-221.29999999999995</v>
      </c>
      <c r="U814" s="1047">
        <f t="shared" si="1599"/>
        <v>234.29999999999995</v>
      </c>
      <c r="V814" s="1351">
        <f t="shared" si="1600" ref="V814:W823">V748</f>
        <v>-518.50</v>
      </c>
      <c r="W814" s="1047">
        <f t="shared" si="1600"/>
        <v>-341.40</v>
      </c>
      <c r="X814" s="1047">
        <f t="shared" si="1601" ref="X814:Z823">X748-W748</f>
        <v>-240.60000000000002</v>
      </c>
      <c r="Y814" s="1047">
        <f t="shared" si="1601"/>
        <v>-428.29999999999995</v>
      </c>
      <c r="Z814" s="1047">
        <f t="shared" si="1601"/>
        <v>97.099999999999909</v>
      </c>
      <c r="AA814" s="1351">
        <f t="shared" si="1602" ref="AA814:AB823">AA748</f>
        <v>-913.20</v>
      </c>
      <c r="AB814" s="1047">
        <f t="shared" si="1602"/>
        <v>-621.29999999999995</v>
      </c>
      <c r="AC814" s="1047">
        <f t="shared" si="1603" ref="AC814:AE823">AC748-AB748</f>
        <v>-186.40000000000009</v>
      </c>
      <c r="AD814" s="1047">
        <f t="shared" si="1603"/>
        <v>-546.39999999999986</v>
      </c>
      <c r="AE814" s="1047">
        <f t="shared" si="1603"/>
        <v>279.50</v>
      </c>
      <c r="AF814" s="1351">
        <f t="shared" si="1604" ref="AF814:AG823">AF748</f>
        <v>-1074.5999999999999</v>
      </c>
      <c r="AG814" s="1047">
        <f t="shared" si="1604"/>
        <v>-692.70</v>
      </c>
      <c r="AH814" s="1047">
        <f t="shared" si="1605" ref="AH814:AJ823">AH748-AG748</f>
        <v>22.700000000000045</v>
      </c>
      <c r="AI814" s="1047">
        <f t="shared" si="1605"/>
        <v>-520.09999999999991</v>
      </c>
      <c r="AJ814" s="1047">
        <f t="shared" si="1605"/>
        <v>179.89999999999986</v>
      </c>
      <c r="AK814" s="1351">
        <f t="shared" si="1606" ref="AK814:AL823">AK748</f>
        <v>-1010.20</v>
      </c>
      <c r="AL814" s="1047">
        <f t="shared" si="1606"/>
        <v>-61</v>
      </c>
      <c r="AM814" s="1047">
        <f t="shared" si="1607" ref="AM814:AO823">AM748-AL748</f>
        <v>10.90</v>
      </c>
      <c r="AN814" s="1047">
        <f t="shared" si="1607"/>
        <v>-1016.90</v>
      </c>
      <c r="AO814" s="1047">
        <f t="shared" si="1607"/>
        <v>414.20000000000005</v>
      </c>
      <c r="AP814" s="1351">
        <f t="shared" si="1608" ref="AP814:AQ823">AP748</f>
        <v>-652.79999999999995</v>
      </c>
      <c r="AQ814" s="1047">
        <f t="shared" si="1608"/>
        <v>-1058.70</v>
      </c>
      <c r="AR814" s="1047">
        <f t="shared" si="1609" ref="AR814:AT823">AR748-AQ748</f>
        <v>-124.79999999999995</v>
      </c>
      <c r="AS814" s="1047">
        <f t="shared" si="1609"/>
        <v>-810.50</v>
      </c>
      <c r="AT814" s="1047">
        <f t="shared" si="1609"/>
        <v>847.20</v>
      </c>
      <c r="AU814" s="1351">
        <f t="shared" si="1610" ref="AU814:AV823">AU748</f>
        <v>-1146.80</v>
      </c>
      <c r="AV814" s="1047">
        <f t="shared" si="1610"/>
        <v>-1119.50</v>
      </c>
      <c r="AW814" s="1047">
        <f t="shared" si="1611" ref="AW814:AY823">AW748-AV748</f>
        <v>-42.799999999999955</v>
      </c>
      <c r="AX814" s="1047">
        <f t="shared" si="1611"/>
        <v>-305.90000000000009</v>
      </c>
      <c r="AY814" s="1047">
        <f t="shared" si="1611"/>
        <v>450.80000000000007</v>
      </c>
      <c r="AZ814" s="1351">
        <f t="shared" si="1612" ref="AZ814:BA814">AZ748</f>
        <v>-1017.40</v>
      </c>
      <c r="BA814" s="1047">
        <f t="shared" si="1612"/>
        <v>-1994.50</v>
      </c>
      <c r="BB814" s="1047">
        <f t="shared" si="1613" ref="BB814:BC823">BB748-BA748</f>
        <v>138.09999999999991</v>
      </c>
      <c r="BC814" s="1047">
        <f t="shared" si="1613"/>
        <v>-134.69999999999982</v>
      </c>
      <c r="BD814" s="1047">
        <f t="shared" si="1614" ref="BD814:BD823">BD748-BC748</f>
        <v>449.79999999999995</v>
      </c>
      <c r="BE814" s="1351">
        <f t="shared" si="1615" ref="BE814:BF814">BE748</f>
        <v>-1541.30</v>
      </c>
      <c r="BF814" s="1047">
        <f t="shared" si="1615"/>
        <v>-2234.3000000000002</v>
      </c>
      <c r="BG814" s="1047">
        <f t="shared" si="1616" ref="BG814:BH823">BG748-BF748</f>
        <v>-352</v>
      </c>
      <c r="BH814" s="1048">
        <f t="shared" si="1616"/>
        <v>-590.89999999999964</v>
      </c>
      <c r="BI814" s="1044"/>
      <c r="BJ814" s="1350">
        <f t="shared" si="1617" ref="BJ814:BJ823">SUM(BF814,BG814,BH814,BI814)</f>
        <v>-3177.20</v>
      </c>
      <c r="BK814" s="1044"/>
      <c r="BL814" s="1044"/>
      <c r="BM814" s="1044"/>
      <c r="BN814" s="1044"/>
      <c r="BO814" s="1350">
        <f t="shared" si="1618" ref="BO814:BO823">SUM(BK814,BL814,BM814,BN814)</f>
        <v>0</v>
      </c>
      <c r="BP814" s="1351"/>
      <c r="BQ814" s="1351"/>
      <c r="BR814" s="1350"/>
      <c r="BS814" s="648"/>
    </row>
    <row r="815" spans="1:71" s="686" customFormat="1" ht="15">
      <c r="A815" s="999" t="str">
        <f t="shared" si="1540"/>
        <v>Reinsurance recoverable</v>
      </c>
      <c r="B815" s="321"/>
      <c r="C815" s="1351">
        <f t="shared" si="1594"/>
        <v>-276.30</v>
      </c>
      <c r="D815" s="1351">
        <f t="shared" si="1594"/>
        <v>-176.70</v>
      </c>
      <c r="E815" s="1351">
        <f t="shared" si="1594"/>
        <v>-76.50</v>
      </c>
      <c r="F815" s="1351">
        <f t="shared" si="1594"/>
        <v>-83</v>
      </c>
      <c r="G815" s="1351">
        <f t="shared" si="1594"/>
        <v>-189.20</v>
      </c>
      <c r="H815" s="1047">
        <f t="shared" si="1594"/>
        <v>-21.30</v>
      </c>
      <c r="I815" s="1047">
        <f t="shared" si="1595"/>
        <v>-23.499999999999996</v>
      </c>
      <c r="J815" s="1047">
        <f t="shared" si="1595"/>
        <v>-30.900000000000006</v>
      </c>
      <c r="K815" s="1047">
        <f t="shared" si="1595"/>
        <v>-65.999999999999986</v>
      </c>
      <c r="L815" s="1351">
        <f t="shared" si="1596"/>
        <v>-141.69999999999999</v>
      </c>
      <c r="M815" s="1047">
        <f t="shared" si="1596"/>
        <v>-25.30</v>
      </c>
      <c r="N815" s="1047">
        <f t="shared" si="1597"/>
        <v>-90.80</v>
      </c>
      <c r="O815" s="1047">
        <f t="shared" si="1597"/>
        <v>-12.700000000000017</v>
      </c>
      <c r="P815" s="1047">
        <f t="shared" si="1597"/>
        <v>-73.799999999999983</v>
      </c>
      <c r="Q815" s="1351">
        <f t="shared" si="1598"/>
        <v>-202.60</v>
      </c>
      <c r="R815" s="1047">
        <f t="shared" si="1598"/>
        <v>-79.400000000000006</v>
      </c>
      <c r="S815" s="1047">
        <f t="shared" si="1599"/>
        <v>-93.699999999999989</v>
      </c>
      <c r="T815" s="1047">
        <f t="shared" si="1599"/>
        <v>-232.00000000000003</v>
      </c>
      <c r="U815" s="1047">
        <f t="shared" si="1599"/>
        <v>16.900000000000034</v>
      </c>
      <c r="V815" s="1351">
        <f t="shared" si="1600"/>
        <v>-388.20</v>
      </c>
      <c r="W815" s="1047">
        <f t="shared" si="1600"/>
        <v>-54.20</v>
      </c>
      <c r="X815" s="1047">
        <f t="shared" si="1601"/>
        <v>-88.20</v>
      </c>
      <c r="Y815" s="1047">
        <f t="shared" si="1601"/>
        <v>-673.70</v>
      </c>
      <c r="Z815" s="1047">
        <f t="shared" si="1601"/>
        <v>427.50</v>
      </c>
      <c r="AA815" s="1351">
        <f t="shared" si="1602"/>
        <v>-388.60</v>
      </c>
      <c r="AB815" s="1047">
        <f t="shared" si="1602"/>
        <v>34.299999999999997</v>
      </c>
      <c r="AC815" s="1047">
        <f t="shared" si="1603"/>
        <v>-171.60000000000002</v>
      </c>
      <c r="AD815" s="1047">
        <f t="shared" si="1603"/>
        <v>-79.799999999999983</v>
      </c>
      <c r="AE815" s="1047">
        <f t="shared" si="1603"/>
        <v>-205.60</v>
      </c>
      <c r="AF815" s="1351">
        <f t="shared" si="1604"/>
        <v>-422.70</v>
      </c>
      <c r="AG815" s="1047">
        <f t="shared" si="1604"/>
        <v>-146.69999999999999</v>
      </c>
      <c r="AH815" s="1047">
        <f t="shared" si="1605"/>
        <v>-208.70</v>
      </c>
      <c r="AI815" s="1047">
        <f t="shared" si="1605"/>
        <v>-246.89999999999998</v>
      </c>
      <c r="AJ815" s="1047">
        <f t="shared" si="1605"/>
        <v>-80.50</v>
      </c>
      <c r="AK815" s="1351">
        <f t="shared" si="1606"/>
        <v>-682.80</v>
      </c>
      <c r="AL815" s="1047">
        <f t="shared" si="1606"/>
        <v>-260.70</v>
      </c>
      <c r="AM815" s="1047">
        <f t="shared" si="1607"/>
        <v>-14.699999999999989</v>
      </c>
      <c r="AN815" s="1047">
        <f t="shared" si="1607"/>
        <v>-333</v>
      </c>
      <c r="AO815" s="1047">
        <f t="shared" si="1607"/>
        <v>-32.100000000000023</v>
      </c>
      <c r="AP815" s="1351">
        <f t="shared" si="1608"/>
        <v>-640.50</v>
      </c>
      <c r="AQ815" s="1047">
        <f t="shared" si="1608"/>
        <v>-123.80</v>
      </c>
      <c r="AR815" s="1047">
        <f t="shared" si="1609"/>
        <v>-113.50000000000001</v>
      </c>
      <c r="AS815" s="1047">
        <f t="shared" si="1609"/>
        <v>-335.80</v>
      </c>
      <c r="AT815" s="1047">
        <f t="shared" si="1609"/>
        <v>64.400000000000034</v>
      </c>
      <c r="AU815" s="1351">
        <f t="shared" si="1610"/>
        <v>-508.70</v>
      </c>
      <c r="AV815" s="1047">
        <f t="shared" si="1610"/>
        <v>-44.50</v>
      </c>
      <c r="AW815" s="1047">
        <f t="shared" si="1611"/>
        <v>63.80</v>
      </c>
      <c r="AX815" s="1047">
        <f t="shared" si="1611"/>
        <v>-1345.60</v>
      </c>
      <c r="AY815" s="1047">
        <f t="shared" si="1611"/>
        <v>474.69999999999993</v>
      </c>
      <c r="AZ815" s="1351">
        <f t="shared" si="1619" ref="AZ815:BA815">AZ749</f>
        <v>-851.60</v>
      </c>
      <c r="BA815" s="1047">
        <f t="shared" si="1619"/>
        <v>215.90</v>
      </c>
      <c r="BB815" s="1047">
        <f t="shared" si="1613"/>
        <v>99.299999999999983</v>
      </c>
      <c r="BC815" s="1047">
        <f t="shared" si="1613"/>
        <v>185.70</v>
      </c>
      <c r="BD815" s="1047">
        <f t="shared" si="1614"/>
        <v>237.30000000000007</v>
      </c>
      <c r="BE815" s="1351">
        <f t="shared" si="1620" ref="BE815:BF815">BE749</f>
        <v>738.20</v>
      </c>
      <c r="BF815" s="1047">
        <f t="shared" si="1620"/>
        <v>90.50</v>
      </c>
      <c r="BG815" s="1047">
        <f t="shared" si="1616"/>
        <v>122</v>
      </c>
      <c r="BH815" s="1048">
        <f t="shared" si="1616"/>
        <v>-0.099999999999994316</v>
      </c>
      <c r="BI815" s="1044"/>
      <c r="BJ815" s="1350">
        <f t="shared" si="1617"/>
        <v>212.40</v>
      </c>
      <c r="BK815" s="1044"/>
      <c r="BL815" s="1044"/>
      <c r="BM815" s="1044"/>
      <c r="BN815" s="1044"/>
      <c r="BO815" s="1350">
        <f t="shared" si="1618"/>
        <v>0</v>
      </c>
      <c r="BP815" s="1351"/>
      <c r="BQ815" s="1351"/>
      <c r="BR815" s="1350"/>
      <c r="BS815" s="648"/>
    </row>
    <row r="816" spans="1:71" s="686" customFormat="1" ht="15">
      <c r="A816" s="999" t="str">
        <f t="shared" si="1540"/>
        <v>Prepaid reinsurance premiums</v>
      </c>
      <c r="B816" s="321"/>
      <c r="C816" s="1351">
        <f t="shared" si="1594"/>
        <v>-6.90</v>
      </c>
      <c r="D816" s="1351">
        <f t="shared" si="1594"/>
        <v>-18.80</v>
      </c>
      <c r="E816" s="1351">
        <f t="shared" si="1594"/>
        <v>18.30</v>
      </c>
      <c r="F816" s="1351">
        <f t="shared" si="1594"/>
        <v>3.50</v>
      </c>
      <c r="G816" s="1351">
        <f t="shared" si="1594"/>
        <v>-8.60</v>
      </c>
      <c r="H816" s="1047">
        <f t="shared" si="1594"/>
        <v>-6.90</v>
      </c>
      <c r="I816" s="1047">
        <f t="shared" si="1595"/>
        <v>-8</v>
      </c>
      <c r="J816" s="1047">
        <f t="shared" si="1595"/>
        <v>-2.4999999999999982</v>
      </c>
      <c r="K816" s="1047">
        <f t="shared" si="1595"/>
        <v>6.9999999999999982</v>
      </c>
      <c r="L816" s="1351">
        <f t="shared" si="1596"/>
        <v>-10.40</v>
      </c>
      <c r="M816" s="1047">
        <f t="shared" si="1596"/>
        <v>-14</v>
      </c>
      <c r="N816" s="1047">
        <f t="shared" si="1597"/>
        <v>12.80</v>
      </c>
      <c r="O816" s="1047">
        <f t="shared" si="1597"/>
        <v>11.30</v>
      </c>
      <c r="P816" s="1047">
        <f t="shared" si="1597"/>
        <v>22.40</v>
      </c>
      <c r="Q816" s="1351">
        <f t="shared" si="1598"/>
        <v>32.50</v>
      </c>
      <c r="R816" s="1047">
        <f t="shared" si="1598"/>
        <v>-17.40</v>
      </c>
      <c r="S816" s="1047">
        <f t="shared" si="1599"/>
        <v>58.70</v>
      </c>
      <c r="T816" s="1047">
        <f t="shared" si="1599"/>
        <v>3.6000000000000014</v>
      </c>
      <c r="U816" s="1047">
        <f t="shared" si="1599"/>
        <v>3.8999999999999986</v>
      </c>
      <c r="V816" s="1351">
        <f t="shared" si="1600"/>
        <v>48.80</v>
      </c>
      <c r="W816" s="1047">
        <f t="shared" si="1600"/>
        <v>-12.20</v>
      </c>
      <c r="X816" s="1047">
        <f t="shared" si="1601"/>
        <v>-29.90</v>
      </c>
      <c r="Y816" s="1047">
        <f t="shared" si="1601"/>
        <v>0.89999999999999858</v>
      </c>
      <c r="Z816" s="1047">
        <f t="shared" si="1601"/>
        <v>8.4000000000000057</v>
      </c>
      <c r="AA816" s="1351">
        <f t="shared" si="1602"/>
        <v>-32.799999999999997</v>
      </c>
      <c r="AB816" s="1047">
        <f t="shared" si="1602"/>
        <v>-139.50</v>
      </c>
      <c r="AC816" s="1047">
        <f t="shared" si="1603"/>
        <v>53</v>
      </c>
      <c r="AD816" s="1047">
        <f t="shared" si="1603"/>
        <v>-89.800000000000011</v>
      </c>
      <c r="AE816" s="1047">
        <f t="shared" si="1603"/>
        <v>69.900000000000006</v>
      </c>
      <c r="AF816" s="1351">
        <f t="shared" si="1604"/>
        <v>-106.40000000000001</v>
      </c>
      <c r="AG816" s="1047">
        <f t="shared" si="1604"/>
        <v>-137</v>
      </c>
      <c r="AH816" s="1047">
        <f t="shared" si="1605"/>
        <v>108.70</v>
      </c>
      <c r="AI816" s="1047">
        <f t="shared" si="1605"/>
        <v>-120.80</v>
      </c>
      <c r="AJ816" s="1047">
        <f t="shared" si="1605"/>
        <v>-167.70000000000002</v>
      </c>
      <c r="AK816" s="1351">
        <f t="shared" si="1606"/>
        <v>-316.80</v>
      </c>
      <c r="AL816" s="1047">
        <f t="shared" si="1606"/>
        <v>188.30</v>
      </c>
      <c r="AM816" s="1047">
        <f t="shared" si="1607"/>
        <v>76.899999999999977</v>
      </c>
      <c r="AN816" s="1047">
        <f t="shared" si="1607"/>
        <v>-102.09999999999999</v>
      </c>
      <c r="AO816" s="1047">
        <f t="shared" si="1607"/>
        <v>95.299999999999983</v>
      </c>
      <c r="AP816" s="1351">
        <f t="shared" si="1608"/>
        <v>258.39999999999998</v>
      </c>
      <c r="AQ816" s="1047">
        <f t="shared" si="1608"/>
        <v>-299.50</v>
      </c>
      <c r="AR816" s="1047">
        <f t="shared" si="1609"/>
        <v>54.900000000000006</v>
      </c>
      <c r="AS816" s="1047">
        <f t="shared" si="1609"/>
        <v>-33.799999999999983</v>
      </c>
      <c r="AT816" s="1047">
        <f t="shared" si="1609"/>
        <v>203.49999999999997</v>
      </c>
      <c r="AU816" s="1351">
        <f t="shared" si="1610"/>
        <v>-74.900000000000006</v>
      </c>
      <c r="AV816" s="1047">
        <f t="shared" si="1610"/>
        <v>2.50</v>
      </c>
      <c r="AW816" s="1047">
        <f t="shared" si="1611"/>
        <v>-9.1999999999999993</v>
      </c>
      <c r="AX816" s="1047">
        <f t="shared" si="1611"/>
        <v>96.80</v>
      </c>
      <c r="AY816" s="1047">
        <f t="shared" si="1611"/>
        <v>72</v>
      </c>
      <c r="AZ816" s="1351">
        <f t="shared" si="1621" ref="AZ816:BA816">AZ750</f>
        <v>162.09999999999999</v>
      </c>
      <c r="BA816" s="1047">
        <f t="shared" si="1621"/>
        <v>25.90</v>
      </c>
      <c r="BB816" s="1047">
        <f t="shared" si="1613"/>
        <v>26.700000000000003</v>
      </c>
      <c r="BC816" s="1047">
        <f t="shared" si="1613"/>
        <v>7.8999999999999986</v>
      </c>
      <c r="BD816" s="1047">
        <f t="shared" si="1614"/>
        <v>-14.799999999999997</v>
      </c>
      <c r="BE816" s="1351">
        <f t="shared" si="1622" ref="BE816:BF816">BE750</f>
        <v>45.70</v>
      </c>
      <c r="BF816" s="1047">
        <f t="shared" si="1622"/>
        <v>40</v>
      </c>
      <c r="BG816" s="1047">
        <f t="shared" si="1616"/>
        <v>-81</v>
      </c>
      <c r="BH816" s="1048">
        <f t="shared" si="1616"/>
        <v>66.80</v>
      </c>
      <c r="BI816" s="1044"/>
      <c r="BJ816" s="1350">
        <f t="shared" si="1617"/>
        <v>25.799999999999997</v>
      </c>
      <c r="BK816" s="1044"/>
      <c r="BL816" s="1044"/>
      <c r="BM816" s="1044"/>
      <c r="BN816" s="1044"/>
      <c r="BO816" s="1350">
        <f t="shared" si="1618"/>
        <v>0</v>
      </c>
      <c r="BP816" s="1351"/>
      <c r="BQ816" s="1351"/>
      <c r="BR816" s="1350"/>
      <c r="BS816" s="648"/>
    </row>
    <row r="817" spans="1:71" s="686" customFormat="1" ht="15">
      <c r="A817" s="999" t="str">
        <f t="shared" si="1540"/>
        <v>Deferred acquisition costs</v>
      </c>
      <c r="B817" s="321"/>
      <c r="C817" s="1351">
        <f t="shared" si="1594"/>
        <v>11.80</v>
      </c>
      <c r="D817" s="1351">
        <f t="shared" si="1594"/>
        <v>-15</v>
      </c>
      <c r="E817" s="1351">
        <f t="shared" si="1594"/>
        <v>-16.40</v>
      </c>
      <c r="F817" s="1351">
        <f t="shared" si="1594"/>
        <v>-0.90</v>
      </c>
      <c r="G817" s="1351">
        <f t="shared" si="1594"/>
        <v>-13.10</v>
      </c>
      <c r="H817" s="1047">
        <f t="shared" si="1594"/>
        <v>-19.30</v>
      </c>
      <c r="I817" s="1047">
        <f t="shared" si="1595"/>
        <v>-12.099999999999998</v>
      </c>
      <c r="J817" s="1047">
        <f t="shared" si="1595"/>
        <v>-9.3000000000000043</v>
      </c>
      <c r="K817" s="1047">
        <f t="shared" si="1595"/>
        <v>31.10</v>
      </c>
      <c r="L817" s="1351">
        <f t="shared" si="1596"/>
        <v>-9.60</v>
      </c>
      <c r="M817" s="1047">
        <f t="shared" si="1596"/>
        <v>-26.80</v>
      </c>
      <c r="N817" s="1047">
        <f t="shared" si="1597"/>
        <v>-19.599999999999998</v>
      </c>
      <c r="O817" s="1047">
        <f t="shared" si="1597"/>
        <v>-22.60</v>
      </c>
      <c r="P817" s="1047">
        <f t="shared" si="1597"/>
        <v>26.700000000000003</v>
      </c>
      <c r="Q817" s="1351">
        <f t="shared" si="1598"/>
        <v>-42.30</v>
      </c>
      <c r="R817" s="1047">
        <f t="shared" si="1598"/>
        <v>-35.90</v>
      </c>
      <c r="S817" s="1047">
        <f t="shared" si="1599"/>
        <v>-61.90</v>
      </c>
      <c r="T817" s="1047">
        <f t="shared" si="1599"/>
        <v>-30.200000000000003</v>
      </c>
      <c r="U817" s="1047">
        <f t="shared" si="1599"/>
        <v>24.200000000000003</v>
      </c>
      <c r="V817" s="1351">
        <f t="shared" si="1600"/>
        <v>-103.80</v>
      </c>
      <c r="W817" s="1047">
        <f t="shared" si="1600"/>
        <v>-28.30</v>
      </c>
      <c r="X817" s="1047">
        <f t="shared" si="1601"/>
        <v>-47.70</v>
      </c>
      <c r="Y817" s="1047">
        <f t="shared" si="1601"/>
        <v>-55.400000000000006</v>
      </c>
      <c r="Z817" s="1047">
        <f t="shared" si="1601"/>
        <v>2.0999999999999943</v>
      </c>
      <c r="AA817" s="1351">
        <f t="shared" si="1602"/>
        <v>-129.30000000000001</v>
      </c>
      <c r="AB817" s="1047">
        <f t="shared" si="1602"/>
        <v>-61.80</v>
      </c>
      <c r="AC817" s="1047">
        <f t="shared" si="1603"/>
        <v>-53.400000000000006</v>
      </c>
      <c r="AD817" s="1047">
        <f t="shared" si="1603"/>
        <v>-66.999999999999986</v>
      </c>
      <c r="AE817" s="1047">
        <f t="shared" si="1603"/>
        <v>11.099999999999994</v>
      </c>
      <c r="AF817" s="1351">
        <f t="shared" si="1604"/>
        <v>-171.10</v>
      </c>
      <c r="AG817" s="1047">
        <f t="shared" si="1604"/>
        <v>-47.50</v>
      </c>
      <c r="AH817" s="1047">
        <f t="shared" si="1605"/>
        <v>-48.30</v>
      </c>
      <c r="AI817" s="1047">
        <f t="shared" si="1605"/>
        <v>-46.30</v>
      </c>
      <c r="AJ817" s="1047">
        <f t="shared" si="1605"/>
        <v>37.199999999999989</v>
      </c>
      <c r="AK817" s="1351">
        <f t="shared" si="1606"/>
        <v>-104.90000000000001</v>
      </c>
      <c r="AL817" s="1047">
        <f t="shared" si="1606"/>
        <v>-39.299999999999997</v>
      </c>
      <c r="AM817" s="1047">
        <f t="shared" si="1607"/>
        <v>-59</v>
      </c>
      <c r="AN817" s="1047">
        <f t="shared" si="1607"/>
        <v>-110.20</v>
      </c>
      <c r="AO817" s="1047">
        <f t="shared" si="1607"/>
        <v>27.800000000000011</v>
      </c>
      <c r="AP817" s="1351">
        <f t="shared" si="1608"/>
        <v>-180.70</v>
      </c>
      <c r="AQ817" s="1047">
        <f t="shared" si="1608"/>
        <v>-71.900000000000006</v>
      </c>
      <c r="AR817" s="1047">
        <f t="shared" si="1609"/>
        <v>-51.50</v>
      </c>
      <c r="AS817" s="1047">
        <f t="shared" si="1609"/>
        <v>-70.099999999999994</v>
      </c>
      <c r="AT817" s="1047">
        <f t="shared" si="1609"/>
        <v>75.099999999999994</v>
      </c>
      <c r="AU817" s="1351">
        <f t="shared" si="1610"/>
        <v>-118.40000000000001</v>
      </c>
      <c r="AV817" s="1047">
        <f t="shared" si="1610"/>
        <v>-52.10</v>
      </c>
      <c r="AW817" s="1047">
        <f t="shared" si="1611"/>
        <v>-90.700000000000017</v>
      </c>
      <c r="AX817" s="1047">
        <f t="shared" si="1611"/>
        <v>-86.799999999999983</v>
      </c>
      <c r="AY817" s="1047">
        <f t="shared" si="1611"/>
        <v>40.799999999999983</v>
      </c>
      <c r="AZ817" s="1351">
        <f t="shared" si="1623" ref="AZ817:BA817">AZ751</f>
        <v>-188.80</v>
      </c>
      <c r="BA817" s="1047">
        <f t="shared" si="1623"/>
        <v>-82.40</v>
      </c>
      <c r="BB817" s="1047">
        <f t="shared" si="1613"/>
        <v>-58.799999999999983</v>
      </c>
      <c r="BC817" s="1047">
        <f t="shared" si="1613"/>
        <v>-46.50</v>
      </c>
      <c r="BD817" s="1047">
        <f t="shared" si="1614"/>
        <v>44.699999999999989</v>
      </c>
      <c r="BE817" s="1351">
        <f t="shared" si="1624" ref="BE817:BF817">BE751</f>
        <v>-143</v>
      </c>
      <c r="BF817" s="1047">
        <f t="shared" si="1624"/>
        <v>-130.80000000000001</v>
      </c>
      <c r="BG817" s="1047">
        <f t="shared" si="1616"/>
        <v>-120.09999999999999</v>
      </c>
      <c r="BH817" s="1048">
        <f t="shared" si="1616"/>
        <v>-93.299999999999983</v>
      </c>
      <c r="BI817" s="1044">
        <f>-BI316</f>
        <v>-209.37912420505177</v>
      </c>
      <c r="BJ817" s="1350">
        <f t="shared" si="1617"/>
        <v>-553.57912420505181</v>
      </c>
      <c r="BK817" s="1044">
        <f>-BK316</f>
        <v>-307.59523379320126</v>
      </c>
      <c r="BL817" s="1044">
        <f>-BL316</f>
        <v>-317.77721391658883</v>
      </c>
      <c r="BM817" s="1044">
        <f>-BM316</f>
        <v>-332.13306205132403</v>
      </c>
      <c r="BN817" s="1044">
        <f>-BN316</f>
        <v>-255.35599880680411</v>
      </c>
      <c r="BO817" s="1350">
        <f t="shared" si="1618"/>
        <v>-1212.8615085679182</v>
      </c>
      <c r="BP817" s="1351">
        <f>-BP316</f>
        <v>-1388.3077037449002</v>
      </c>
      <c r="BQ817" s="1351">
        <f>-BQ316</f>
        <v>-1535.683103320599</v>
      </c>
      <c r="BR817" s="1350">
        <f>-BR316</f>
        <v>-1692.7004948802687</v>
      </c>
      <c r="BS817" s="648"/>
    </row>
    <row r="818" spans="1:71" s="686" customFormat="1" ht="15">
      <c r="A818" s="999" t="str">
        <f t="shared" si="1540"/>
        <v>Income taxes</v>
      </c>
      <c r="B818" s="321"/>
      <c r="C818" s="1351">
        <f t="shared" si="1594"/>
        <v>29.70</v>
      </c>
      <c r="D818" s="1351">
        <f t="shared" si="1594"/>
        <v>48.10</v>
      </c>
      <c r="E818" s="1351">
        <f t="shared" si="1594"/>
        <v>28.40</v>
      </c>
      <c r="F818" s="1351">
        <f t="shared" si="1594"/>
        <v>19.80</v>
      </c>
      <c r="G818" s="1351">
        <f t="shared" si="1594"/>
        <v>57.80</v>
      </c>
      <c r="H818" s="1047">
        <f t="shared" si="1594"/>
        <v>149.59999999999999</v>
      </c>
      <c r="I818" s="1047">
        <f t="shared" si="1595"/>
        <v>-96</v>
      </c>
      <c r="J818" s="1047">
        <f t="shared" si="1595"/>
        <v>28.499999999999993</v>
      </c>
      <c r="K818" s="1047">
        <f t="shared" si="1595"/>
        <v>15.400000000000006</v>
      </c>
      <c r="L818" s="1351">
        <f t="shared" si="1596"/>
        <v>97.50</v>
      </c>
      <c r="M818" s="1047">
        <f t="shared" si="1596"/>
        <v>80.599999999999994</v>
      </c>
      <c r="N818" s="1047">
        <f t="shared" si="1597"/>
        <v>-163.50</v>
      </c>
      <c r="O818" s="1047">
        <f t="shared" si="1597"/>
        <v>-9.1999999999999886</v>
      </c>
      <c r="P818" s="1047">
        <f t="shared" si="1597"/>
        <v>-15.100000000000009</v>
      </c>
      <c r="Q818" s="1351">
        <f t="shared" si="1598"/>
        <v>-107.20</v>
      </c>
      <c r="R818" s="1047">
        <f t="shared" si="1598"/>
        <v>91.80</v>
      </c>
      <c r="S818" s="1047">
        <f t="shared" si="1599"/>
        <v>-161.09999999999999</v>
      </c>
      <c r="T818" s="1047">
        <f t="shared" si="1599"/>
        <v>-51.900000000000006</v>
      </c>
      <c r="U818" s="1047">
        <f t="shared" si="1599"/>
        <v>65.50</v>
      </c>
      <c r="V818" s="1351">
        <f t="shared" si="1600"/>
        <v>-55.70</v>
      </c>
      <c r="W818" s="1047">
        <f t="shared" si="1600"/>
        <v>212.70</v>
      </c>
      <c r="X818" s="1047">
        <f t="shared" si="1601"/>
        <v>-277</v>
      </c>
      <c r="Y818" s="1047">
        <f t="shared" si="1601"/>
        <v>-46.900000000000006</v>
      </c>
      <c r="Z818" s="1047">
        <f t="shared" si="1601"/>
        <v>-61.399999999999991</v>
      </c>
      <c r="AA818" s="1351">
        <f t="shared" si="1602"/>
        <v>-172.60</v>
      </c>
      <c r="AB818" s="1047">
        <f t="shared" si="1602"/>
        <v>181.10</v>
      </c>
      <c r="AC818" s="1047">
        <f t="shared" si="1603"/>
        <v>-179.10</v>
      </c>
      <c r="AD818" s="1047">
        <f t="shared" si="1603"/>
        <v>23</v>
      </c>
      <c r="AE818" s="1047">
        <f t="shared" si="1603"/>
        <v>-183.70</v>
      </c>
      <c r="AF818" s="1351">
        <f t="shared" si="1604"/>
        <v>-158.69999999999999</v>
      </c>
      <c r="AG818" s="1047">
        <f t="shared" si="1604"/>
        <v>465.20</v>
      </c>
      <c r="AH818" s="1047">
        <f t="shared" si="1605"/>
        <v>-307.79999999999995</v>
      </c>
      <c r="AI818" s="1047">
        <f t="shared" si="1605"/>
        <v>22.299999999999983</v>
      </c>
      <c r="AJ818" s="1047">
        <f t="shared" si="1605"/>
        <v>47.50</v>
      </c>
      <c r="AK818" s="1351">
        <f t="shared" si="1606"/>
        <v>227.20</v>
      </c>
      <c r="AL818" s="1047">
        <f t="shared" si="1606"/>
        <v>128.69999999999999</v>
      </c>
      <c r="AM818" s="1047">
        <f t="shared" si="1607"/>
        <v>461.90</v>
      </c>
      <c r="AN818" s="1047">
        <f t="shared" si="1607"/>
        <v>-668.70</v>
      </c>
      <c r="AO818" s="1047">
        <f t="shared" si="1607"/>
        <v>54.999999999999993</v>
      </c>
      <c r="AP818" s="1351">
        <f t="shared" si="1608"/>
        <v>-23.10</v>
      </c>
      <c r="AQ818" s="1047">
        <f t="shared" si="1608"/>
        <v>283.80</v>
      </c>
      <c r="AR818" s="1047">
        <f t="shared" si="1609"/>
        <v>-364.80</v>
      </c>
      <c r="AS818" s="1047">
        <f t="shared" si="1609"/>
        <v>-75.199999999999989</v>
      </c>
      <c r="AT818" s="1047">
        <f t="shared" si="1609"/>
        <v>70.199999999999989</v>
      </c>
      <c r="AU818" s="1351">
        <f t="shared" si="1610"/>
        <v>-86</v>
      </c>
      <c r="AV818" s="1047">
        <f t="shared" si="1610"/>
        <v>76.20</v>
      </c>
      <c r="AW818" s="1047">
        <f t="shared" si="1611"/>
        <v>-453.40</v>
      </c>
      <c r="AX818" s="1047">
        <f t="shared" si="1611"/>
        <v>-214.40000000000003</v>
      </c>
      <c r="AY818" s="1047">
        <f t="shared" si="1611"/>
        <v>76.300000000000068</v>
      </c>
      <c r="AZ818" s="1351">
        <f t="shared" si="1625" ref="AZ818:BA818">AZ752</f>
        <v>-515.29999999999995</v>
      </c>
      <c r="BA818" s="1047">
        <f t="shared" si="1625"/>
        <v>106.59999999999999</v>
      </c>
      <c r="BB818" s="1047">
        <f t="shared" si="1613"/>
        <v>-267.70</v>
      </c>
      <c r="BC818" s="1047">
        <f t="shared" si="1613"/>
        <v>234.70</v>
      </c>
      <c r="BD818" s="1047">
        <f t="shared" si="1614"/>
        <v>107.59999999999999</v>
      </c>
      <c r="BE818" s="1351">
        <f t="shared" si="1626" ref="BE818:BF818">BE752</f>
        <v>181.20</v>
      </c>
      <c r="BF818" s="1047">
        <f t="shared" si="1626"/>
        <v>609.50</v>
      </c>
      <c r="BG818" s="1047">
        <f t="shared" si="1616"/>
        <v>-950.70</v>
      </c>
      <c r="BH818" s="1048">
        <f t="shared" si="1616"/>
        <v>-25.600000000000023</v>
      </c>
      <c r="BI818" s="1044"/>
      <c r="BJ818" s="1350">
        <f t="shared" si="1617"/>
        <v>-366.80000000000007</v>
      </c>
      <c r="BK818" s="1044"/>
      <c r="BL818" s="1044"/>
      <c r="BM818" s="1044"/>
      <c r="BN818" s="1044"/>
      <c r="BO818" s="1350">
        <f t="shared" si="1618"/>
        <v>0</v>
      </c>
      <c r="BP818" s="1351"/>
      <c r="BQ818" s="1351"/>
      <c r="BR818" s="1350"/>
      <c r="BS818" s="648"/>
    </row>
    <row r="819" spans="1:71" s="686" customFormat="1" ht="15">
      <c r="A819" s="999" t="str">
        <f t="shared" si="1540"/>
        <v>Unearned premiums</v>
      </c>
      <c r="B819" s="321"/>
      <c r="C819" s="1351">
        <f t="shared" si="1594"/>
        <v>-3</v>
      </c>
      <c r="D819" s="1351">
        <f t="shared" si="1594"/>
        <v>180.80</v>
      </c>
      <c r="E819" s="1351">
        <f t="shared" si="1594"/>
        <v>225.60</v>
      </c>
      <c r="F819" s="1351">
        <f t="shared" si="1594"/>
        <v>351.10</v>
      </c>
      <c r="G819" s="1351">
        <f t="shared" si="1594"/>
        <v>244.80</v>
      </c>
      <c r="H819" s="1047">
        <f t="shared" si="1594"/>
        <v>285.60000000000002</v>
      </c>
      <c r="I819" s="1047">
        <f t="shared" si="1595"/>
        <v>122.09999999999997</v>
      </c>
      <c r="J819" s="1047">
        <f t="shared" si="1595"/>
        <v>194.70</v>
      </c>
      <c r="K819" s="1047">
        <f t="shared" si="1595"/>
        <v>-336</v>
      </c>
      <c r="L819" s="1351">
        <f t="shared" si="1596"/>
        <v>266.39999999999998</v>
      </c>
      <c r="M819" s="1047">
        <f t="shared" si="1596"/>
        <v>414.40</v>
      </c>
      <c r="N819" s="1047">
        <f t="shared" si="1597"/>
        <v>237.60000000000002</v>
      </c>
      <c r="O819" s="1047">
        <f t="shared" si="1597"/>
        <v>330.70000000000005</v>
      </c>
      <c r="P819" s="1047">
        <f t="shared" si="1597"/>
        <v>-350.30000000000007</v>
      </c>
      <c r="Q819" s="1351">
        <f t="shared" si="1598"/>
        <v>632.40</v>
      </c>
      <c r="R819" s="1047">
        <f t="shared" si="1598"/>
        <v>518.60</v>
      </c>
      <c r="S819" s="1047">
        <f t="shared" si="1599"/>
        <v>314</v>
      </c>
      <c r="T819" s="1047">
        <f t="shared" si="1599"/>
        <v>321.99999999999989</v>
      </c>
      <c r="U819" s="1047">
        <f t="shared" si="1599"/>
        <v>-323.89999999999986</v>
      </c>
      <c r="V819" s="1351">
        <f t="shared" si="1600"/>
        <v>830.70</v>
      </c>
      <c r="W819" s="1047">
        <f t="shared" si="1600"/>
        <v>476.30</v>
      </c>
      <c r="X819" s="1047">
        <f t="shared" si="1601"/>
        <v>462.70</v>
      </c>
      <c r="Y819" s="1047">
        <f t="shared" si="1601"/>
        <v>597.70000000000005</v>
      </c>
      <c r="Z819" s="1047">
        <f t="shared" si="1601"/>
        <v>-101.79999999999995</v>
      </c>
      <c r="AA819" s="1351">
        <f t="shared" si="1602"/>
        <v>1434.90</v>
      </c>
      <c r="AB819" s="1047">
        <f t="shared" si="1602"/>
        <v>934.30</v>
      </c>
      <c r="AC819" s="1047">
        <f t="shared" si="1603"/>
        <v>408.10000000000014</v>
      </c>
      <c r="AD819" s="1047">
        <f t="shared" si="1603"/>
        <v>763.29999999999973</v>
      </c>
      <c r="AE819" s="1047">
        <f t="shared" si="1603"/>
        <v>-322.69999999999982</v>
      </c>
      <c r="AF819" s="1351">
        <f t="shared" si="1604"/>
        <v>1783</v>
      </c>
      <c r="AG819" s="1047">
        <f t="shared" si="1604"/>
        <v>917.10</v>
      </c>
      <c r="AH819" s="1047">
        <f t="shared" si="1605"/>
        <v>193.10000000000002</v>
      </c>
      <c r="AI819" s="1047">
        <f t="shared" si="1605"/>
        <v>729.80</v>
      </c>
      <c r="AJ819" s="1047">
        <f t="shared" si="1605"/>
        <v>-137.70000000000005</v>
      </c>
      <c r="AK819" s="1351">
        <f t="shared" si="1606"/>
        <v>1702.30</v>
      </c>
      <c r="AL819" s="1047">
        <f t="shared" si="1606"/>
        <v>252.30</v>
      </c>
      <c r="AM819" s="1047">
        <f t="shared" si="1607"/>
        <v>414.49999999999994</v>
      </c>
      <c r="AN819" s="1047">
        <f t="shared" si="1607"/>
        <v>1143.70</v>
      </c>
      <c r="AO819" s="1047">
        <f t="shared" si="1607"/>
        <v>-761.80</v>
      </c>
      <c r="AP819" s="1351">
        <f t="shared" si="1608"/>
        <v>1048.70</v>
      </c>
      <c r="AQ819" s="1047">
        <f t="shared" si="1608"/>
        <v>1608.40</v>
      </c>
      <c r="AR819" s="1047">
        <f t="shared" si="1609"/>
        <v>443.09999999999991</v>
      </c>
      <c r="AS819" s="1047">
        <f t="shared" si="1609"/>
        <v>1115.50</v>
      </c>
      <c r="AT819" s="1047">
        <f t="shared" si="1609"/>
        <v>-1055.5999999999999</v>
      </c>
      <c r="AU819" s="1351">
        <f t="shared" si="1610"/>
        <v>2111.40</v>
      </c>
      <c r="AV819" s="1047">
        <f t="shared" si="1610"/>
        <v>1375.60</v>
      </c>
      <c r="AW819" s="1047">
        <f t="shared" si="1611"/>
        <v>283.40000000000009</v>
      </c>
      <c r="AX819" s="1047">
        <f t="shared" si="1611"/>
        <v>522.09999999999991</v>
      </c>
      <c r="AY819" s="1047">
        <f t="shared" si="1611"/>
        <v>-503.29999999999995</v>
      </c>
      <c r="AZ819" s="1351">
        <f t="shared" si="1627" ref="AZ819:BA819">AZ753</f>
        <v>1677.80</v>
      </c>
      <c r="BA819" s="1047">
        <f t="shared" si="1627"/>
        <v>2550.6999999999998</v>
      </c>
      <c r="BB819" s="1047">
        <f t="shared" si="1613"/>
        <v>225.80000000000018</v>
      </c>
      <c r="BC819" s="1047">
        <f t="shared" si="1613"/>
        <v>691.59999999999991</v>
      </c>
      <c r="BD819" s="1047">
        <f t="shared" si="1614"/>
        <v>-628</v>
      </c>
      <c r="BE819" s="1351">
        <f t="shared" si="1628" ref="BE819:BF819">BE753</f>
        <v>2840.10</v>
      </c>
      <c r="BF819" s="1047">
        <f t="shared" si="1628"/>
        <v>2773.60</v>
      </c>
      <c r="BG819" s="1047">
        <f t="shared" si="1616"/>
        <v>773.09999999999991</v>
      </c>
      <c r="BH819" s="1048">
        <f t="shared" si="1616"/>
        <v>1092.1000000000004</v>
      </c>
      <c r="BI819" s="1044">
        <f>BI554</f>
        <v>289.04519895861449</v>
      </c>
      <c r="BJ819" s="1350">
        <f t="shared" si="1617"/>
        <v>4927.8451989586147</v>
      </c>
      <c r="BK819" s="1044">
        <f>BK554</f>
        <v>406.51771797349284</v>
      </c>
      <c r="BL819" s="1044">
        <f>BL554</f>
        <v>933.3307510230843</v>
      </c>
      <c r="BM819" s="1044">
        <f>BM554</f>
        <v>914.65047259122002</v>
      </c>
      <c r="BN819" s="1044">
        <f>BN554</f>
        <v>322.43239969515707</v>
      </c>
      <c r="BO819" s="1350">
        <f t="shared" si="1618"/>
        <v>2576.9313412829542</v>
      </c>
      <c r="BP819" s="1351">
        <f>BP554</f>
        <v>2776.9546087169438</v>
      </c>
      <c r="BQ819" s="1351">
        <f>BQ554</f>
        <v>2889.1435749091033</v>
      </c>
      <c r="BR819" s="1350">
        <f>BR554</f>
        <v>3005.8649753354257</v>
      </c>
      <c r="BS819" s="648"/>
    </row>
    <row r="820" spans="1:71" s="686" customFormat="1" ht="15">
      <c r="A820" s="999" t="str">
        <f t="shared" si="1540"/>
        <v>Loss and loss adjustment expense reserves</v>
      </c>
      <c r="B820" s="321"/>
      <c r="C820" s="1351">
        <f t="shared" si="1594"/>
        <v>475.60</v>
      </c>
      <c r="D820" s="1351">
        <f t="shared" si="1594"/>
        <v>418</v>
      </c>
      <c r="E820" s="1351">
        <f t="shared" si="1594"/>
        <v>174.80</v>
      </c>
      <c r="F820" s="1351">
        <f t="shared" si="1594"/>
        <v>592.60</v>
      </c>
      <c r="G820" s="1351">
        <f t="shared" si="1594"/>
        <v>641.60</v>
      </c>
      <c r="H820" s="1047">
        <f t="shared" si="1594"/>
        <v>112.90000000000001</v>
      </c>
      <c r="I820" s="1047">
        <f t="shared" si="1595"/>
        <v>47.199999999999989</v>
      </c>
      <c r="J820" s="1047">
        <f t="shared" si="1595"/>
        <v>88.60</v>
      </c>
      <c r="K820" s="1047">
        <f t="shared" si="1595"/>
        <v>129.30000000000001</v>
      </c>
      <c r="L820" s="1351">
        <f t="shared" si="1596"/>
        <v>378</v>
      </c>
      <c r="M820" s="1047">
        <f t="shared" si="1596"/>
        <v>144.40000000000001</v>
      </c>
      <c r="N820" s="1047">
        <f t="shared" si="1597"/>
        <v>393.30000000000007</v>
      </c>
      <c r="O820" s="1047">
        <f t="shared" si="1597"/>
        <v>168.09999999999991</v>
      </c>
      <c r="P820" s="1047">
        <f t="shared" si="1597"/>
        <v>211.90000000000009</v>
      </c>
      <c r="Q820" s="1351">
        <f t="shared" si="1598"/>
        <v>917.70</v>
      </c>
      <c r="R820" s="1047">
        <f t="shared" si="1598"/>
        <v>247.60</v>
      </c>
      <c r="S820" s="1047">
        <f t="shared" si="1599"/>
        <v>382.40</v>
      </c>
      <c r="T820" s="1047">
        <f t="shared" si="1599"/>
        <v>553.20000000000005</v>
      </c>
      <c r="U820" s="1047">
        <f t="shared" si="1599"/>
        <v>140</v>
      </c>
      <c r="V820" s="1351">
        <f t="shared" si="1600"/>
        <v>1323.20</v>
      </c>
      <c r="W820" s="1047">
        <f t="shared" si="1600"/>
        <v>260.80</v>
      </c>
      <c r="X820" s="1047">
        <f t="shared" si="1601"/>
        <v>431.49999999999994</v>
      </c>
      <c r="Y820" s="1047">
        <f t="shared" si="1601"/>
        <v>1292.80</v>
      </c>
      <c r="Z820" s="1047">
        <f t="shared" si="1601"/>
        <v>-266.29999999999995</v>
      </c>
      <c r="AA820" s="1351">
        <f t="shared" si="1602"/>
        <v>1718.80</v>
      </c>
      <c r="AB820" s="1047">
        <f t="shared" si="1602"/>
        <v>242.10</v>
      </c>
      <c r="AC820" s="1047">
        <f t="shared" si="1603"/>
        <v>741.80</v>
      </c>
      <c r="AD820" s="1047">
        <f t="shared" si="1603"/>
        <v>550.00000000000011</v>
      </c>
      <c r="AE820" s="1047">
        <f t="shared" si="1603"/>
        <v>780</v>
      </c>
      <c r="AF820" s="1351">
        <f t="shared" si="1604"/>
        <v>2313.90</v>
      </c>
      <c r="AG820" s="1047">
        <f t="shared" si="1604"/>
        <v>475.80</v>
      </c>
      <c r="AH820" s="1047">
        <f t="shared" si="1605"/>
        <v>692</v>
      </c>
      <c r="AI820" s="1047">
        <f t="shared" si="1605"/>
        <v>801.40000000000009</v>
      </c>
      <c r="AJ820" s="1047">
        <f t="shared" si="1605"/>
        <v>735.39999999999986</v>
      </c>
      <c r="AK820" s="1351">
        <f t="shared" si="1606"/>
        <v>2704.60</v>
      </c>
      <c r="AL820" s="1047">
        <f t="shared" si="1606"/>
        <v>201.10</v>
      </c>
      <c r="AM820" s="1047">
        <f t="shared" si="1607"/>
        <v>205.50000000000003</v>
      </c>
      <c r="AN820" s="1047">
        <f t="shared" si="1607"/>
        <v>1077.1999999999998</v>
      </c>
      <c r="AO820" s="1047">
        <f t="shared" si="1607"/>
        <v>676.60000000000014</v>
      </c>
      <c r="AP820" s="1351">
        <f t="shared" si="1608"/>
        <v>2160.40</v>
      </c>
      <c r="AQ820" s="1047">
        <f t="shared" si="1608"/>
        <v>797.90</v>
      </c>
      <c r="AR820" s="1047">
        <f t="shared" si="1609"/>
        <v>1683.10</v>
      </c>
      <c r="AS820" s="1047">
        <f t="shared" si="1609"/>
        <v>2030.6999999999998</v>
      </c>
      <c r="AT820" s="1047">
        <f t="shared" si="1609"/>
        <v>241.10000000000036</v>
      </c>
      <c r="AU820" s="1351">
        <f t="shared" si="1610"/>
        <v>4752.80</v>
      </c>
      <c r="AV820" s="1047">
        <f t="shared" si="1610"/>
        <v>590.10</v>
      </c>
      <c r="AW820" s="1047">
        <f t="shared" si="1611"/>
        <v>1057.8000000000002</v>
      </c>
      <c r="AX820" s="1047">
        <f t="shared" si="1611"/>
        <v>2819.7999999999997</v>
      </c>
      <c r="AY820" s="1047">
        <f t="shared" si="1611"/>
        <v>-272.50</v>
      </c>
      <c r="AZ820" s="1351">
        <f t="shared" si="1629" ref="AZ820:BA820">AZ754</f>
        <v>4195.20</v>
      </c>
      <c r="BA820" s="1047">
        <f t="shared" si="1629"/>
        <v>667.10</v>
      </c>
      <c r="BB820" s="1047">
        <f t="shared" si="1613"/>
        <v>1726.90</v>
      </c>
      <c r="BC820" s="1047">
        <f t="shared" si="1613"/>
        <v>824</v>
      </c>
      <c r="BD820" s="1047">
        <f t="shared" si="1614"/>
        <v>811.90000000000009</v>
      </c>
      <c r="BE820" s="1351">
        <f t="shared" si="1630" ref="BE820:BF820">BE754</f>
        <v>4029.90</v>
      </c>
      <c r="BF820" s="1047">
        <f t="shared" si="1630"/>
        <v>441.80</v>
      </c>
      <c r="BG820" s="1047">
        <f t="shared" si="1616"/>
        <v>1774.20</v>
      </c>
      <c r="BH820" s="1048">
        <f t="shared" si="1616"/>
        <v>1456.3000000000002</v>
      </c>
      <c r="BI820" s="1044">
        <f>BI563</f>
        <v>1085.0668001946979</v>
      </c>
      <c r="BJ820" s="1350">
        <f t="shared" si="1617"/>
        <v>4757.366800194698</v>
      </c>
      <c r="BK820" s="1044">
        <f>BK563</f>
        <v>1286.8928612564614</v>
      </c>
      <c r="BL820" s="1044">
        <f>BL563</f>
        <v>1200.9814222460082</v>
      </c>
      <c r="BM820" s="1044">
        <f>BM563</f>
        <v>1242.82264512033</v>
      </c>
      <c r="BN820" s="1044">
        <f>BN563</f>
        <v>1189.1627059913626</v>
      </c>
      <c r="BO820" s="1350">
        <f t="shared" si="1618"/>
        <v>4919.8596346141621</v>
      </c>
      <c r="BP820" s="1351">
        <f>BP563</f>
        <v>5274.0725259969768</v>
      </c>
      <c r="BQ820" s="1351">
        <f>BQ563</f>
        <v>5487.1450560472585</v>
      </c>
      <c r="BR820" s="1350">
        <f>BR563</f>
        <v>5708.8257163115632</v>
      </c>
      <c r="BS820" s="648"/>
    </row>
    <row r="821" spans="1:71" s="686" customFormat="1" ht="15">
      <c r="A821" s="999" t="str">
        <f t="shared" si="1540"/>
        <v>Accounts payable, accrued expenses, and other liabilities</v>
      </c>
      <c r="B821" s="321"/>
      <c r="C821" s="1351">
        <f t="shared" si="1594"/>
        <v>-71.80</v>
      </c>
      <c r="D821" s="1351">
        <f t="shared" si="1594"/>
        <v>210.20</v>
      </c>
      <c r="E821" s="1351">
        <f t="shared" si="1594"/>
        <v>35.50</v>
      </c>
      <c r="F821" s="1351">
        <f t="shared" si="1594"/>
        <v>123.59999999999999</v>
      </c>
      <c r="G821" s="1351">
        <f t="shared" si="1594"/>
        <v>165</v>
      </c>
      <c r="H821" s="1047">
        <f t="shared" si="1594"/>
        <v>77</v>
      </c>
      <c r="I821" s="1047">
        <f t="shared" si="1595"/>
        <v>87</v>
      </c>
      <c r="J821" s="1047">
        <f t="shared" si="1595"/>
        <v>169.10000000000002</v>
      </c>
      <c r="K821" s="1047">
        <f t="shared" si="1595"/>
        <v>-241.10000000000002</v>
      </c>
      <c r="L821" s="1351">
        <f t="shared" si="1596"/>
        <v>92</v>
      </c>
      <c r="M821" s="1047">
        <f t="shared" si="1596"/>
        <v>106.90000000000001</v>
      </c>
      <c r="N821" s="1047">
        <f t="shared" si="1597"/>
        <v>-40</v>
      </c>
      <c r="O821" s="1047">
        <f t="shared" si="1597"/>
        <v>151.79999999999998</v>
      </c>
      <c r="P821" s="1047">
        <f t="shared" si="1597"/>
        <v>-180.79999999999998</v>
      </c>
      <c r="Q821" s="1351">
        <f t="shared" si="1598"/>
        <v>37.90</v>
      </c>
      <c r="R821" s="1047">
        <f t="shared" si="1598"/>
        <v>200.10</v>
      </c>
      <c r="S821" s="1047">
        <f t="shared" si="1599"/>
        <v>176.50000000000003</v>
      </c>
      <c r="T821" s="1047">
        <f t="shared" si="1599"/>
        <v>88.199999999999989</v>
      </c>
      <c r="U821" s="1047">
        <f t="shared" si="1599"/>
        <v>-155.90000000000003</v>
      </c>
      <c r="V821" s="1351">
        <f t="shared" si="1600"/>
        <v>308.89999999999998</v>
      </c>
      <c r="W821" s="1047">
        <f t="shared" si="1600"/>
        <v>137.40000000000001</v>
      </c>
      <c r="X821" s="1047">
        <f t="shared" si="1601"/>
        <v>292.79999999999995</v>
      </c>
      <c r="Y821" s="1047">
        <f t="shared" si="1601"/>
        <v>191.90000000000003</v>
      </c>
      <c r="Z821" s="1047">
        <f t="shared" si="1601"/>
        <v>-222.10000000000002</v>
      </c>
      <c r="AA821" s="1351">
        <f t="shared" si="1602"/>
        <v>400</v>
      </c>
      <c r="AB821" s="1047">
        <f t="shared" si="1602"/>
        <v>283.20</v>
      </c>
      <c r="AC821" s="1047">
        <f t="shared" si="1603"/>
        <v>417.20</v>
      </c>
      <c r="AD821" s="1047">
        <f t="shared" si="1603"/>
        <v>332.40</v>
      </c>
      <c r="AE821" s="1047">
        <f t="shared" si="1603"/>
        <v>-286.19999999999993</v>
      </c>
      <c r="AF821" s="1351">
        <f t="shared" si="1604"/>
        <v>746.60</v>
      </c>
      <c r="AG821" s="1047">
        <f t="shared" si="1604"/>
        <v>291.50</v>
      </c>
      <c r="AH821" s="1047">
        <f t="shared" si="1605"/>
        <v>314.29999999999995</v>
      </c>
      <c r="AI821" s="1047">
        <f t="shared" si="1605"/>
        <v>314.70000000000005</v>
      </c>
      <c r="AJ821" s="1047">
        <f t="shared" si="1605"/>
        <v>-308.89999999999998</v>
      </c>
      <c r="AK821" s="1351">
        <f t="shared" si="1606"/>
        <v>611.60</v>
      </c>
      <c r="AL821" s="1047">
        <f t="shared" si="1606"/>
        <v>-189.90</v>
      </c>
      <c r="AM821" s="1047">
        <f t="shared" si="1607"/>
        <v>187.90</v>
      </c>
      <c r="AN821" s="1047">
        <f t="shared" si="1607"/>
        <v>321.70</v>
      </c>
      <c r="AO821" s="1047">
        <f t="shared" si="1607"/>
        <v>9.1999999999999886</v>
      </c>
      <c r="AP821" s="1351">
        <f t="shared" si="1608"/>
        <v>328.90</v>
      </c>
      <c r="AQ821" s="1047">
        <f t="shared" si="1608"/>
        <v>380.10</v>
      </c>
      <c r="AR821" s="1047">
        <f t="shared" si="1609"/>
        <v>337.69999999999993</v>
      </c>
      <c r="AS821" s="1047">
        <f t="shared" si="1609"/>
        <v>315.20000000000005</v>
      </c>
      <c r="AT821" s="1047">
        <f t="shared" si="1609"/>
        <v>-633.29999999999995</v>
      </c>
      <c r="AU821" s="1351">
        <f t="shared" si="1610"/>
        <v>399.70</v>
      </c>
      <c r="AV821" s="1047">
        <f t="shared" si="1610"/>
        <v>545.10</v>
      </c>
      <c r="AW821" s="1047">
        <f t="shared" si="1611"/>
        <v>-108.60000000000002</v>
      </c>
      <c r="AX821" s="1047">
        <f t="shared" si="1611"/>
        <v>110</v>
      </c>
      <c r="AY821" s="1047">
        <f t="shared" si="1611"/>
        <v>-347</v>
      </c>
      <c r="AZ821" s="1351">
        <f t="shared" si="1631" ref="AZ821:BA821">AZ755</f>
        <v>199.50</v>
      </c>
      <c r="BA821" s="1047">
        <f t="shared" si="1631"/>
        <v>565.50</v>
      </c>
      <c r="BB821" s="1047">
        <f t="shared" si="1613"/>
        <v>194.50</v>
      </c>
      <c r="BC821" s="1047">
        <f t="shared" si="1613"/>
        <v>329.09999999999991</v>
      </c>
      <c r="BD821" s="1047">
        <f t="shared" si="1614"/>
        <v>-389.49999999999989</v>
      </c>
      <c r="BE821" s="1351">
        <f t="shared" si="1632" ref="BE821:BF821">BE755</f>
        <v>699.60</v>
      </c>
      <c r="BF821" s="1047">
        <f t="shared" si="1632"/>
        <v>457.80</v>
      </c>
      <c r="BG821" s="1047">
        <f t="shared" si="1616"/>
        <v>599.90000000000009</v>
      </c>
      <c r="BH821" s="1048">
        <f t="shared" si="1616"/>
        <v>542.59999999999991</v>
      </c>
      <c r="BI821" s="1044"/>
      <c r="BJ821" s="1350">
        <f t="shared" si="1617"/>
        <v>1600.30</v>
      </c>
      <c r="BK821" s="1044"/>
      <c r="BL821" s="1044"/>
      <c r="BM821" s="1044"/>
      <c r="BN821" s="1044"/>
      <c r="BO821" s="1350">
        <f t="shared" si="1618"/>
        <v>0</v>
      </c>
      <c r="BP821" s="1351"/>
      <c r="BQ821" s="1351"/>
      <c r="BR821" s="1350"/>
      <c r="BS821" s="648"/>
    </row>
    <row r="822" spans="1:71" s="686" customFormat="1" ht="15">
      <c r="A822" s="999" t="str">
        <f t="shared" si="1540"/>
        <v>Restricted cash</v>
      </c>
      <c r="B822" s="321"/>
      <c r="C822" s="1351">
        <f t="shared" si="1594"/>
        <v>0</v>
      </c>
      <c r="D822" s="1351">
        <f t="shared" si="1594"/>
        <v>0</v>
      </c>
      <c r="E822" s="1351">
        <f t="shared" si="1594"/>
        <v>0</v>
      </c>
      <c r="F822" s="1351">
        <f t="shared" si="1594"/>
        <v>0</v>
      </c>
      <c r="G822" s="1351">
        <f t="shared" si="1594"/>
        <v>0</v>
      </c>
      <c r="H822" s="1047">
        <f t="shared" si="1594"/>
        <v>0</v>
      </c>
      <c r="I822" s="1047">
        <f t="shared" si="1595"/>
        <v>0</v>
      </c>
      <c r="J822" s="1047">
        <f t="shared" si="1595"/>
        <v>0</v>
      </c>
      <c r="K822" s="1047">
        <f t="shared" si="1595"/>
        <v>0</v>
      </c>
      <c r="L822" s="1351">
        <f t="shared" si="1596"/>
        <v>0</v>
      </c>
      <c r="M822" s="1047">
        <f t="shared" si="1596"/>
        <v>0</v>
      </c>
      <c r="N822" s="1047">
        <f>N756-M756</f>
        <v>0</v>
      </c>
      <c r="O822" s="1047">
        <f>O756-N756</f>
        <v>0</v>
      </c>
      <c r="P822" s="1047"/>
      <c r="Q822" s="1351"/>
      <c r="R822" s="1047"/>
      <c r="S822" s="1047"/>
      <c r="T822" s="1047">
        <f>T756-S756</f>
        <v>-22</v>
      </c>
      <c r="U822" s="1047">
        <f>U756-T756</f>
        <v>7.40</v>
      </c>
      <c r="V822" s="1351">
        <f t="shared" si="1600"/>
        <v>-14.60</v>
      </c>
      <c r="W822" s="1047">
        <f t="shared" si="1600"/>
        <v>14.40</v>
      </c>
      <c r="X822" s="1047">
        <f t="shared" si="1601"/>
        <v>-0.30000000000000071</v>
      </c>
      <c r="Y822" s="1047">
        <f t="shared" si="1601"/>
        <v>-30.60</v>
      </c>
      <c r="Z822" s="1047">
        <f t="shared" si="1601"/>
        <v>16.50</v>
      </c>
      <c r="AA822" s="1351">
        <f t="shared" si="1602"/>
        <v>0</v>
      </c>
      <c r="AB822" s="1047">
        <f t="shared" si="1602"/>
        <v>0</v>
      </c>
      <c r="AC822" s="1047">
        <f t="shared" si="1603"/>
        <v>0</v>
      </c>
      <c r="AD822" s="1047">
        <f t="shared" si="1603"/>
        <v>0</v>
      </c>
      <c r="AE822" s="1047">
        <f t="shared" si="1603"/>
        <v>0</v>
      </c>
      <c r="AF822" s="1351">
        <f t="shared" si="1604"/>
        <v>0</v>
      </c>
      <c r="AG822" s="1047">
        <f t="shared" si="1604"/>
        <v>0</v>
      </c>
      <c r="AH822" s="1047">
        <f t="shared" si="1605"/>
        <v>0</v>
      </c>
      <c r="AI822" s="1047">
        <f t="shared" si="1605"/>
        <v>0</v>
      </c>
      <c r="AJ822" s="1047">
        <f t="shared" si="1605"/>
        <v>0</v>
      </c>
      <c r="AK822" s="1351">
        <f t="shared" si="1606"/>
        <v>0</v>
      </c>
      <c r="AL822" s="1047">
        <f t="shared" si="1606"/>
        <v>0</v>
      </c>
      <c r="AM822" s="1047">
        <f t="shared" si="1607"/>
        <v>0</v>
      </c>
      <c r="AN822" s="1047">
        <f t="shared" si="1607"/>
        <v>0</v>
      </c>
      <c r="AO822" s="1047">
        <f t="shared" si="1607"/>
        <v>0</v>
      </c>
      <c r="AP822" s="1351">
        <f t="shared" si="1608"/>
        <v>0</v>
      </c>
      <c r="AQ822" s="1047">
        <f t="shared" si="1608"/>
        <v>0</v>
      </c>
      <c r="AR822" s="1047">
        <f t="shared" si="1609"/>
        <v>0</v>
      </c>
      <c r="AS822" s="1047">
        <f t="shared" si="1609"/>
        <v>0</v>
      </c>
      <c r="AT822" s="1047">
        <f t="shared" si="1609"/>
        <v>0</v>
      </c>
      <c r="AU822" s="1351">
        <f t="shared" si="1610"/>
        <v>0</v>
      </c>
      <c r="AV822" s="1047">
        <f t="shared" si="1610"/>
        <v>0</v>
      </c>
      <c r="AW822" s="1047">
        <f t="shared" si="1611"/>
        <v>0</v>
      </c>
      <c r="AX822" s="1047">
        <f t="shared" si="1611"/>
        <v>0</v>
      </c>
      <c r="AY822" s="1047">
        <f t="shared" si="1611"/>
        <v>0</v>
      </c>
      <c r="AZ822" s="1351">
        <f t="shared" si="1633" ref="AZ822:BA822">AZ756</f>
        <v>0</v>
      </c>
      <c r="BA822" s="1047">
        <f t="shared" si="1633"/>
        <v>0</v>
      </c>
      <c r="BB822" s="1047">
        <f t="shared" si="1613"/>
        <v>0</v>
      </c>
      <c r="BC822" s="1047">
        <f t="shared" si="1613"/>
        <v>0</v>
      </c>
      <c r="BD822" s="1047">
        <f t="shared" si="1614"/>
        <v>0</v>
      </c>
      <c r="BE822" s="1351">
        <f t="shared" si="1634" ref="BE822:BF822">BE756</f>
        <v>0</v>
      </c>
      <c r="BF822" s="1047">
        <f t="shared" si="1634"/>
        <v>0</v>
      </c>
      <c r="BG822" s="1047">
        <f t="shared" si="1616"/>
        <v>0</v>
      </c>
      <c r="BH822" s="1048">
        <f t="shared" si="1616"/>
        <v>0</v>
      </c>
      <c r="BI822" s="1044"/>
      <c r="BJ822" s="1350">
        <f t="shared" si="1617"/>
        <v>0</v>
      </c>
      <c r="BK822" s="1044"/>
      <c r="BL822" s="1044"/>
      <c r="BM822" s="1044"/>
      <c r="BN822" s="1044"/>
      <c r="BO822" s="1350">
        <f t="shared" si="1618"/>
        <v>0</v>
      </c>
      <c r="BP822" s="1351"/>
      <c r="BQ822" s="1351"/>
      <c r="BR822" s="1350"/>
      <c r="BS822" s="648"/>
    </row>
    <row r="823" spans="1:71" s="686" customFormat="1" ht="15">
      <c r="A823" s="1001" t="str">
        <f t="shared" si="1540"/>
        <v>Other, net</v>
      </c>
      <c r="B823" s="261"/>
      <c r="C823" s="1324">
        <f t="shared" si="1594"/>
        <v>-28.20</v>
      </c>
      <c r="D823" s="1324">
        <f t="shared" si="1594"/>
        <v>-10</v>
      </c>
      <c r="E823" s="1324">
        <f t="shared" si="1594"/>
        <v>5.90</v>
      </c>
      <c r="F823" s="1324">
        <f t="shared" si="1594"/>
        <v>-10.40</v>
      </c>
      <c r="G823" s="1324">
        <f t="shared" si="1594"/>
        <v>-28.10</v>
      </c>
      <c r="H823" s="1029">
        <f t="shared" si="1594"/>
        <v>27.20</v>
      </c>
      <c r="I823" s="1029">
        <f t="shared" si="1595"/>
        <v>2.3000000000000007</v>
      </c>
      <c r="J823" s="1029">
        <f t="shared" si="1595"/>
        <v>-1.1000000000000014</v>
      </c>
      <c r="K823" s="1029">
        <f t="shared" si="1595"/>
        <v>-41.599999999999994</v>
      </c>
      <c r="L823" s="1324">
        <f t="shared" si="1596"/>
        <v>-13.20</v>
      </c>
      <c r="M823" s="1029">
        <f t="shared" si="1596"/>
        <v>13.60</v>
      </c>
      <c r="N823" s="1029">
        <f>N757-M757</f>
        <v>15.70</v>
      </c>
      <c r="O823" s="1029">
        <f>O757-N757</f>
        <v>-6.3000000000000007</v>
      </c>
      <c r="P823" s="1029">
        <f>P757-O757</f>
        <v>-83.20</v>
      </c>
      <c r="Q823" s="1324">
        <f>Q757</f>
        <v>-60.20</v>
      </c>
      <c r="R823" s="1029">
        <f>R757</f>
        <v>-27.50</v>
      </c>
      <c r="S823" s="1029">
        <f>S757-R757</f>
        <v>-7.8999999999999986</v>
      </c>
      <c r="T823" s="1029">
        <f>T757-S757</f>
        <v>-23.40</v>
      </c>
      <c r="U823" s="1029">
        <f>U757-T757</f>
        <v>-47.600000000000009</v>
      </c>
      <c r="V823" s="1324">
        <f t="shared" si="1600"/>
        <v>-106.40000000000001</v>
      </c>
      <c r="W823" s="1029">
        <f t="shared" si="1600"/>
        <v>-35.700000000000003</v>
      </c>
      <c r="X823" s="1029">
        <f t="shared" si="1601"/>
        <v>-31.399999999999991</v>
      </c>
      <c r="Y823" s="1029">
        <f t="shared" si="1601"/>
        <v>-26.100000000000009</v>
      </c>
      <c r="Z823" s="1029">
        <f t="shared" si="1601"/>
        <v>-41.600000000000009</v>
      </c>
      <c r="AA823" s="1324">
        <f t="shared" si="1602"/>
        <v>-134.80000000000001</v>
      </c>
      <c r="AB823" s="1029">
        <f t="shared" si="1602"/>
        <v>24.20</v>
      </c>
      <c r="AC823" s="1029">
        <f t="shared" si="1603"/>
        <v>-55.30</v>
      </c>
      <c r="AD823" s="1029">
        <f t="shared" si="1603"/>
        <v>-12.50</v>
      </c>
      <c r="AE823" s="1029">
        <f t="shared" si="1603"/>
        <v>-14.10</v>
      </c>
      <c r="AF823" s="1324">
        <f t="shared" si="1604"/>
        <v>-57.70</v>
      </c>
      <c r="AG823" s="1029">
        <f t="shared" si="1604"/>
        <v>-20.50</v>
      </c>
      <c r="AH823" s="1029">
        <f t="shared" si="1605"/>
        <v>-160.69999999999999</v>
      </c>
      <c r="AI823" s="1029">
        <f t="shared" si="1605"/>
        <v>-58.200000000000017</v>
      </c>
      <c r="AJ823" s="1029">
        <f t="shared" si="1605"/>
        <v>-21.400000000000006</v>
      </c>
      <c r="AK823" s="1324">
        <f t="shared" si="1606"/>
        <v>-260.80</v>
      </c>
      <c r="AL823" s="1029">
        <f t="shared" si="1606"/>
        <v>34.200000000000003</v>
      </c>
      <c r="AM823" s="1029">
        <f t="shared" si="1607"/>
        <v>-59.70</v>
      </c>
      <c r="AN823" s="1029">
        <f t="shared" si="1607"/>
        <v>35.10</v>
      </c>
      <c r="AO823" s="1029">
        <f t="shared" si="1607"/>
        <v>-12.50</v>
      </c>
      <c r="AP823" s="1324">
        <f t="shared" si="1608"/>
        <v>-2.90</v>
      </c>
      <c r="AQ823" s="1029">
        <f t="shared" si="1608"/>
        <v>80</v>
      </c>
      <c r="AR823" s="1029">
        <f t="shared" si="1609"/>
        <v>-8.2999999999999972</v>
      </c>
      <c r="AS823" s="1029">
        <f t="shared" si="1609"/>
        <v>7.7999999999999972</v>
      </c>
      <c r="AT823" s="1029">
        <f t="shared" si="1609"/>
        <v>-53.40</v>
      </c>
      <c r="AU823" s="1324">
        <f t="shared" si="1610"/>
        <v>26.10</v>
      </c>
      <c r="AV823" s="1029">
        <f t="shared" si="1610"/>
        <v>236.40</v>
      </c>
      <c r="AW823" s="1029">
        <f t="shared" si="1611"/>
        <v>-281.60000000000002</v>
      </c>
      <c r="AX823" s="1029">
        <f t="shared" si="1611"/>
        <v>5.8000000000000043</v>
      </c>
      <c r="AY823" s="1029">
        <f t="shared" si="1611"/>
        <v>-65.300000000000011</v>
      </c>
      <c r="AZ823" s="1324">
        <f t="shared" si="1635" ref="AZ823:BA823">AZ757</f>
        <v>-104.70</v>
      </c>
      <c r="BA823" s="1029">
        <f t="shared" si="1635"/>
        <v>-82.20</v>
      </c>
      <c r="BB823" s="1029">
        <f t="shared" si="1613"/>
        <v>-59.100000000000009</v>
      </c>
      <c r="BC823" s="1029">
        <f t="shared" si="1613"/>
        <v>-74.50</v>
      </c>
      <c r="BD823" s="1029">
        <f t="shared" si="1614"/>
        <v>-39.199999999999989</v>
      </c>
      <c r="BE823" s="1324">
        <f t="shared" si="1636" ref="BE823:BF823">BE757</f>
        <v>-255</v>
      </c>
      <c r="BF823" s="1029">
        <f t="shared" si="1636"/>
        <v>-65.80</v>
      </c>
      <c r="BG823" s="1029">
        <f t="shared" si="1616"/>
        <v>-172.10000000000002</v>
      </c>
      <c r="BH823" s="1050">
        <f t="shared" si="1616"/>
        <v>12.800000000000011</v>
      </c>
      <c r="BI823" s="1029"/>
      <c r="BJ823" s="1324">
        <f t="shared" si="1617"/>
        <v>-225.10000000000002</v>
      </c>
      <c r="BK823" s="1029"/>
      <c r="BL823" s="1029"/>
      <c r="BM823" s="1029"/>
      <c r="BN823" s="1029"/>
      <c r="BO823" s="1324">
        <f t="shared" si="1618"/>
        <v>0</v>
      </c>
      <c r="BP823" s="1324"/>
      <c r="BQ823" s="1324"/>
      <c r="BR823" s="1324"/>
      <c r="BS823" s="648"/>
    </row>
    <row r="824" spans="1:71" s="696" customFormat="1" ht="15">
      <c r="A824" s="475" t="str">
        <f t="shared" si="1540"/>
        <v>Net CFO</v>
      </c>
      <c r="B824" s="410"/>
      <c r="C824" s="1356">
        <f t="shared" si="1637" ref="C824:AM824">SUM(C813:C823)</f>
        <v>1486.7999999999997</v>
      </c>
      <c r="D824" s="1356">
        <f t="shared" si="1637"/>
        <v>1679.30</v>
      </c>
      <c r="E824" s="1356">
        <f t="shared" si="1637"/>
        <v>1497.90</v>
      </c>
      <c r="F824" s="1356">
        <f t="shared" si="1637"/>
        <v>1691.3999999999996</v>
      </c>
      <c r="G824" s="1356">
        <f t="shared" si="1637"/>
        <v>1899.90</v>
      </c>
      <c r="H824" s="1054">
        <f t="shared" si="1637"/>
        <v>660.60</v>
      </c>
      <c r="I824" s="1054">
        <f t="shared" si="1637"/>
        <v>380.60</v>
      </c>
      <c r="J824" s="1054">
        <f t="shared" si="1637"/>
        <v>616.29999999999995</v>
      </c>
      <c r="K824" s="1054">
        <f t="shared" si="1637"/>
        <v>68.099999999999994</v>
      </c>
      <c r="L824" s="1356">
        <f t="shared" si="1637"/>
        <v>1725.60</v>
      </c>
      <c r="M824" s="1054">
        <f t="shared" si="1637"/>
        <v>771.10</v>
      </c>
      <c r="N824" s="1054">
        <f t="shared" si="1637"/>
        <v>658.90000000000009</v>
      </c>
      <c r="O824" s="1054">
        <f t="shared" si="1637"/>
        <v>730.39999999999986</v>
      </c>
      <c r="P824" s="1054">
        <f t="shared" si="1637"/>
        <v>132.50000000000011</v>
      </c>
      <c r="Q824" s="1356">
        <f t="shared" si="1637"/>
        <v>2292.9000000000005</v>
      </c>
      <c r="R824" s="1054">
        <f t="shared" si="1637"/>
        <v>824.50</v>
      </c>
      <c r="S824" s="1054">
        <f t="shared" si="1637"/>
        <v>730.30</v>
      </c>
      <c r="T824" s="1054">
        <f t="shared" si="1637"/>
        <v>704.79999999999984</v>
      </c>
      <c r="U824" s="1054">
        <f t="shared" si="1637"/>
        <v>442.30000000000013</v>
      </c>
      <c r="V824" s="1356">
        <f t="shared" si="1637"/>
        <v>2701.90</v>
      </c>
      <c r="W824" s="1054">
        <f t="shared" si="1637"/>
        <v>1118.8000000000002</v>
      </c>
      <c r="X824" s="1054">
        <f t="shared" si="1637"/>
        <v>917.89999999999986</v>
      </c>
      <c r="Y824" s="1054">
        <f t="shared" si="1637"/>
        <v>1169.9000000000001</v>
      </c>
      <c r="Z824" s="1054">
        <f t="shared" si="1637"/>
        <v>550.20000000000005</v>
      </c>
      <c r="AA824" s="1356">
        <f t="shared" si="1637"/>
        <v>3756.80</v>
      </c>
      <c r="AB824" s="1054">
        <f t="shared" si="1637"/>
        <v>1747.10</v>
      </c>
      <c r="AC824" s="1054">
        <f t="shared" si="1637"/>
        <v>1736.2000000000003</v>
      </c>
      <c r="AD824" s="1054">
        <f t="shared" si="1637"/>
        <v>1718.1999999999998</v>
      </c>
      <c r="AE824" s="1054">
        <f t="shared" si="1637"/>
        <v>1083.3000000000006</v>
      </c>
      <c r="AF824" s="1356">
        <f t="shared" si="1637"/>
        <v>6284.80</v>
      </c>
      <c r="AG824" s="1054">
        <f t="shared" si="1637"/>
        <v>1868.50</v>
      </c>
      <c r="AH824" s="1054">
        <f t="shared" si="1637"/>
        <v>1506.2000000000003</v>
      </c>
      <c r="AI824" s="1054">
        <f t="shared" si="1637"/>
        <v>1758.70</v>
      </c>
      <c r="AJ824" s="1054">
        <f t="shared" si="1637"/>
        <v>1128.1999999999994</v>
      </c>
      <c r="AK824" s="1356">
        <f t="shared" si="1637"/>
        <v>6261.6000000000013</v>
      </c>
      <c r="AL824" s="1054">
        <f t="shared" si="1637"/>
        <v>1625.7999999999997</v>
      </c>
      <c r="AM824" s="1054">
        <f t="shared" si="1637"/>
        <v>2252.8000000000006</v>
      </c>
      <c r="AN824" s="1054">
        <f t="shared" si="1638" ref="AN824:AU824">SUM(AN813:AN823)</f>
        <v>1479.7000000000003</v>
      </c>
      <c r="AO824" s="1054">
        <f t="shared" si="1638"/>
        <v>1547.3000000000004</v>
      </c>
      <c r="AP824" s="1356">
        <f t="shared" si="1638"/>
        <v>6905.5999999999985</v>
      </c>
      <c r="AQ824" s="1054">
        <f t="shared" si="1638"/>
        <v>2614.50</v>
      </c>
      <c r="AR824" s="1054">
        <f t="shared" si="1638"/>
        <v>2323.8999999999996</v>
      </c>
      <c r="AS824" s="1054">
        <f t="shared" si="1638"/>
        <v>2371.1999999999998</v>
      </c>
      <c r="AT824" s="1054">
        <f t="shared" si="1638"/>
        <v>452.10000000000048</v>
      </c>
      <c r="AU824" s="1356">
        <f t="shared" si="1638"/>
        <v>7761.70</v>
      </c>
      <c r="AV824" s="1054">
        <f>SUM(AV813:AV823)</f>
        <v>2502.2999999999997</v>
      </c>
      <c r="AW824" s="1054">
        <f t="shared" si="1639" ref="AW824">SUM(AW813:AW823)</f>
        <v>1389.6000000000004</v>
      </c>
      <c r="AX824" s="1054">
        <f>SUM(AX813:AX823)</f>
        <v>2027.2999999999995</v>
      </c>
      <c r="AY824" s="1054">
        <f t="shared" si="1640" ref="AY824:AZ824">SUM(AY813:AY823)</f>
        <v>929.59999999999991</v>
      </c>
      <c r="AZ824" s="1356">
        <f t="shared" si="1640"/>
        <v>6848.80</v>
      </c>
      <c r="BA824" s="1054">
        <f>SUM(BA813:BA823)</f>
        <v>2449.50</v>
      </c>
      <c r="BB824" s="1054">
        <f t="shared" si="1641" ref="BB824">SUM(BB813:BB823)</f>
        <v>2337.0000000000005</v>
      </c>
      <c r="BC824" s="1054">
        <f t="shared" si="1642" ref="BC824:BJ824">SUM(BC813:BC823)</f>
        <v>3419.5000000000005</v>
      </c>
      <c r="BD824" s="1054">
        <f t="shared" si="1642"/>
        <v>2437.3000000000002</v>
      </c>
      <c r="BE824" s="1356">
        <f t="shared" si="1642"/>
        <v>10643.299999999999</v>
      </c>
      <c r="BF824" s="1054">
        <f>SUM(BF813:BF823)</f>
        <v>4235.4000000000005</v>
      </c>
      <c r="BG824" s="1054">
        <f t="shared" si="1643" ref="BG824:BH824">SUM(BG813:BG823)</f>
        <v>3265.80</v>
      </c>
      <c r="BH824" s="1100">
        <f t="shared" si="1643"/>
        <v>4610.5000000000009</v>
      </c>
      <c r="BI824" s="1054">
        <f>SUM(BI813:BI823)</f>
        <v>2861.8563846558413</v>
      </c>
      <c r="BJ824" s="1356">
        <f t="shared" si="1642"/>
        <v>14973.556384655842</v>
      </c>
      <c r="BK824" s="1054">
        <f t="shared" si="1644" ref="BK824:BR824">SUM(BK813:BK823)</f>
        <v>3472.5117290858057</v>
      </c>
      <c r="BL824" s="1054">
        <f t="shared" si="1644"/>
        <v>3300.2902773957812</v>
      </c>
      <c r="BM824" s="1054">
        <f t="shared" si="1644"/>
        <v>3131.295851020277</v>
      </c>
      <c r="BN824" s="1054">
        <f t="shared" si="1644"/>
        <v>3511.8715771709094</v>
      </c>
      <c r="BO824" s="1356">
        <f t="shared" si="1644"/>
        <v>13415.969434672774</v>
      </c>
      <c r="BP824" s="1356">
        <f t="shared" si="1644"/>
        <v>14323.440027344162</v>
      </c>
      <c r="BQ824" s="1356">
        <f t="shared" si="1644"/>
        <v>14934.944260813001</v>
      </c>
      <c r="BR824" s="1356">
        <f t="shared" si="1644"/>
        <v>15567.743717315159</v>
      </c>
      <c r="BS824" s="648"/>
    </row>
    <row r="825" spans="1:71" s="696" customFormat="1" ht="15">
      <c r="A825" s="904"/>
      <c r="B825" s="367"/>
      <c r="C825" s="1322"/>
      <c r="D825" s="1322"/>
      <c r="E825" s="1322"/>
      <c r="F825" s="1322"/>
      <c r="G825" s="1322"/>
      <c r="H825" s="1031"/>
      <c r="I825" s="1031"/>
      <c r="J825" s="1031"/>
      <c r="K825" s="1031"/>
      <c r="L825" s="1322"/>
      <c r="M825" s="1031"/>
      <c r="N825" s="1031"/>
      <c r="O825" s="1031"/>
      <c r="P825" s="1031"/>
      <c r="Q825" s="1322"/>
      <c r="R825" s="1031"/>
      <c r="S825" s="1031"/>
      <c r="T825" s="1031"/>
      <c r="U825" s="1031"/>
      <c r="V825" s="1322"/>
      <c r="W825" s="1031"/>
      <c r="X825" s="1031"/>
      <c r="Y825" s="1031"/>
      <c r="Z825" s="1031"/>
      <c r="AA825" s="1322"/>
      <c r="AB825" s="1031"/>
      <c r="AC825" s="1031"/>
      <c r="AD825" s="1031"/>
      <c r="AE825" s="1031"/>
      <c r="AF825" s="1322"/>
      <c r="AG825" s="1031"/>
      <c r="AH825" s="1031"/>
      <c r="AI825" s="1031"/>
      <c r="AJ825" s="1031"/>
      <c r="AK825" s="1322"/>
      <c r="AL825" s="1031"/>
      <c r="AM825" s="1031"/>
      <c r="AN825" s="1031"/>
      <c r="AO825" s="1031"/>
      <c r="AP825" s="1322"/>
      <c r="AQ825" s="1031"/>
      <c r="AR825" s="1031"/>
      <c r="AS825" s="1031"/>
      <c r="AT825" s="1031"/>
      <c r="AU825" s="1322"/>
      <c r="AV825" s="1031"/>
      <c r="AW825" s="1031"/>
      <c r="AX825" s="1031"/>
      <c r="AY825" s="1031"/>
      <c r="AZ825" s="1322"/>
      <c r="BA825" s="1031"/>
      <c r="BB825" s="1031"/>
      <c r="BC825" s="1031"/>
      <c r="BD825" s="1031"/>
      <c r="BE825" s="1322"/>
      <c r="BF825" s="1031"/>
      <c r="BG825" s="1031"/>
      <c r="BH825" s="1049"/>
      <c r="BI825" s="1023"/>
      <c r="BJ825" s="1321"/>
      <c r="BK825" s="1023"/>
      <c r="BL825" s="1023"/>
      <c r="BM825" s="1023"/>
      <c r="BN825" s="1023"/>
      <c r="BO825" s="1321"/>
      <c r="BP825" s="1322"/>
      <c r="BQ825" s="1322"/>
      <c r="BR825" s="1321"/>
      <c r="BS825" s="648"/>
    </row>
    <row r="826" spans="1:71" s="696" customFormat="1" ht="15">
      <c r="A826" s="904" t="str">
        <f t="shared" si="1645" ref="A826:A840">A760</f>
        <v>CFI</v>
      </c>
      <c r="B826" s="367"/>
      <c r="C826" s="1322"/>
      <c r="D826" s="1322"/>
      <c r="E826" s="1322"/>
      <c r="F826" s="1322"/>
      <c r="G826" s="1322"/>
      <c r="H826" s="1031"/>
      <c r="I826" s="1031"/>
      <c r="J826" s="1031"/>
      <c r="K826" s="1031"/>
      <c r="L826" s="1322"/>
      <c r="M826" s="1031"/>
      <c r="N826" s="1031"/>
      <c r="O826" s="1031"/>
      <c r="P826" s="1031"/>
      <c r="Q826" s="1322"/>
      <c r="R826" s="1031"/>
      <c r="S826" s="1031"/>
      <c r="T826" s="1031"/>
      <c r="U826" s="1031"/>
      <c r="V826" s="1322"/>
      <c r="W826" s="1031"/>
      <c r="X826" s="1031"/>
      <c r="Y826" s="1031"/>
      <c r="Z826" s="1031"/>
      <c r="AA826" s="1322"/>
      <c r="AB826" s="1031"/>
      <c r="AC826" s="1031"/>
      <c r="AD826" s="1031"/>
      <c r="AE826" s="1031"/>
      <c r="AF826" s="1322"/>
      <c r="AG826" s="1031"/>
      <c r="AH826" s="1031"/>
      <c r="AI826" s="1031"/>
      <c r="AJ826" s="1031"/>
      <c r="AK826" s="1322"/>
      <c r="AL826" s="1031"/>
      <c r="AM826" s="1031"/>
      <c r="AN826" s="1031"/>
      <c r="AO826" s="1031"/>
      <c r="AP826" s="1322"/>
      <c r="AQ826" s="1031"/>
      <c r="AR826" s="1031"/>
      <c r="AS826" s="1031"/>
      <c r="AT826" s="1031"/>
      <c r="AU826" s="1322"/>
      <c r="AV826" s="1031"/>
      <c r="AW826" s="1031"/>
      <c r="AX826" s="1031"/>
      <c r="AY826" s="1031"/>
      <c r="AZ826" s="1322"/>
      <c r="BA826" s="1031"/>
      <c r="BB826" s="1031"/>
      <c r="BC826" s="1031"/>
      <c r="BD826" s="1031"/>
      <c r="BE826" s="1322"/>
      <c r="BF826" s="1031"/>
      <c r="BG826" s="1031"/>
      <c r="BH826" s="1049"/>
      <c r="BI826" s="1023"/>
      <c r="BJ826" s="1321"/>
      <c r="BK826" s="1023"/>
      <c r="BL826" s="1023"/>
      <c r="BM826" s="1023"/>
      <c r="BN826" s="1023"/>
      <c r="BO826" s="1321"/>
      <c r="BP826" s="1322"/>
      <c r="BQ826" s="1322"/>
      <c r="BR826" s="1321"/>
      <c r="BS826" s="648"/>
    </row>
    <row r="827" spans="1:71" s="686" customFormat="1" ht="15">
      <c r="A827" s="999" t="str">
        <f t="shared" si="1645"/>
        <v>Purchases of fixed maturities</v>
      </c>
      <c r="B827" s="321"/>
      <c r="C827" s="1351">
        <f t="shared" si="1646" ref="C827:H839">C761</f>
        <v>-10046.299999999999</v>
      </c>
      <c r="D827" s="1351">
        <f t="shared" si="1646"/>
        <v>-4491.70</v>
      </c>
      <c r="E827" s="1351">
        <f t="shared" si="1646"/>
        <v>-6032.40</v>
      </c>
      <c r="F827" s="1351">
        <f t="shared" si="1646"/>
        <v>-5199.20</v>
      </c>
      <c r="G827" s="1351">
        <f t="shared" si="1646"/>
        <v>-7100.60</v>
      </c>
      <c r="H827" s="1047">
        <f t="shared" si="1646"/>
        <v>-1731.60</v>
      </c>
      <c r="I827" s="1047">
        <f t="shared" si="1647" ref="I827:K839">I761-H761</f>
        <v>-1600.50</v>
      </c>
      <c r="J827" s="1047">
        <f t="shared" si="1647"/>
        <v>-2442.40</v>
      </c>
      <c r="K827" s="1047">
        <f t="shared" si="1647"/>
        <v>-2193</v>
      </c>
      <c r="L827" s="1351">
        <f t="shared" si="1648" ref="L827:M839">L761</f>
        <v>-7967.50</v>
      </c>
      <c r="M827" s="1047">
        <f t="shared" si="1648"/>
        <v>-3023.80</v>
      </c>
      <c r="N827" s="1047">
        <f t="shared" si="1649" ref="N827:P839">N761-M761</f>
        <v>-2292.8999999999996</v>
      </c>
      <c r="O827" s="1047">
        <f t="shared" si="1649"/>
        <v>-1790</v>
      </c>
      <c r="P827" s="1047">
        <f t="shared" si="1649"/>
        <v>-2204.4000000000005</v>
      </c>
      <c r="Q827" s="1351">
        <f t="shared" si="1650" ref="Q827:R839">Q761</f>
        <v>-9311.10</v>
      </c>
      <c r="R827" s="1047">
        <f t="shared" si="1650"/>
        <v>-2468.1999999999998</v>
      </c>
      <c r="S827" s="1047">
        <f t="shared" si="1651" ref="S827:U839">S761-R761</f>
        <v>-2021.4000000000005</v>
      </c>
      <c r="T827" s="1047">
        <f t="shared" si="1651"/>
        <v>-2875</v>
      </c>
      <c r="U827" s="1047">
        <f t="shared" si="1651"/>
        <v>-4246</v>
      </c>
      <c r="V827" s="1351">
        <f t="shared" si="1652" ref="V827:W839">V761</f>
        <v>-11610.60</v>
      </c>
      <c r="W827" s="1047">
        <f t="shared" si="1652"/>
        <v>-3203.90</v>
      </c>
      <c r="X827" s="1047">
        <f t="shared" si="1653" ref="X827:Z839">X761-W761</f>
        <v>-3599.40</v>
      </c>
      <c r="Y827" s="1047">
        <f t="shared" si="1653"/>
        <v>-2820.30</v>
      </c>
      <c r="Z827" s="1047">
        <f t="shared" si="1653"/>
        <v>-4964.1999999999989</v>
      </c>
      <c r="AA827" s="1351">
        <f t="shared" si="1654" ref="AA827:AB839">AA761</f>
        <v>-14587.80</v>
      </c>
      <c r="AB827" s="1047">
        <f t="shared" si="1654"/>
        <v>-5563</v>
      </c>
      <c r="AC827" s="1047">
        <f t="shared" si="1655" ref="AC827:AE839">AC761-AB761</f>
        <v>-5217</v>
      </c>
      <c r="AD827" s="1047">
        <f t="shared" si="1655"/>
        <v>-3650.6000000000004</v>
      </c>
      <c r="AE827" s="1047">
        <f t="shared" si="1655"/>
        <v>-6722.40</v>
      </c>
      <c r="AF827" s="1351">
        <f t="shared" si="1656" ref="AF827:AG839">AF761</f>
        <v>-21153</v>
      </c>
      <c r="AG827" s="1047">
        <f t="shared" si="1656"/>
        <v>-4711.1000000000004</v>
      </c>
      <c r="AH827" s="1047">
        <f t="shared" si="1657" ref="AH827:AJ839">AH761-AG761</f>
        <v>-8297.2999999999993</v>
      </c>
      <c r="AI827" s="1047">
        <f t="shared" si="1657"/>
        <v>-7096.90</v>
      </c>
      <c r="AJ827" s="1047">
        <f t="shared" si="1657"/>
        <v>-8659.9000000000015</v>
      </c>
      <c r="AK827" s="1351">
        <f t="shared" si="1658" ref="AK827:AL839">AK761</f>
        <v>-28765.20</v>
      </c>
      <c r="AL827" s="1047">
        <f t="shared" si="1658"/>
        <v>-10433</v>
      </c>
      <c r="AM827" s="1047">
        <f t="shared" si="1659" ref="AM827:AO839">AM761-AL761</f>
        <v>-7760.50</v>
      </c>
      <c r="AN827" s="1047">
        <f t="shared" si="1659"/>
        <v>-7781.4000000000015</v>
      </c>
      <c r="AO827" s="1047">
        <f t="shared" si="1659"/>
        <v>-6062.5999999999985</v>
      </c>
      <c r="AP827" s="1351">
        <f t="shared" si="1660" ref="AP827:AQ839">AP761</f>
        <v>-32037.50</v>
      </c>
      <c r="AQ827" s="1047">
        <f t="shared" si="1660"/>
        <v>-10421.40</v>
      </c>
      <c r="AR827" s="1047">
        <f t="shared" si="1661" ref="AR827:AT839">AR761-AQ761</f>
        <v>-7943.10</v>
      </c>
      <c r="AS827" s="1047">
        <f t="shared" si="1661"/>
        <v>-6857.7000000000007</v>
      </c>
      <c r="AT827" s="1047">
        <f t="shared" si="1661"/>
        <v>-7955.2999999999993</v>
      </c>
      <c r="AU827" s="1351">
        <f t="shared" si="1662" ref="AU827:AV839">AU761</f>
        <v>-33177.50</v>
      </c>
      <c r="AV827" s="1047">
        <f t="shared" si="1662"/>
        <v>-11453.40</v>
      </c>
      <c r="AW827" s="1047">
        <f t="shared" si="1663" ref="AW827:AY839">AW761-AV761</f>
        <v>-2878.8999999999996</v>
      </c>
      <c r="AX827" s="1047">
        <f t="shared" si="1663"/>
        <v>-4340.4000000000015</v>
      </c>
      <c r="AY827" s="1047">
        <f t="shared" si="1663"/>
        <v>-7837.7000000000007</v>
      </c>
      <c r="AZ827" s="1351">
        <f t="shared" si="1664" ref="AZ827:BA827">AZ761</f>
        <v>-26510.40</v>
      </c>
      <c r="BA827" s="1047">
        <f t="shared" si="1664"/>
        <v>-6119.50</v>
      </c>
      <c r="BB827" s="1047">
        <f t="shared" si="1665" ref="BB827:BC839">BB761-BA761</f>
        <v>-6251.40</v>
      </c>
      <c r="BC827" s="1047">
        <f t="shared" si="1665"/>
        <v>-6585.3000000000011</v>
      </c>
      <c r="BD827" s="1047">
        <f t="shared" si="1666" ref="BD827:BD839">BD761-BC761</f>
        <v>-6820.7000000000007</v>
      </c>
      <c r="BE827" s="1351">
        <f t="shared" si="1667" ref="BE827:BF827">BE761</f>
        <v>-25776.900000000001</v>
      </c>
      <c r="BF827" s="1047">
        <f t="shared" si="1667"/>
        <v>-13288.20</v>
      </c>
      <c r="BG827" s="1047">
        <f t="shared" si="1668" ref="BG827:BH839">BG761-BF761</f>
        <v>-11244.20</v>
      </c>
      <c r="BH827" s="1048">
        <f t="shared" si="1668"/>
        <v>-11303.099999999999</v>
      </c>
      <c r="BI827" s="1044">
        <f>0+(-(BI418-BH418))</f>
        <v>6890.734999999986</v>
      </c>
      <c r="BJ827" s="1350">
        <f t="shared" si="1669" ref="BJ827:BJ839">SUM(BF827,BG827,BH827,BI827)</f>
        <v>-28944.765000000014</v>
      </c>
      <c r="BK827" s="1044">
        <f>0+(-(BK418-BJ418))</f>
        <v>19.06500000001688</v>
      </c>
      <c r="BL827" s="1044">
        <f>0+(-(BL418-BK418))</f>
        <v>-3483.3750000000291</v>
      </c>
      <c r="BM827" s="1044">
        <f>0+(-(BM418-BL418))</f>
        <v>-7396.4099999999744</v>
      </c>
      <c r="BN827" s="1044">
        <f>0+(-(BN418-BM418))</f>
        <v>7235.2717499999999</v>
      </c>
      <c r="BO827" s="1350">
        <f t="shared" si="1670" ref="BO827:BO839">SUM(BK827,BL827,BM827,BN827)</f>
        <v>-3625.4482499999867</v>
      </c>
      <c r="BP827" s="1351">
        <f>0+(-(BP418-BO418))</f>
        <v>-3806.7206625000254</v>
      </c>
      <c r="BQ827" s="1351">
        <f>0+(-(BQ418-BP418))</f>
        <v>-3997.0566956249822</v>
      </c>
      <c r="BR827" s="1350">
        <f>0+(-(BR418-BQ418))</f>
        <v>-4196.9095304062648</v>
      </c>
      <c r="BS827" s="648"/>
    </row>
    <row r="828" spans="1:71" s="686" customFormat="1" ht="15">
      <c r="A828" s="999" t="str">
        <f t="shared" si="1645"/>
        <v>Purchases of equity securities</v>
      </c>
      <c r="B828" s="992"/>
      <c r="C828" s="1351">
        <f t="shared" si="1646"/>
        <v>-624.20000000000005</v>
      </c>
      <c r="D828" s="1351">
        <f t="shared" si="1646"/>
        <v>-511.40</v>
      </c>
      <c r="E828" s="1351">
        <f t="shared" si="1646"/>
        <v>-582</v>
      </c>
      <c r="F828" s="1351">
        <f t="shared" si="1646"/>
        <v>-463.10</v>
      </c>
      <c r="G828" s="1351">
        <f t="shared" si="1646"/>
        <v>-322.20</v>
      </c>
      <c r="H828" s="1047">
        <f t="shared" si="1646"/>
        <v>-86.60</v>
      </c>
      <c r="I828" s="1047">
        <f t="shared" si="1647"/>
        <v>-90.10</v>
      </c>
      <c r="J828" s="1047">
        <f t="shared" si="1647"/>
        <v>-74</v>
      </c>
      <c r="K828" s="1047">
        <f t="shared" si="1647"/>
        <v>-119</v>
      </c>
      <c r="L828" s="1351">
        <f t="shared" si="1648"/>
        <v>-369.70</v>
      </c>
      <c r="M828" s="1047">
        <f t="shared" si="1648"/>
        <v>-77.20</v>
      </c>
      <c r="N828" s="1047">
        <f t="shared" si="1649"/>
        <v>-180</v>
      </c>
      <c r="O828" s="1047">
        <f t="shared" si="1649"/>
        <v>-204.10000000000002</v>
      </c>
      <c r="P828" s="1047">
        <f t="shared" si="1649"/>
        <v>-185.80</v>
      </c>
      <c r="Q828" s="1351">
        <f t="shared" si="1650"/>
        <v>-647.10</v>
      </c>
      <c r="R828" s="1047">
        <f t="shared" si="1650"/>
        <v>-180.10</v>
      </c>
      <c r="S828" s="1047">
        <f t="shared" si="1651"/>
        <v>-110.40000000000001</v>
      </c>
      <c r="T828" s="1047">
        <f t="shared" si="1651"/>
        <v>-76.600000000000023</v>
      </c>
      <c r="U828" s="1047">
        <f t="shared" si="1651"/>
        <v>-67.099999999999966</v>
      </c>
      <c r="V828" s="1351">
        <f t="shared" si="1652"/>
        <v>-434.20</v>
      </c>
      <c r="W828" s="1047">
        <f t="shared" si="1652"/>
        <v>-52.50</v>
      </c>
      <c r="X828" s="1047">
        <f t="shared" si="1653"/>
        <v>-37</v>
      </c>
      <c r="Y828" s="1047">
        <f t="shared" si="1653"/>
        <v>-65.699999999999989</v>
      </c>
      <c r="Z828" s="1047">
        <f t="shared" si="1653"/>
        <v>-100.40000000000001</v>
      </c>
      <c r="AA828" s="1351">
        <f t="shared" si="1654"/>
        <v>-255.60</v>
      </c>
      <c r="AB828" s="1047">
        <f t="shared" si="1654"/>
        <v>-39.90</v>
      </c>
      <c r="AC828" s="1047">
        <f t="shared" si="1655"/>
        <v>-96.50</v>
      </c>
      <c r="AD828" s="1047">
        <f t="shared" si="1655"/>
        <v>-98.50</v>
      </c>
      <c r="AE828" s="1047">
        <f t="shared" si="1655"/>
        <v>-303.89999999999998</v>
      </c>
      <c r="AF828" s="1351">
        <f t="shared" si="1656"/>
        <v>-538.79999999999995</v>
      </c>
      <c r="AG828" s="1047">
        <f t="shared" si="1656"/>
        <v>-93.60</v>
      </c>
      <c r="AH828" s="1047">
        <f t="shared" si="1657"/>
        <v>-137.09999999999999</v>
      </c>
      <c r="AI828" s="1047">
        <f t="shared" si="1657"/>
        <v>-61.199999999999989</v>
      </c>
      <c r="AJ828" s="1047">
        <f t="shared" si="1657"/>
        <v>-88</v>
      </c>
      <c r="AK828" s="1351">
        <f t="shared" si="1658"/>
        <v>-379.90</v>
      </c>
      <c r="AL828" s="1047">
        <f t="shared" si="1658"/>
        <v>-366.60</v>
      </c>
      <c r="AM828" s="1047">
        <f t="shared" si="1659"/>
        <v>-304.69999999999993</v>
      </c>
      <c r="AN828" s="1047">
        <f t="shared" si="1659"/>
        <v>-110.50</v>
      </c>
      <c r="AO828" s="1047">
        <f t="shared" si="1659"/>
        <v>-169.40000000000009</v>
      </c>
      <c r="AP828" s="1351">
        <f t="shared" si="1660"/>
        <v>-951.20</v>
      </c>
      <c r="AQ828" s="1047">
        <f t="shared" si="1660"/>
        <v>-196.70</v>
      </c>
      <c r="AR828" s="1047">
        <f t="shared" si="1661"/>
        <v>-219.40000000000003</v>
      </c>
      <c r="AS828" s="1047">
        <f t="shared" si="1661"/>
        <v>-48.799999999999955</v>
      </c>
      <c r="AT828" s="1047">
        <f t="shared" si="1661"/>
        <v>-373.20000000000005</v>
      </c>
      <c r="AU828" s="1351">
        <f t="shared" si="1662"/>
        <v>-838.10</v>
      </c>
      <c r="AV828" s="1047">
        <f t="shared" si="1662"/>
        <v>-74.30</v>
      </c>
      <c r="AW828" s="1047">
        <f t="shared" si="1663"/>
        <v>-16.799999999999997</v>
      </c>
      <c r="AX828" s="1047">
        <f t="shared" si="1663"/>
        <v>-35.400000000000006</v>
      </c>
      <c r="AY828" s="1047">
        <f t="shared" si="1663"/>
        <v>-31.599999999999994</v>
      </c>
      <c r="AZ828" s="1351">
        <f t="shared" si="1671" ref="AZ828:BA828">AZ762</f>
        <v>-158.09999999999999</v>
      </c>
      <c r="BA828" s="1047">
        <f t="shared" si="1671"/>
        <v>-17.80</v>
      </c>
      <c r="BB828" s="1047">
        <f t="shared" si="1665"/>
        <v>-3.3000000000000007</v>
      </c>
      <c r="BC828" s="1047">
        <f t="shared" si="1665"/>
        <v>-2.0999999999999979</v>
      </c>
      <c r="BD828" s="1047">
        <f t="shared" si="1666"/>
        <v>-63.399999999999991</v>
      </c>
      <c r="BE828" s="1351">
        <f t="shared" si="1672" ref="BE828:BF828">BE762</f>
        <v>-86.60</v>
      </c>
      <c r="BF828" s="1047">
        <f t="shared" si="1672"/>
        <v>-32.40</v>
      </c>
      <c r="BG828" s="1047">
        <f t="shared" si="1668"/>
        <v>-0.20000000000000284</v>
      </c>
      <c r="BH828" s="1048">
        <f t="shared" si="1668"/>
        <v>-78</v>
      </c>
      <c r="BI828" s="1044"/>
      <c r="BJ828" s="1350">
        <f t="shared" si="1669"/>
        <v>-110.59999999999999</v>
      </c>
      <c r="BK828" s="1044"/>
      <c r="BL828" s="1044"/>
      <c r="BM828" s="1044"/>
      <c r="BN828" s="1044"/>
      <c r="BO828" s="1350">
        <f t="shared" si="1670"/>
        <v>0</v>
      </c>
      <c r="BP828" s="1351"/>
      <c r="BQ828" s="1351"/>
      <c r="BR828" s="1350"/>
      <c r="BS828" s="648"/>
    </row>
    <row r="829" spans="1:71" s="686" customFormat="1" ht="15">
      <c r="A829" s="999" t="str">
        <f t="shared" si="1645"/>
        <v>Sales of fixed maturities</v>
      </c>
      <c r="B829" s="992"/>
      <c r="C829" s="1351">
        <f t="shared" si="1646"/>
        <v>7950</v>
      </c>
      <c r="D829" s="1351">
        <f t="shared" si="1646"/>
        <v>3055.80</v>
      </c>
      <c r="E829" s="1351">
        <f t="shared" si="1646"/>
        <v>4442.6000000000004</v>
      </c>
      <c r="F829" s="1351">
        <f t="shared" si="1646"/>
        <v>3705.60</v>
      </c>
      <c r="G829" s="1351">
        <f t="shared" si="1646"/>
        <v>3083.90</v>
      </c>
      <c r="H829" s="1047">
        <f t="shared" si="1646"/>
        <v>2107.10</v>
      </c>
      <c r="I829" s="1047">
        <f t="shared" si="1647"/>
        <v>1222.2000000000003</v>
      </c>
      <c r="J829" s="1047">
        <f t="shared" si="1647"/>
        <v>1012.6999999999998</v>
      </c>
      <c r="K829" s="1047">
        <f t="shared" si="1647"/>
        <v>1295.50</v>
      </c>
      <c r="L829" s="1351">
        <f t="shared" si="1648"/>
        <v>5637.50</v>
      </c>
      <c r="M829" s="1047">
        <f t="shared" si="1648"/>
        <v>1534.60</v>
      </c>
      <c r="N829" s="1047">
        <f t="shared" si="1649"/>
        <v>1245.4000000000001</v>
      </c>
      <c r="O829" s="1047">
        <f t="shared" si="1649"/>
        <v>859.80000000000018</v>
      </c>
      <c r="P829" s="1047">
        <f t="shared" si="1649"/>
        <v>1273.6999999999998</v>
      </c>
      <c r="Q829" s="1351">
        <f t="shared" si="1650"/>
        <v>4913.50</v>
      </c>
      <c r="R829" s="1047">
        <f t="shared" si="1650"/>
        <v>2105.90</v>
      </c>
      <c r="S829" s="1047">
        <f t="shared" si="1651"/>
        <v>1255.7999999999997</v>
      </c>
      <c r="T829" s="1047">
        <f t="shared" si="1651"/>
        <v>1384.4000000000005</v>
      </c>
      <c r="U829" s="1047">
        <f t="shared" si="1651"/>
        <v>948.79999999999927</v>
      </c>
      <c r="V829" s="1351">
        <f t="shared" si="1652"/>
        <v>5694.90</v>
      </c>
      <c r="W829" s="1047">
        <f t="shared" si="1652"/>
        <v>1014.10</v>
      </c>
      <c r="X829" s="1047">
        <f t="shared" si="1653"/>
        <v>1345.8000000000002</v>
      </c>
      <c r="Y829" s="1047">
        <f t="shared" si="1653"/>
        <v>1071.7999999999997</v>
      </c>
      <c r="Z829" s="1047">
        <f t="shared" si="1653"/>
        <v>1950.8000000000002</v>
      </c>
      <c r="AA829" s="1351">
        <f t="shared" si="1654"/>
        <v>5382.50</v>
      </c>
      <c r="AB829" s="1047">
        <f t="shared" si="1654"/>
        <v>1692.40</v>
      </c>
      <c r="AC829" s="1047">
        <f t="shared" si="1655"/>
        <v>2223.6999999999998</v>
      </c>
      <c r="AD829" s="1047">
        <f t="shared" si="1655"/>
        <v>743.50000000000045</v>
      </c>
      <c r="AE829" s="1047">
        <f t="shared" si="1655"/>
        <v>3176</v>
      </c>
      <c r="AF829" s="1351">
        <f t="shared" si="1656"/>
        <v>7835.60</v>
      </c>
      <c r="AG829" s="1047">
        <f t="shared" si="1656"/>
        <v>4214.70</v>
      </c>
      <c r="AH829" s="1047">
        <f t="shared" si="1657"/>
        <v>3947.4000000000005</v>
      </c>
      <c r="AI829" s="1047">
        <f t="shared" si="1657"/>
        <v>3950.7999999999993</v>
      </c>
      <c r="AJ829" s="1047">
        <f t="shared" si="1657"/>
        <v>6299.8000000000011</v>
      </c>
      <c r="AK829" s="1351">
        <f t="shared" si="1658"/>
        <v>18412.700000000001</v>
      </c>
      <c r="AL829" s="1047">
        <f t="shared" si="1658"/>
        <v>7415.90</v>
      </c>
      <c r="AM829" s="1047">
        <f t="shared" si="1659"/>
        <v>6333.3000000000011</v>
      </c>
      <c r="AN829" s="1047">
        <f t="shared" si="1659"/>
        <v>4663.7000000000007</v>
      </c>
      <c r="AO829" s="1047">
        <f t="shared" si="1659"/>
        <v>4314.2999999999993</v>
      </c>
      <c r="AP829" s="1351">
        <f t="shared" si="1660"/>
        <v>22727.20</v>
      </c>
      <c r="AQ829" s="1047">
        <f t="shared" si="1660"/>
        <v>5590.30</v>
      </c>
      <c r="AR829" s="1047">
        <f t="shared" si="1661"/>
        <v>3112.9000000000005</v>
      </c>
      <c r="AS829" s="1047">
        <f t="shared" si="1661"/>
        <v>3043.8999999999996</v>
      </c>
      <c r="AT829" s="1047">
        <f t="shared" si="1661"/>
        <v>7218.10</v>
      </c>
      <c r="AU829" s="1351">
        <f t="shared" si="1662"/>
        <v>18965.20</v>
      </c>
      <c r="AV829" s="1047">
        <f t="shared" si="1662"/>
        <v>5889.90</v>
      </c>
      <c r="AW829" s="1047">
        <f t="shared" si="1663"/>
        <v>3488.8000000000011</v>
      </c>
      <c r="AX829" s="1047">
        <f t="shared" si="1663"/>
        <v>358.89999999999964</v>
      </c>
      <c r="AY829" s="1047">
        <f t="shared" si="1663"/>
        <v>4317.6000000000004</v>
      </c>
      <c r="AZ829" s="1351">
        <f t="shared" si="1673" ref="AZ829:BA829">AZ763</f>
        <v>14055.20</v>
      </c>
      <c r="BA829" s="1047">
        <f t="shared" si="1673"/>
        <v>2202.60</v>
      </c>
      <c r="BB829" s="1047">
        <f t="shared" si="1665"/>
        <v>613.20000000000027</v>
      </c>
      <c r="BC829" s="1047">
        <f t="shared" si="1665"/>
        <v>1964.50</v>
      </c>
      <c r="BD829" s="1047">
        <f t="shared" si="1666"/>
        <v>3454.0999999999995</v>
      </c>
      <c r="BE829" s="1351">
        <f t="shared" si="1674" ref="BE829:BF829">BE763</f>
        <v>8234.40</v>
      </c>
      <c r="BF829" s="1047">
        <f t="shared" si="1674"/>
        <v>7765.30</v>
      </c>
      <c r="BG829" s="1047">
        <f t="shared" si="1668"/>
        <v>5921.90</v>
      </c>
      <c r="BH829" s="1048">
        <f t="shared" si="1668"/>
        <v>4895.2999999999993</v>
      </c>
      <c r="BI829" s="1044"/>
      <c r="BJ829" s="1350">
        <f t="shared" si="1669"/>
        <v>18582.50</v>
      </c>
      <c r="BK829" s="1044"/>
      <c r="BL829" s="1044"/>
      <c r="BM829" s="1044"/>
      <c r="BN829" s="1044"/>
      <c r="BO829" s="1350">
        <f t="shared" si="1670"/>
        <v>0</v>
      </c>
      <c r="BP829" s="1351"/>
      <c r="BQ829" s="1351"/>
      <c r="BR829" s="1350"/>
      <c r="BS829" s="648"/>
    </row>
    <row r="830" spans="1:71" s="686" customFormat="1" ht="15">
      <c r="A830" s="999" t="str">
        <f t="shared" si="1645"/>
        <v>Sales of equity securities</v>
      </c>
      <c r="B830" s="992"/>
      <c r="C830" s="1351">
        <f t="shared" si="1646"/>
        <v>919.40</v>
      </c>
      <c r="D830" s="1351">
        <f t="shared" si="1646"/>
        <v>241.90</v>
      </c>
      <c r="E830" s="1351">
        <f t="shared" si="1646"/>
        <v>423.50</v>
      </c>
      <c r="F830" s="1351">
        <f t="shared" si="1646"/>
        <v>793</v>
      </c>
      <c r="G830" s="1351">
        <f t="shared" si="1646"/>
        <v>369.20</v>
      </c>
      <c r="H830" s="1047">
        <f t="shared" si="1646"/>
        <v>362.50</v>
      </c>
      <c r="I830" s="1047">
        <f t="shared" si="1647"/>
        <v>83.899999999999977</v>
      </c>
      <c r="J830" s="1047">
        <f t="shared" si="1647"/>
        <v>53.800000000000011</v>
      </c>
      <c r="K830" s="1047">
        <f t="shared" si="1647"/>
        <v>59.900000000000034</v>
      </c>
      <c r="L830" s="1351">
        <f t="shared" si="1648"/>
        <v>560.10</v>
      </c>
      <c r="M830" s="1047">
        <f t="shared" si="1648"/>
        <v>88.90</v>
      </c>
      <c r="N830" s="1047">
        <f t="shared" si="1649"/>
        <v>111.50</v>
      </c>
      <c r="O830" s="1047">
        <f t="shared" si="1649"/>
        <v>51.400000000000006</v>
      </c>
      <c r="P830" s="1047">
        <f t="shared" si="1649"/>
        <v>150.59999999999997</v>
      </c>
      <c r="Q830" s="1351">
        <f t="shared" si="1650"/>
        <v>402.40</v>
      </c>
      <c r="R830" s="1047">
        <f t="shared" si="1650"/>
        <v>97.90</v>
      </c>
      <c r="S830" s="1047">
        <f t="shared" si="1651"/>
        <v>85</v>
      </c>
      <c r="T830" s="1047">
        <f t="shared" si="1651"/>
        <v>95.299999999999983</v>
      </c>
      <c r="U830" s="1047">
        <f t="shared" si="1651"/>
        <v>206.40000000000003</v>
      </c>
      <c r="V830" s="1351">
        <f t="shared" si="1652"/>
        <v>484.60</v>
      </c>
      <c r="W830" s="1047">
        <f t="shared" si="1652"/>
        <v>86.50</v>
      </c>
      <c r="X830" s="1047">
        <f t="shared" si="1653"/>
        <v>46.800000000000011</v>
      </c>
      <c r="Y830" s="1047">
        <f t="shared" si="1653"/>
        <v>17.299999999999983</v>
      </c>
      <c r="Z830" s="1047">
        <f t="shared" si="1653"/>
        <v>102.30000000000001</v>
      </c>
      <c r="AA830" s="1351">
        <f t="shared" si="1654"/>
        <v>252.90</v>
      </c>
      <c r="AB830" s="1047">
        <f t="shared" si="1654"/>
        <v>428</v>
      </c>
      <c r="AC830" s="1047">
        <f t="shared" si="1655"/>
        <v>32</v>
      </c>
      <c r="AD830" s="1047">
        <f t="shared" si="1655"/>
        <v>313.50</v>
      </c>
      <c r="AE830" s="1047">
        <f t="shared" si="1655"/>
        <v>50</v>
      </c>
      <c r="AF830" s="1351">
        <f t="shared" si="1656"/>
        <v>823.50</v>
      </c>
      <c r="AG830" s="1047">
        <f t="shared" si="1656"/>
        <v>39</v>
      </c>
      <c r="AH830" s="1047">
        <f t="shared" si="1657"/>
        <v>92.60</v>
      </c>
      <c r="AI830" s="1047">
        <f t="shared" si="1657"/>
        <v>44.099999999999994</v>
      </c>
      <c r="AJ830" s="1047">
        <f t="shared" si="1657"/>
        <v>295.70</v>
      </c>
      <c r="AK830" s="1351">
        <f t="shared" si="1658"/>
        <v>471.40</v>
      </c>
      <c r="AL830" s="1047">
        <f t="shared" si="1658"/>
        <v>281</v>
      </c>
      <c r="AM830" s="1047">
        <f t="shared" si="1659"/>
        <v>101.10000000000002</v>
      </c>
      <c r="AN830" s="1047">
        <f t="shared" si="1659"/>
        <v>14.099999999999966</v>
      </c>
      <c r="AO830" s="1047">
        <f t="shared" si="1659"/>
        <v>35.600000000000023</v>
      </c>
      <c r="AP830" s="1351">
        <f t="shared" si="1660"/>
        <v>431.80</v>
      </c>
      <c r="AQ830" s="1047">
        <f t="shared" si="1660"/>
        <v>63</v>
      </c>
      <c r="AR830" s="1047">
        <f t="shared" si="1661"/>
        <v>527.20000000000005</v>
      </c>
      <c r="AS830" s="1047">
        <f t="shared" si="1661"/>
        <v>35</v>
      </c>
      <c r="AT830" s="1047">
        <f t="shared" si="1661"/>
        <v>155.39999999999998</v>
      </c>
      <c r="AU830" s="1351">
        <f t="shared" si="1662"/>
        <v>780.60</v>
      </c>
      <c r="AV830" s="1047">
        <f t="shared" si="1662"/>
        <v>59.20</v>
      </c>
      <c r="AW830" s="1047">
        <f t="shared" si="1663"/>
        <v>1291.0999999999999</v>
      </c>
      <c r="AX830" s="1047">
        <f t="shared" si="1663"/>
        <v>116.70000000000005</v>
      </c>
      <c r="AY830" s="1047">
        <f t="shared" si="1663"/>
        <v>29.099999999999909</v>
      </c>
      <c r="AZ830" s="1351">
        <f t="shared" si="1675" ref="AZ830:BA830">AZ764</f>
        <v>1496.10</v>
      </c>
      <c r="BA830" s="1047">
        <f t="shared" si="1675"/>
        <v>277.30</v>
      </c>
      <c r="BB830" s="1047">
        <f t="shared" si="1665"/>
        <v>384.10</v>
      </c>
      <c r="BC830" s="1047">
        <f t="shared" si="1665"/>
        <v>84.100000000000023</v>
      </c>
      <c r="BD830" s="1047">
        <f t="shared" si="1666"/>
        <v>45.799999999999955</v>
      </c>
      <c r="BE830" s="1351">
        <f t="shared" si="1676" ref="BE830:BF830">BE764</f>
        <v>791.30</v>
      </c>
      <c r="BF830" s="1047">
        <f t="shared" si="1676"/>
        <v>58.20</v>
      </c>
      <c r="BG830" s="1047">
        <f t="shared" si="1668"/>
        <v>40.200000000000003</v>
      </c>
      <c r="BH830" s="1048">
        <f t="shared" si="1668"/>
        <v>123.50</v>
      </c>
      <c r="BI830" s="1044"/>
      <c r="BJ830" s="1350">
        <f t="shared" si="1669"/>
        <v>221.90</v>
      </c>
      <c r="BK830" s="1044"/>
      <c r="BL830" s="1044"/>
      <c r="BM830" s="1044"/>
      <c r="BN830" s="1044"/>
      <c r="BO830" s="1350">
        <f t="shared" si="1670"/>
        <v>0</v>
      </c>
      <c r="BP830" s="1351"/>
      <c r="BQ830" s="1351"/>
      <c r="BR830" s="1350"/>
      <c r="BS830" s="648"/>
    </row>
    <row r="831" spans="1:71" s="686" customFormat="1" ht="15">
      <c r="A831" s="999" t="str">
        <f t="shared" si="1645"/>
        <v>Maturities, paydowns, calls, and other of fixed maturities</v>
      </c>
      <c r="B831" s="992"/>
      <c r="C831" s="1351">
        <f t="shared" si="1646"/>
        <v>842.50</v>
      </c>
      <c r="D831" s="1351">
        <f t="shared" si="1646"/>
        <v>1341.10</v>
      </c>
      <c r="E831" s="1351">
        <f t="shared" si="1646"/>
        <v>1540.90</v>
      </c>
      <c r="F831" s="1351">
        <f t="shared" si="1646"/>
        <v>1488.90</v>
      </c>
      <c r="G831" s="1351">
        <f t="shared" si="1646"/>
        <v>1859.60</v>
      </c>
      <c r="H831" s="1047">
        <f t="shared" si="1646"/>
        <v>697</v>
      </c>
      <c r="I831" s="1047">
        <f t="shared" si="1647"/>
        <v>420.79999999999995</v>
      </c>
      <c r="J831" s="1047">
        <f t="shared" si="1647"/>
        <v>596.70000000000005</v>
      </c>
      <c r="K831" s="1047">
        <f t="shared" si="1647"/>
        <v>582.09999999999991</v>
      </c>
      <c r="L831" s="1351">
        <f t="shared" si="1648"/>
        <v>2296.60</v>
      </c>
      <c r="M831" s="1047">
        <f t="shared" si="1648"/>
        <v>855.10</v>
      </c>
      <c r="N831" s="1047">
        <f t="shared" si="1649"/>
        <v>739.99999999999989</v>
      </c>
      <c r="O831" s="1047">
        <f t="shared" si="1649"/>
        <v>874.30000000000018</v>
      </c>
      <c r="P831" s="1047">
        <f t="shared" si="1649"/>
        <v>1110.0999999999999</v>
      </c>
      <c r="Q831" s="1351">
        <f t="shared" si="1650"/>
        <v>3579.50</v>
      </c>
      <c r="R831" s="1047">
        <f t="shared" si="1650"/>
        <v>1829.80</v>
      </c>
      <c r="S831" s="1047">
        <f t="shared" si="1651"/>
        <v>1203.0000000000002</v>
      </c>
      <c r="T831" s="1047">
        <f t="shared" si="1651"/>
        <v>1156.1999999999998</v>
      </c>
      <c r="U831" s="1047">
        <f t="shared" si="1651"/>
        <v>718.39999999999964</v>
      </c>
      <c r="V831" s="1351">
        <f t="shared" si="1652"/>
        <v>4907.3999999999996</v>
      </c>
      <c r="W831" s="1047">
        <f t="shared" si="1652"/>
        <v>1006.50</v>
      </c>
      <c r="X831" s="1047">
        <f t="shared" si="1653"/>
        <v>1407</v>
      </c>
      <c r="Y831" s="1047">
        <f t="shared" si="1653"/>
        <v>1459</v>
      </c>
      <c r="Z831" s="1047">
        <f t="shared" si="1653"/>
        <v>1343.3000000000002</v>
      </c>
      <c r="AA831" s="1351">
        <f t="shared" si="1654"/>
        <v>5215.80</v>
      </c>
      <c r="AB831" s="1047">
        <f t="shared" si="1654"/>
        <v>1422.60</v>
      </c>
      <c r="AC831" s="1047">
        <f t="shared" si="1655"/>
        <v>1513.60</v>
      </c>
      <c r="AD831" s="1047">
        <f t="shared" si="1655"/>
        <v>975.30000000000018</v>
      </c>
      <c r="AE831" s="1047">
        <f t="shared" si="1655"/>
        <v>1188.3000000000002</v>
      </c>
      <c r="AF831" s="1351">
        <f t="shared" si="1656"/>
        <v>5099.80</v>
      </c>
      <c r="AG831" s="1047">
        <f t="shared" si="1656"/>
        <v>1199.70</v>
      </c>
      <c r="AH831" s="1047">
        <f t="shared" si="1657"/>
        <v>1389.30</v>
      </c>
      <c r="AI831" s="1047">
        <f t="shared" si="1657"/>
        <v>1647.6999999999998</v>
      </c>
      <c r="AJ831" s="1047">
        <f t="shared" si="1657"/>
        <v>1908.8000000000002</v>
      </c>
      <c r="AK831" s="1351">
        <f t="shared" si="1658"/>
        <v>6145.50</v>
      </c>
      <c r="AL831" s="1047">
        <f t="shared" si="1658"/>
        <v>2161.60</v>
      </c>
      <c r="AM831" s="1047">
        <f t="shared" si="1659"/>
        <v>1944.7999999999997</v>
      </c>
      <c r="AN831" s="1047">
        <f t="shared" si="1659"/>
        <v>1660.4000000000005</v>
      </c>
      <c r="AO831" s="1047">
        <f t="shared" si="1659"/>
        <v>1342.5999999999995</v>
      </c>
      <c r="AP831" s="1351">
        <f t="shared" si="1660"/>
        <v>7109.40</v>
      </c>
      <c r="AQ831" s="1047">
        <f t="shared" si="1660"/>
        <v>1948.60</v>
      </c>
      <c r="AR831" s="1047">
        <f t="shared" si="1661"/>
        <v>1949.60</v>
      </c>
      <c r="AS831" s="1047">
        <f t="shared" si="1661"/>
        <v>1647.3000000000002</v>
      </c>
      <c r="AT831" s="1047">
        <f t="shared" si="1661"/>
        <v>1468.3000000000002</v>
      </c>
      <c r="AU831" s="1351">
        <f t="shared" si="1662"/>
        <v>7013.80</v>
      </c>
      <c r="AV831" s="1047">
        <f t="shared" si="1662"/>
        <v>1177.5999999999999</v>
      </c>
      <c r="AW831" s="1047">
        <f t="shared" si="1663"/>
        <v>1231.50</v>
      </c>
      <c r="AX831" s="1047">
        <f t="shared" si="1663"/>
        <v>1749.40</v>
      </c>
      <c r="AY831" s="1047">
        <f t="shared" si="1663"/>
        <v>1221.8000000000002</v>
      </c>
      <c r="AZ831" s="1351">
        <f t="shared" si="1677" ref="AZ831:BA831">AZ765</f>
        <v>5380.30</v>
      </c>
      <c r="BA831" s="1047">
        <f t="shared" si="1677"/>
        <v>976</v>
      </c>
      <c r="BB831" s="1047">
        <f t="shared" si="1665"/>
        <v>1177.9000000000001</v>
      </c>
      <c r="BC831" s="1047">
        <f t="shared" si="1665"/>
        <v>1539.2999999999997</v>
      </c>
      <c r="BD831" s="1047">
        <f t="shared" si="1666"/>
        <v>1297.1000000000004</v>
      </c>
      <c r="BE831" s="1351">
        <f t="shared" si="1678" ref="BE831:BF831">BE765</f>
        <v>4990.30</v>
      </c>
      <c r="BF831" s="1047">
        <f t="shared" si="1678"/>
        <v>1855.20</v>
      </c>
      <c r="BG831" s="1047">
        <f t="shared" si="1668"/>
        <v>1379.60</v>
      </c>
      <c r="BH831" s="1048">
        <f t="shared" si="1668"/>
        <v>1515</v>
      </c>
      <c r="BI831" s="1044"/>
      <c r="BJ831" s="1350">
        <f t="shared" si="1669"/>
        <v>4749.80</v>
      </c>
      <c r="BK831" s="1044"/>
      <c r="BL831" s="1044"/>
      <c r="BM831" s="1044"/>
      <c r="BN831" s="1044"/>
      <c r="BO831" s="1350">
        <f t="shared" si="1670"/>
        <v>0</v>
      </c>
      <c r="BP831" s="1351"/>
      <c r="BQ831" s="1351"/>
      <c r="BR831" s="1350"/>
      <c r="BS831" s="648"/>
    </row>
    <row r="832" spans="1:71" s="686" customFormat="1" ht="15">
      <c r="A832" s="999" t="str">
        <f t="shared" si="1645"/>
        <v>Maturities, paydowns, calls, and other of equity securities</v>
      </c>
      <c r="B832" s="992"/>
      <c r="C832" s="1351">
        <f t="shared" si="1646"/>
        <v>15.70</v>
      </c>
      <c r="D832" s="1351">
        <f t="shared" si="1646"/>
        <v>0</v>
      </c>
      <c r="E832" s="1351">
        <f t="shared" si="1646"/>
        <v>0</v>
      </c>
      <c r="F832" s="1351">
        <f t="shared" si="1646"/>
        <v>16</v>
      </c>
      <c r="G832" s="1351">
        <f t="shared" si="1646"/>
        <v>21.50</v>
      </c>
      <c r="H832" s="1047">
        <f t="shared" si="1646"/>
        <v>14.30</v>
      </c>
      <c r="I832" s="1047">
        <f t="shared" si="1647"/>
        <v>-0.10000000000000142</v>
      </c>
      <c r="J832" s="1047">
        <f t="shared" si="1647"/>
        <v>0</v>
      </c>
      <c r="K832" s="1047">
        <f t="shared" si="1647"/>
        <v>0.10000000000000142</v>
      </c>
      <c r="L832" s="1351">
        <f t="shared" si="1648"/>
        <v>14.30</v>
      </c>
      <c r="M832" s="1047">
        <f t="shared" si="1648"/>
        <v>0</v>
      </c>
      <c r="N832" s="1047">
        <f t="shared" si="1649"/>
        <v>12</v>
      </c>
      <c r="O832" s="1047">
        <f t="shared" si="1649"/>
        <v>0</v>
      </c>
      <c r="P832" s="1047">
        <f t="shared" si="1649"/>
        <v>0</v>
      </c>
      <c r="Q832" s="1351">
        <f t="shared" si="1650"/>
        <v>12</v>
      </c>
      <c r="R832" s="1047">
        <f t="shared" si="1650"/>
        <v>0</v>
      </c>
      <c r="S832" s="1047">
        <f t="shared" si="1651"/>
        <v>0</v>
      </c>
      <c r="T832" s="1047">
        <f t="shared" si="1651"/>
        <v>0</v>
      </c>
      <c r="U832" s="1047">
        <f t="shared" si="1651"/>
        <v>0</v>
      </c>
      <c r="V832" s="1351">
        <f t="shared" si="1652"/>
        <v>0</v>
      </c>
      <c r="W832" s="1047">
        <f t="shared" si="1652"/>
        <v>26.60</v>
      </c>
      <c r="X832" s="1047">
        <f t="shared" si="1653"/>
        <v>23.40</v>
      </c>
      <c r="Y832" s="1047">
        <f t="shared" si="1653"/>
        <v>0</v>
      </c>
      <c r="Z832" s="1047">
        <f t="shared" si="1653"/>
        <v>0</v>
      </c>
      <c r="AA832" s="1351">
        <f t="shared" si="1654"/>
        <v>50</v>
      </c>
      <c r="AB832" s="1047">
        <f t="shared" si="1654"/>
        <v>0</v>
      </c>
      <c r="AC832" s="1047">
        <f t="shared" si="1655"/>
        <v>15</v>
      </c>
      <c r="AD832" s="1047">
        <f t="shared" si="1655"/>
        <v>0</v>
      </c>
      <c r="AE832" s="1047">
        <f t="shared" si="1655"/>
        <v>11.60</v>
      </c>
      <c r="AF832" s="1351">
        <f t="shared" si="1656"/>
        <v>26.60</v>
      </c>
      <c r="AG832" s="1047">
        <f t="shared" si="1656"/>
        <v>0</v>
      </c>
      <c r="AH832" s="1047">
        <f t="shared" si="1657"/>
        <v>0</v>
      </c>
      <c r="AI832" s="1047">
        <f t="shared" si="1657"/>
        <v>22.80</v>
      </c>
      <c r="AJ832" s="1047">
        <f t="shared" si="1657"/>
        <v>27.10</v>
      </c>
      <c r="AK832" s="1351">
        <f t="shared" si="1658"/>
        <v>49.90</v>
      </c>
      <c r="AL832" s="1047">
        <f t="shared" si="1658"/>
        <v>79</v>
      </c>
      <c r="AM832" s="1047">
        <f t="shared" si="1659"/>
        <v>0</v>
      </c>
      <c r="AN832" s="1047">
        <f t="shared" si="1659"/>
        <v>0</v>
      </c>
      <c r="AO832" s="1047">
        <f t="shared" si="1659"/>
        <v>34.799999999999997</v>
      </c>
      <c r="AP832" s="1351">
        <f t="shared" si="1660"/>
        <v>113.80</v>
      </c>
      <c r="AQ832" s="1047">
        <f t="shared" si="1660"/>
        <v>39.700000000000003</v>
      </c>
      <c r="AR832" s="1047">
        <f t="shared" si="1661"/>
        <v>27.399999999999991</v>
      </c>
      <c r="AS832" s="1047">
        <f t="shared" si="1661"/>
        <v>52</v>
      </c>
      <c r="AT832" s="1047">
        <f t="shared" si="1661"/>
        <v>104</v>
      </c>
      <c r="AU832" s="1351">
        <f t="shared" si="1662"/>
        <v>223.10</v>
      </c>
      <c r="AV832" s="1047">
        <f t="shared" si="1662"/>
        <v>39.299999999999997</v>
      </c>
      <c r="AW832" s="1047">
        <f t="shared" si="1663"/>
        <v>0</v>
      </c>
      <c r="AX832" s="1047">
        <f t="shared" si="1663"/>
        <v>0</v>
      </c>
      <c r="AY832" s="1047">
        <f t="shared" si="1663"/>
        <v>44.30</v>
      </c>
      <c r="AZ832" s="1351">
        <f t="shared" si="1679" ref="AZ832:BA832">AZ766</f>
        <v>83.60</v>
      </c>
      <c r="BA832" s="1047">
        <f t="shared" si="1679"/>
        <v>25.10</v>
      </c>
      <c r="BB832" s="1047">
        <f t="shared" si="1665"/>
        <v>0.099999999999997868</v>
      </c>
      <c r="BC832" s="1047">
        <f t="shared" si="1665"/>
        <v>40.099999999999994</v>
      </c>
      <c r="BD832" s="1047">
        <f t="shared" si="1666"/>
        <v>-0.099999999999994316</v>
      </c>
      <c r="BE832" s="1351">
        <f t="shared" si="1680" ref="BE832:BF832">BE766</f>
        <v>65.20</v>
      </c>
      <c r="BF832" s="1047">
        <f t="shared" si="1680"/>
        <v>23.30</v>
      </c>
      <c r="BG832" s="1047">
        <f t="shared" si="1668"/>
        <v>0</v>
      </c>
      <c r="BH832" s="1048">
        <f t="shared" si="1668"/>
        <v>86.90</v>
      </c>
      <c r="BI832" s="1044"/>
      <c r="BJ832" s="1350">
        <f t="shared" si="1669"/>
        <v>110.20</v>
      </c>
      <c r="BK832" s="1044"/>
      <c r="BL832" s="1044"/>
      <c r="BM832" s="1044"/>
      <c r="BN832" s="1044"/>
      <c r="BO832" s="1350">
        <f t="shared" si="1670"/>
        <v>0</v>
      </c>
      <c r="BP832" s="1351"/>
      <c r="BQ832" s="1351"/>
      <c r="BR832" s="1350"/>
      <c r="BS832" s="648"/>
    </row>
    <row r="833" spans="1:71" s="686" customFormat="1" ht="15">
      <c r="A833" s="999" t="str">
        <f t="shared" si="1645"/>
        <v>Net sales (purchases) of short-term investments</v>
      </c>
      <c r="B833" s="992"/>
      <c r="C833" s="1351">
        <f t="shared" si="1646"/>
        <v>75.599999999999994</v>
      </c>
      <c r="D833" s="1351">
        <f t="shared" si="1646"/>
        <v>-11.50</v>
      </c>
      <c r="E833" s="1351">
        <f t="shared" si="1646"/>
        <v>-461</v>
      </c>
      <c r="F833" s="1351">
        <f t="shared" si="1646"/>
        <v>-438.20</v>
      </c>
      <c r="G833" s="1351">
        <f t="shared" si="1646"/>
        <v>716.60</v>
      </c>
      <c r="H833" s="1047">
        <f t="shared" si="1646"/>
        <v>-600.40</v>
      </c>
      <c r="I833" s="1047">
        <f t="shared" si="1647"/>
        <v>-1245.5999999999999</v>
      </c>
      <c r="J833" s="1047">
        <f t="shared" si="1647"/>
        <v>448.09999999999991</v>
      </c>
      <c r="K833" s="1047">
        <f t="shared" si="1647"/>
        <v>521.90000000000009</v>
      </c>
      <c r="L833" s="1351">
        <f t="shared" si="1648"/>
        <v>-876</v>
      </c>
      <c r="M833" s="1047">
        <f t="shared" si="1648"/>
        <v>-117.70</v>
      </c>
      <c r="N833" s="1047">
        <f t="shared" si="1649"/>
        <v>641.10</v>
      </c>
      <c r="O833" s="1047">
        <f t="shared" si="1649"/>
        <v>-463</v>
      </c>
      <c r="P833" s="1047">
        <f t="shared" si="1649"/>
        <v>-39.90</v>
      </c>
      <c r="Q833" s="1351">
        <f t="shared" si="1650"/>
        <v>20.50</v>
      </c>
      <c r="R833" s="1047">
        <f t="shared" si="1650"/>
        <v>-1653</v>
      </c>
      <c r="S833" s="1047">
        <f t="shared" si="1651"/>
        <v>-1306.0999999999999</v>
      </c>
      <c r="T833" s="1047">
        <f t="shared" si="1651"/>
        <v>-706.09999999999991</v>
      </c>
      <c r="U833" s="1047">
        <f t="shared" si="1651"/>
        <v>2308</v>
      </c>
      <c r="V833" s="1351">
        <f t="shared" si="1652"/>
        <v>-1357.20</v>
      </c>
      <c r="W833" s="1047">
        <f t="shared" si="1652"/>
        <v>536.79999999999995</v>
      </c>
      <c r="X833" s="1047">
        <f t="shared" si="1653"/>
        <v>-683.59999999999991</v>
      </c>
      <c r="Y833" s="1047">
        <f t="shared" si="1653"/>
        <v>-575</v>
      </c>
      <c r="Z833" s="1047">
        <f t="shared" si="1653"/>
        <v>1449.40</v>
      </c>
      <c r="AA833" s="1351">
        <f t="shared" si="1654"/>
        <v>727.60</v>
      </c>
      <c r="AB833" s="1047">
        <f t="shared" si="1654"/>
        <v>-175.80</v>
      </c>
      <c r="AC833" s="1047">
        <f t="shared" si="1655"/>
        <v>-168</v>
      </c>
      <c r="AD833" s="1047">
        <f t="shared" si="1655"/>
        <v>435.70000000000005</v>
      </c>
      <c r="AE833" s="1047">
        <f t="shared" si="1655"/>
        <v>1024.3999999999999</v>
      </c>
      <c r="AF833" s="1351">
        <f t="shared" si="1656"/>
        <v>1116.30</v>
      </c>
      <c r="AG833" s="1047">
        <f t="shared" si="1656"/>
        <v>-774.10</v>
      </c>
      <c r="AH833" s="1047">
        <f t="shared" si="1657"/>
        <v>1232.4000000000001</v>
      </c>
      <c r="AI833" s="1047">
        <f t="shared" si="1657"/>
        <v>-101.50</v>
      </c>
      <c r="AJ833" s="1047">
        <f t="shared" si="1657"/>
        <v>-325.30</v>
      </c>
      <c r="AK833" s="1351">
        <f t="shared" si="1658"/>
        <v>31.50</v>
      </c>
      <c r="AL833" s="1047">
        <f t="shared" si="1658"/>
        <v>-718.90</v>
      </c>
      <c r="AM833" s="1047">
        <f t="shared" si="1659"/>
        <v>-2164.1999999999998</v>
      </c>
      <c r="AN833" s="1047">
        <f t="shared" si="1659"/>
        <v>39</v>
      </c>
      <c r="AO833" s="1047">
        <f t="shared" si="1659"/>
        <v>-549.09999999999991</v>
      </c>
      <c r="AP833" s="1351">
        <f t="shared" si="1660"/>
        <v>-3393.20</v>
      </c>
      <c r="AQ833" s="1047">
        <f t="shared" si="1660"/>
        <v>2976.80</v>
      </c>
      <c r="AR833" s="1047">
        <f t="shared" si="1661"/>
        <v>610.19999999999982</v>
      </c>
      <c r="AS833" s="1047">
        <f t="shared" si="1661"/>
        <v>622.30000000000018</v>
      </c>
      <c r="AT833" s="1047">
        <f t="shared" si="1661"/>
        <v>146.39999999999964</v>
      </c>
      <c r="AU833" s="1351">
        <f t="shared" si="1662"/>
        <v>4355.70</v>
      </c>
      <c r="AV833" s="1047">
        <f t="shared" si="1662"/>
        <v>413.10</v>
      </c>
      <c r="AW833" s="1047">
        <f t="shared" si="1663"/>
        <v>-4078.20</v>
      </c>
      <c r="AX833" s="1047">
        <f t="shared" si="1663"/>
        <v>398.50</v>
      </c>
      <c r="AY833" s="1047">
        <f t="shared" si="1663"/>
        <v>1398.40</v>
      </c>
      <c r="AZ833" s="1351">
        <f t="shared" si="1681" ref="AZ833:BA833">AZ767</f>
        <v>-1868.20</v>
      </c>
      <c r="BA833" s="1047">
        <f t="shared" si="1681"/>
        <v>360.80</v>
      </c>
      <c r="BB833" s="1047">
        <f t="shared" si="1665"/>
        <v>1053.1000000000001</v>
      </c>
      <c r="BC833" s="1047">
        <f t="shared" si="1665"/>
        <v>-281.90000000000009</v>
      </c>
      <c r="BD833" s="1047">
        <f t="shared" si="1666"/>
        <v>23.700000000000045</v>
      </c>
      <c r="BE833" s="1351">
        <f t="shared" si="1682" ref="BE833:BF833">BE767</f>
        <v>1155.70</v>
      </c>
      <c r="BF833" s="1047">
        <f t="shared" si="1682"/>
        <v>479.20</v>
      </c>
      <c r="BG833" s="1047">
        <f t="shared" si="1668"/>
        <v>607.89999999999986</v>
      </c>
      <c r="BH833" s="1048">
        <f t="shared" si="1668"/>
        <v>-16.799999999999955</v>
      </c>
      <c r="BI833" s="1044"/>
      <c r="BJ833" s="1350">
        <f t="shared" si="1669"/>
        <v>1070.30</v>
      </c>
      <c r="BK833" s="1044"/>
      <c r="BL833" s="1044"/>
      <c r="BM833" s="1044"/>
      <c r="BN833" s="1044"/>
      <c r="BO833" s="1350">
        <f t="shared" si="1670"/>
        <v>0</v>
      </c>
      <c r="BP833" s="1351"/>
      <c r="BQ833" s="1351"/>
      <c r="BR833" s="1350"/>
      <c r="BS833" s="648"/>
    </row>
    <row r="834" spans="1:71" s="686" customFormat="1" ht="15">
      <c r="A834" s="999" t="str">
        <f t="shared" si="1645"/>
        <v>Net unsettled security transactions</v>
      </c>
      <c r="B834" s="992"/>
      <c r="C834" s="1351">
        <f t="shared" si="1646"/>
        <v>-246.50</v>
      </c>
      <c r="D834" s="1351">
        <f t="shared" si="1646"/>
        <v>-54</v>
      </c>
      <c r="E834" s="1351">
        <f t="shared" si="1646"/>
        <v>-0.60</v>
      </c>
      <c r="F834" s="1351">
        <f t="shared" si="1646"/>
        <v>-44</v>
      </c>
      <c r="G834" s="1351">
        <f t="shared" si="1646"/>
        <v>152.19999999999999</v>
      </c>
      <c r="H834" s="1047">
        <f t="shared" si="1646"/>
        <v>-411.30</v>
      </c>
      <c r="I834" s="1047">
        <f t="shared" si="1647"/>
        <v>585.79999999999995</v>
      </c>
      <c r="J834" s="1047">
        <f t="shared" si="1647"/>
        <v>-77.80</v>
      </c>
      <c r="K834" s="1047">
        <f t="shared" si="1647"/>
        <v>-126.70</v>
      </c>
      <c r="L834" s="1351">
        <f t="shared" si="1648"/>
        <v>-30</v>
      </c>
      <c r="M834" s="1047">
        <f t="shared" si="1648"/>
        <v>64.50</v>
      </c>
      <c r="N834" s="1047">
        <f t="shared" si="1649"/>
        <v>63.900000000000006</v>
      </c>
      <c r="O834" s="1047">
        <f t="shared" si="1649"/>
        <v>-9.8000000000000114</v>
      </c>
      <c r="P834" s="1047">
        <f t="shared" si="1649"/>
        <v>-126.80</v>
      </c>
      <c r="Q834" s="1351">
        <f t="shared" si="1650"/>
        <v>-8.1999999999999993</v>
      </c>
      <c r="R834" s="1047">
        <f t="shared" si="1650"/>
        <v>70.400000000000006</v>
      </c>
      <c r="S834" s="1047">
        <f t="shared" si="1651"/>
        <v>199.60</v>
      </c>
      <c r="T834" s="1047">
        <f t="shared" si="1651"/>
        <v>-61.599999999999994</v>
      </c>
      <c r="U834" s="1047">
        <f t="shared" si="1651"/>
        <v>-157.50</v>
      </c>
      <c r="V834" s="1351">
        <f t="shared" si="1652"/>
        <v>50.90</v>
      </c>
      <c r="W834" s="1047">
        <f t="shared" si="1652"/>
        <v>83.20</v>
      </c>
      <c r="X834" s="1047">
        <f t="shared" si="1653"/>
        <v>176.10000000000002</v>
      </c>
      <c r="Y834" s="1047">
        <f t="shared" si="1653"/>
        <v>-48.800000000000011</v>
      </c>
      <c r="Z834" s="1047">
        <f t="shared" si="1653"/>
        <v>-244.10</v>
      </c>
      <c r="AA834" s="1351">
        <f t="shared" si="1654"/>
        <v>-33.60</v>
      </c>
      <c r="AB834" s="1047">
        <f t="shared" si="1654"/>
        <v>89.40</v>
      </c>
      <c r="AC834" s="1047">
        <f t="shared" si="1655"/>
        <v>278.50</v>
      </c>
      <c r="AD834" s="1047">
        <f t="shared" si="1655"/>
        <v>-356.90</v>
      </c>
      <c r="AE834" s="1047">
        <f t="shared" si="1655"/>
        <v>0.69999999999999929</v>
      </c>
      <c r="AF834" s="1351">
        <f t="shared" si="1656"/>
        <v>11.70</v>
      </c>
      <c r="AG834" s="1047">
        <f t="shared" si="1656"/>
        <v>-82.40</v>
      </c>
      <c r="AH834" s="1047">
        <f t="shared" si="1657"/>
        <v>380</v>
      </c>
      <c r="AI834" s="1047">
        <f t="shared" si="1657"/>
        <v>-17</v>
      </c>
      <c r="AJ834" s="1047">
        <f t="shared" si="1657"/>
        <v>-274.60000000000002</v>
      </c>
      <c r="AK834" s="1351">
        <f t="shared" si="1658"/>
        <v>6</v>
      </c>
      <c r="AL834" s="1047">
        <f t="shared" si="1658"/>
        <v>586.10</v>
      </c>
      <c r="AM834" s="1047">
        <f t="shared" si="1659"/>
        <v>-320.10000000000002</v>
      </c>
      <c r="AN834" s="1047">
        <f t="shared" si="1659"/>
        <v>191.30</v>
      </c>
      <c r="AO834" s="1047">
        <f t="shared" si="1659"/>
        <v>-373.70000000000005</v>
      </c>
      <c r="AP834" s="1351">
        <f t="shared" si="1660"/>
        <v>83.60</v>
      </c>
      <c r="AQ834" s="1047">
        <f t="shared" si="1660"/>
        <v>267.60000000000002</v>
      </c>
      <c r="AR834" s="1047">
        <f t="shared" si="1661"/>
        <v>49</v>
      </c>
      <c r="AS834" s="1047">
        <f t="shared" si="1661"/>
        <v>-12.400000000000034</v>
      </c>
      <c r="AT834" s="1047">
        <f t="shared" si="1661"/>
        <v>-256.30</v>
      </c>
      <c r="AU834" s="1351">
        <f t="shared" si="1662"/>
        <v>47.90</v>
      </c>
      <c r="AV834" s="1047">
        <f t="shared" si="1662"/>
        <v>212.60</v>
      </c>
      <c r="AW834" s="1047">
        <f t="shared" si="1663"/>
        <v>-356</v>
      </c>
      <c r="AX834" s="1047">
        <f t="shared" si="1663"/>
        <v>74.70</v>
      </c>
      <c r="AY834" s="1047">
        <f t="shared" si="1663"/>
        <v>-109.10000000000001</v>
      </c>
      <c r="AZ834" s="1351">
        <f t="shared" si="1683" ref="AZ834:BA834">AZ768</f>
        <v>-177.80</v>
      </c>
      <c r="BA834" s="1047">
        <f t="shared" si="1683"/>
        <v>57.20</v>
      </c>
      <c r="BB834" s="1047">
        <f t="shared" si="1665"/>
        <v>225.20</v>
      </c>
      <c r="BC834" s="1047">
        <f t="shared" si="1665"/>
        <v>-80.699999999999989</v>
      </c>
      <c r="BD834" s="1047">
        <f t="shared" si="1666"/>
        <v>-212.89999999999998</v>
      </c>
      <c r="BE834" s="1351">
        <f t="shared" si="1684" ref="BE834:BF834">BE768</f>
        <v>-11.20</v>
      </c>
      <c r="BF834" s="1047">
        <f t="shared" si="1684"/>
        <v>61.80</v>
      </c>
      <c r="BG834" s="1047">
        <f t="shared" si="1668"/>
        <v>57.900000000000006</v>
      </c>
      <c r="BH834" s="1048">
        <f t="shared" si="1668"/>
        <v>394.40</v>
      </c>
      <c r="BI834" s="1044"/>
      <c r="BJ834" s="1350">
        <f t="shared" si="1669"/>
        <v>514.10</v>
      </c>
      <c r="BK834" s="1044"/>
      <c r="BL834" s="1044"/>
      <c r="BM834" s="1044"/>
      <c r="BN834" s="1044"/>
      <c r="BO834" s="1350">
        <f t="shared" si="1670"/>
        <v>0</v>
      </c>
      <c r="BP834" s="1351"/>
      <c r="BQ834" s="1351"/>
      <c r="BR834" s="1350"/>
      <c r="BS834" s="648"/>
    </row>
    <row r="835" spans="1:71" s="686" customFormat="1" ht="15">
      <c r="A835" s="999" t="str">
        <f t="shared" si="1645"/>
        <v>Collateral on derivative instruments</v>
      </c>
      <c r="B835" s="992"/>
      <c r="C835" s="1351">
        <f t="shared" si="1646"/>
        <v>0</v>
      </c>
      <c r="D835" s="1351">
        <f t="shared" si="1646"/>
        <v>0</v>
      </c>
      <c r="E835" s="1351">
        <f t="shared" si="1646"/>
        <v>0</v>
      </c>
      <c r="F835" s="1351">
        <f t="shared" si="1646"/>
        <v>0</v>
      </c>
      <c r="G835" s="1351">
        <f t="shared" si="1646"/>
        <v>0</v>
      </c>
      <c r="H835" s="1047">
        <f t="shared" si="1646"/>
        <v>0</v>
      </c>
      <c r="I835" s="1047">
        <f t="shared" si="1647"/>
        <v>0</v>
      </c>
      <c r="J835" s="1047">
        <f t="shared" si="1647"/>
        <v>0</v>
      </c>
      <c r="K835" s="1047">
        <f t="shared" si="1647"/>
        <v>0</v>
      </c>
      <c r="L835" s="1351">
        <f t="shared" si="1648"/>
        <v>0</v>
      </c>
      <c r="M835" s="1047">
        <f t="shared" si="1648"/>
        <v>0</v>
      </c>
      <c r="N835" s="1047">
        <f t="shared" si="1649"/>
        <v>0</v>
      </c>
      <c r="O835" s="1047">
        <f t="shared" si="1649"/>
        <v>0</v>
      </c>
      <c r="P835" s="1047">
        <f t="shared" si="1649"/>
        <v>0</v>
      </c>
      <c r="Q835" s="1351">
        <f t="shared" si="1650"/>
        <v>0</v>
      </c>
      <c r="R835" s="1047">
        <f t="shared" si="1650"/>
        <v>0</v>
      </c>
      <c r="S835" s="1047">
        <f t="shared" si="1651"/>
        <v>0</v>
      </c>
      <c r="T835" s="1047">
        <f t="shared" si="1651"/>
        <v>0</v>
      </c>
      <c r="U835" s="1047">
        <f t="shared" si="1651"/>
        <v>0</v>
      </c>
      <c r="V835" s="1351">
        <f t="shared" si="1652"/>
        <v>0</v>
      </c>
      <c r="W835" s="1047">
        <f t="shared" si="1652"/>
        <v>-136.09999999999999</v>
      </c>
      <c r="X835" s="1047">
        <f t="shared" si="1653"/>
        <v>136.09999999999999</v>
      </c>
      <c r="Y835" s="1047">
        <f t="shared" si="1653"/>
        <v>0</v>
      </c>
      <c r="Z835" s="1047">
        <f t="shared" si="1653"/>
        <v>0</v>
      </c>
      <c r="AA835" s="1351">
        <f t="shared" si="1654"/>
        <v>0</v>
      </c>
      <c r="AB835" s="1047">
        <f t="shared" si="1654"/>
        <v>0</v>
      </c>
      <c r="AC835" s="1047">
        <f t="shared" si="1655"/>
        <v>0</v>
      </c>
      <c r="AD835" s="1047">
        <f t="shared" si="1655"/>
        <v>0</v>
      </c>
      <c r="AE835" s="1047">
        <f t="shared" si="1655"/>
        <v>0</v>
      </c>
      <c r="AF835" s="1351">
        <f t="shared" si="1656"/>
        <v>0</v>
      </c>
      <c r="AG835" s="1047">
        <f t="shared" si="1656"/>
        <v>0</v>
      </c>
      <c r="AH835" s="1047">
        <f t="shared" si="1657"/>
        <v>0</v>
      </c>
      <c r="AI835" s="1047">
        <f t="shared" si="1657"/>
        <v>0</v>
      </c>
      <c r="AJ835" s="1047">
        <f t="shared" si="1657"/>
        <v>0</v>
      </c>
      <c r="AK835" s="1351">
        <f t="shared" si="1658"/>
        <v>0</v>
      </c>
      <c r="AL835" s="1047">
        <f t="shared" si="1658"/>
        <v>0</v>
      </c>
      <c r="AM835" s="1047">
        <f t="shared" si="1659"/>
        <v>0</v>
      </c>
      <c r="AN835" s="1047">
        <f t="shared" si="1659"/>
        <v>0</v>
      </c>
      <c r="AO835" s="1047">
        <f t="shared" si="1659"/>
        <v>0</v>
      </c>
      <c r="AP835" s="1351">
        <f t="shared" si="1660"/>
        <v>0</v>
      </c>
      <c r="AQ835" s="1047">
        <f t="shared" si="1660"/>
        <v>0</v>
      </c>
      <c r="AR835" s="1047">
        <f t="shared" si="1661"/>
        <v>0</v>
      </c>
      <c r="AS835" s="1047">
        <f t="shared" si="1661"/>
        <v>0</v>
      </c>
      <c r="AT835" s="1047">
        <f t="shared" si="1661"/>
        <v>0</v>
      </c>
      <c r="AU835" s="1351">
        <f t="shared" si="1662"/>
        <v>0</v>
      </c>
      <c r="AV835" s="1047">
        <f t="shared" si="1662"/>
        <v>0</v>
      </c>
      <c r="AW835" s="1047">
        <f t="shared" si="1663"/>
        <v>0</v>
      </c>
      <c r="AX835" s="1047">
        <f t="shared" si="1663"/>
        <v>0</v>
      </c>
      <c r="AY835" s="1047">
        <f t="shared" si="1663"/>
        <v>0</v>
      </c>
      <c r="AZ835" s="1351">
        <f t="shared" si="1685" ref="AZ835:BA835">AZ769</f>
        <v>0</v>
      </c>
      <c r="BA835" s="1047">
        <f t="shared" si="1685"/>
        <v>0</v>
      </c>
      <c r="BB835" s="1047">
        <f t="shared" si="1665"/>
        <v>0</v>
      </c>
      <c r="BC835" s="1047">
        <f t="shared" si="1665"/>
        <v>0</v>
      </c>
      <c r="BD835" s="1047">
        <f t="shared" si="1666"/>
        <v>0</v>
      </c>
      <c r="BE835" s="1351">
        <f t="shared" si="1686" ref="BE835:BF835">BE769</f>
        <v>0</v>
      </c>
      <c r="BF835" s="1047">
        <f t="shared" si="1686"/>
        <v>0</v>
      </c>
      <c r="BG835" s="1047">
        <f t="shared" si="1668"/>
        <v>0</v>
      </c>
      <c r="BH835" s="1048">
        <f t="shared" si="1668"/>
        <v>0</v>
      </c>
      <c r="BI835" s="1044"/>
      <c r="BJ835" s="1350">
        <f t="shared" si="1669"/>
        <v>0</v>
      </c>
      <c r="BK835" s="1044"/>
      <c r="BL835" s="1044"/>
      <c r="BM835" s="1044"/>
      <c r="BN835" s="1044"/>
      <c r="BO835" s="1350">
        <f t="shared" si="1670"/>
        <v>0</v>
      </c>
      <c r="BP835" s="1351"/>
      <c r="BQ835" s="1351"/>
      <c r="BR835" s="1350"/>
      <c r="BS835" s="648"/>
    </row>
    <row r="836" spans="1:71" s="686" customFormat="1" ht="15">
      <c r="A836" s="999" t="str">
        <f t="shared" si="1645"/>
        <v>Purchases of property and equipment</v>
      </c>
      <c r="B836" s="992"/>
      <c r="C836" s="1351">
        <f t="shared" si="1646"/>
        <v>-66.599999999999994</v>
      </c>
      <c r="D836" s="1351">
        <f t="shared" si="1646"/>
        <v>-64.70</v>
      </c>
      <c r="E836" s="1351">
        <f t="shared" si="1646"/>
        <v>-78.900000000000006</v>
      </c>
      <c r="F836" s="1351">
        <f t="shared" si="1646"/>
        <v>-127.70</v>
      </c>
      <c r="G836" s="1351">
        <f t="shared" si="1646"/>
        <v>-140.40000000000001</v>
      </c>
      <c r="H836" s="1047">
        <f t="shared" si="1646"/>
        <v>-16.20</v>
      </c>
      <c r="I836" s="1047">
        <f t="shared" si="1647"/>
        <v>-28.500000000000004</v>
      </c>
      <c r="J836" s="1047">
        <f t="shared" si="1647"/>
        <v>-28.899999999999991</v>
      </c>
      <c r="K836" s="1047">
        <f t="shared" si="1647"/>
        <v>-34.50</v>
      </c>
      <c r="L836" s="1351">
        <f t="shared" si="1648"/>
        <v>-108.09999999999999</v>
      </c>
      <c r="M836" s="1047">
        <f t="shared" si="1648"/>
        <v>-22.20</v>
      </c>
      <c r="N836" s="1047">
        <f t="shared" si="1649"/>
        <v>-31.40</v>
      </c>
      <c r="O836" s="1047">
        <f t="shared" si="1649"/>
        <v>-32.999999999999993</v>
      </c>
      <c r="P836" s="1047">
        <f t="shared" si="1649"/>
        <v>-44.099999999999994</v>
      </c>
      <c r="Q836" s="1351">
        <f t="shared" si="1650"/>
        <v>-130.69999999999999</v>
      </c>
      <c r="R836" s="1047">
        <f t="shared" si="1650"/>
        <v>-54.30</v>
      </c>
      <c r="S836" s="1047">
        <f t="shared" si="1651"/>
        <v>-54.80</v>
      </c>
      <c r="T836" s="1047">
        <f t="shared" si="1651"/>
        <v>-53</v>
      </c>
      <c r="U836" s="1047">
        <f t="shared" si="1651"/>
        <v>-52.900000000000006</v>
      </c>
      <c r="V836" s="1351">
        <f t="shared" si="1652"/>
        <v>-215</v>
      </c>
      <c r="W836" s="1047">
        <f t="shared" si="1652"/>
        <v>-35</v>
      </c>
      <c r="X836" s="1047">
        <f t="shared" si="1653"/>
        <v>-38.200000000000003</v>
      </c>
      <c r="Y836" s="1047">
        <f t="shared" si="1653"/>
        <v>-36.50</v>
      </c>
      <c r="Z836" s="1047">
        <f t="shared" si="1653"/>
        <v>-45.999999999999986</v>
      </c>
      <c r="AA836" s="1351">
        <f t="shared" si="1654"/>
        <v>-155.69999999999999</v>
      </c>
      <c r="AB836" s="1047">
        <f t="shared" si="1654"/>
        <v>-35.799999999999997</v>
      </c>
      <c r="AC836" s="1047">
        <f t="shared" si="1655"/>
        <v>-66.20</v>
      </c>
      <c r="AD836" s="1047">
        <f t="shared" si="1655"/>
        <v>-62.800000000000011</v>
      </c>
      <c r="AE836" s="1047">
        <f t="shared" si="1655"/>
        <v>-101.19999999999999</v>
      </c>
      <c r="AF836" s="1351">
        <f t="shared" si="1656"/>
        <v>-266</v>
      </c>
      <c r="AG836" s="1047">
        <f t="shared" si="1656"/>
        <v>-75.80</v>
      </c>
      <c r="AH836" s="1047">
        <f t="shared" si="1657"/>
        <v>-127.39999999999999</v>
      </c>
      <c r="AI836" s="1047">
        <f t="shared" si="1657"/>
        <v>-78</v>
      </c>
      <c r="AJ836" s="1047">
        <f t="shared" si="1657"/>
        <v>-82.300000000000011</v>
      </c>
      <c r="AK836" s="1351">
        <f t="shared" si="1658"/>
        <v>-363.50</v>
      </c>
      <c r="AL836" s="1047">
        <f t="shared" si="1658"/>
        <v>-62.40</v>
      </c>
      <c r="AM836" s="1047">
        <f t="shared" si="1659"/>
        <v>-48.30</v>
      </c>
      <c r="AN836" s="1047">
        <f t="shared" si="1659"/>
        <v>-65.70</v>
      </c>
      <c r="AO836" s="1047">
        <f t="shared" si="1659"/>
        <v>-47.099999999999994</v>
      </c>
      <c r="AP836" s="1351">
        <f t="shared" si="1660"/>
        <v>-223.50</v>
      </c>
      <c r="AQ836" s="1047">
        <f t="shared" si="1660"/>
        <v>-50.50</v>
      </c>
      <c r="AR836" s="1047">
        <f t="shared" si="1661"/>
        <v>-48</v>
      </c>
      <c r="AS836" s="1047">
        <f t="shared" si="1661"/>
        <v>-89.800000000000011</v>
      </c>
      <c r="AT836" s="1047">
        <f t="shared" si="1661"/>
        <v>-55.199999999999989</v>
      </c>
      <c r="AU836" s="1351">
        <f t="shared" si="1662"/>
        <v>-243.50</v>
      </c>
      <c r="AV836" s="1047">
        <f t="shared" si="1662"/>
        <v>-73</v>
      </c>
      <c r="AW836" s="1047">
        <f t="shared" si="1663"/>
        <v>-63.699999999999989</v>
      </c>
      <c r="AX836" s="1047">
        <f t="shared" si="1663"/>
        <v>-108.30000000000001</v>
      </c>
      <c r="AY836" s="1047">
        <f t="shared" si="1663"/>
        <v>-47</v>
      </c>
      <c r="AZ836" s="1351">
        <f t="shared" si="1687" ref="AZ836:BA836">AZ770</f>
        <v>-292</v>
      </c>
      <c r="BA836" s="1047">
        <f t="shared" si="1687"/>
        <v>-43.20</v>
      </c>
      <c r="BB836" s="1047">
        <f t="shared" si="1665"/>
        <v>-90.40</v>
      </c>
      <c r="BC836" s="1047">
        <f t="shared" si="1665"/>
        <v>-36.300000000000011</v>
      </c>
      <c r="BD836" s="1047">
        <f t="shared" si="1666"/>
        <v>-82.10</v>
      </c>
      <c r="BE836" s="1351">
        <f t="shared" si="1688" ref="BE836:BF836">BE770</f>
        <v>-252</v>
      </c>
      <c r="BF836" s="1047">
        <f t="shared" si="1688"/>
        <v>-50.20</v>
      </c>
      <c r="BG836" s="1047">
        <f t="shared" si="1668"/>
        <v>-67.899999999999991</v>
      </c>
      <c r="BH836" s="1048">
        <f t="shared" si="1668"/>
        <v>-56.700000000000017</v>
      </c>
      <c r="BI836" s="1044">
        <f>-BI887</f>
        <v>-65</v>
      </c>
      <c r="BJ836" s="1350">
        <f t="shared" si="1669"/>
        <v>-239.80</v>
      </c>
      <c r="BK836" s="1044">
        <f>-BK887</f>
        <v>-65</v>
      </c>
      <c r="BL836" s="1044">
        <f>-BL887</f>
        <v>-65</v>
      </c>
      <c r="BM836" s="1044">
        <f>-BM887</f>
        <v>-65</v>
      </c>
      <c r="BN836" s="1044">
        <f>-BN887</f>
        <v>-65</v>
      </c>
      <c r="BO836" s="1350">
        <f t="shared" si="1670"/>
        <v>-260</v>
      </c>
      <c r="BP836" s="1351">
        <f>-BP887</f>
        <v>-260</v>
      </c>
      <c r="BQ836" s="1351">
        <f>-BQ887</f>
        <v>-260</v>
      </c>
      <c r="BR836" s="1350">
        <f>-BR887</f>
        <v>-260</v>
      </c>
      <c r="BS836" s="648"/>
    </row>
    <row r="837" spans="1:71" s="686" customFormat="1" ht="15">
      <c r="A837" s="999" t="str">
        <f t="shared" si="1645"/>
        <v>Sales of property and equipment</v>
      </c>
      <c r="B837" s="992"/>
      <c r="C837" s="1351">
        <f t="shared" si="1646"/>
        <v>1.80</v>
      </c>
      <c r="D837" s="1351">
        <f t="shared" si="1646"/>
        <v>8</v>
      </c>
      <c r="E837" s="1351">
        <f t="shared" si="1646"/>
        <v>3</v>
      </c>
      <c r="F837" s="1351">
        <f t="shared" si="1646"/>
        <v>3.80</v>
      </c>
      <c r="G837" s="1351">
        <f t="shared" si="1646"/>
        <v>3.70</v>
      </c>
      <c r="H837" s="1047">
        <f t="shared" si="1646"/>
        <v>2.2000000000000002</v>
      </c>
      <c r="I837" s="1047">
        <f t="shared" si="1647"/>
        <v>0.89999999999999991</v>
      </c>
      <c r="J837" s="1047">
        <f t="shared" si="1647"/>
        <v>1.40</v>
      </c>
      <c r="K837" s="1047">
        <f t="shared" si="1647"/>
        <v>1.4000000000000004</v>
      </c>
      <c r="L837" s="1351">
        <f t="shared" si="1648"/>
        <v>5.90</v>
      </c>
      <c r="M837" s="1047">
        <f t="shared" si="1648"/>
        <v>1.40</v>
      </c>
      <c r="N837" s="1047">
        <f t="shared" si="1649"/>
        <v>5.6999999999999993</v>
      </c>
      <c r="O837" s="1047">
        <f t="shared" si="1649"/>
        <v>1.5999999999999996</v>
      </c>
      <c r="P837" s="1047">
        <f t="shared" si="1649"/>
        <v>1.9000000000000004</v>
      </c>
      <c r="Q837" s="1351">
        <f t="shared" si="1650"/>
        <v>10.60</v>
      </c>
      <c r="R837" s="1047">
        <f t="shared" si="1650"/>
        <v>2</v>
      </c>
      <c r="S837" s="1047">
        <f t="shared" si="1651"/>
        <v>1.2999999999999998</v>
      </c>
      <c r="T837" s="1047">
        <f t="shared" si="1651"/>
        <v>1.2000000000000002</v>
      </c>
      <c r="U837" s="1047">
        <f t="shared" si="1651"/>
        <v>1.7000000000000002</v>
      </c>
      <c r="V837" s="1351">
        <f t="shared" si="1652"/>
        <v>6.20</v>
      </c>
      <c r="W837" s="1047">
        <f t="shared" si="1652"/>
        <v>11.20</v>
      </c>
      <c r="X837" s="1047">
        <f t="shared" si="1653"/>
        <v>1.3000000000000007</v>
      </c>
      <c r="Y837" s="1047">
        <f t="shared" si="1653"/>
        <v>1.3000000000000007</v>
      </c>
      <c r="Z837" s="1047">
        <f t="shared" si="1653"/>
        <v>1.50</v>
      </c>
      <c r="AA837" s="1351">
        <f t="shared" si="1654"/>
        <v>15.30</v>
      </c>
      <c r="AB837" s="1047">
        <f t="shared" si="1654"/>
        <v>1.50</v>
      </c>
      <c r="AC837" s="1047">
        <f t="shared" si="1655"/>
        <v>5.20</v>
      </c>
      <c r="AD837" s="1047">
        <f t="shared" si="1655"/>
        <v>1.3999999999999995</v>
      </c>
      <c r="AE837" s="1047">
        <f t="shared" si="1655"/>
        <v>1.3000000000000007</v>
      </c>
      <c r="AF837" s="1351">
        <f t="shared" si="1656"/>
        <v>9.40</v>
      </c>
      <c r="AG837" s="1047">
        <f t="shared" si="1656"/>
        <v>6.20</v>
      </c>
      <c r="AH837" s="1047">
        <f t="shared" si="1657"/>
        <v>18.400000000000002</v>
      </c>
      <c r="AI837" s="1047">
        <f t="shared" si="1657"/>
        <v>15.299999999999997</v>
      </c>
      <c r="AJ837" s="1047">
        <f t="shared" si="1657"/>
        <v>13.40</v>
      </c>
      <c r="AK837" s="1351">
        <f t="shared" si="1658"/>
        <v>53.30</v>
      </c>
      <c r="AL837" s="1047">
        <f t="shared" si="1658"/>
        <v>3.50</v>
      </c>
      <c r="AM837" s="1047">
        <f t="shared" si="1659"/>
        <v>1.2999999999999998</v>
      </c>
      <c r="AN837" s="1047">
        <f t="shared" si="1659"/>
        <v>8.6999999999999993</v>
      </c>
      <c r="AO837" s="1047">
        <f t="shared" si="1659"/>
        <v>8.3999999999999986</v>
      </c>
      <c r="AP837" s="1351">
        <f t="shared" si="1660"/>
        <v>21.90</v>
      </c>
      <c r="AQ837" s="1047">
        <f t="shared" si="1660"/>
        <v>7.50</v>
      </c>
      <c r="AR837" s="1047">
        <f t="shared" si="1661"/>
        <v>4</v>
      </c>
      <c r="AS837" s="1047">
        <f t="shared" si="1661"/>
        <v>51.60</v>
      </c>
      <c r="AT837" s="1047">
        <f t="shared" si="1661"/>
        <v>3.1000000000000014</v>
      </c>
      <c r="AU837" s="1351">
        <f t="shared" si="1662"/>
        <v>66.20</v>
      </c>
      <c r="AV837" s="1047">
        <f t="shared" si="1662"/>
        <v>6.50</v>
      </c>
      <c r="AW837" s="1047">
        <f t="shared" si="1663"/>
        <v>5.0999999999999996</v>
      </c>
      <c r="AX837" s="1047">
        <f t="shared" si="1663"/>
        <v>4.4000000000000004</v>
      </c>
      <c r="AY837" s="1047">
        <f t="shared" si="1663"/>
        <v>19.10</v>
      </c>
      <c r="AZ837" s="1351">
        <f t="shared" si="1689" ref="AZ837:BA837">AZ771</f>
        <v>35.10</v>
      </c>
      <c r="BA837" s="1047">
        <f t="shared" si="1689"/>
        <v>4.30</v>
      </c>
      <c r="BB837" s="1047">
        <f t="shared" si="1665"/>
        <v>24.50</v>
      </c>
      <c r="BC837" s="1047">
        <f t="shared" si="1665"/>
        <v>6.1999999999999993</v>
      </c>
      <c r="BD837" s="1047">
        <f t="shared" si="1666"/>
        <v>12.200000000000003</v>
      </c>
      <c r="BE837" s="1351">
        <f t="shared" si="1690" ref="BE837:BF837">BE771</f>
        <v>47.20</v>
      </c>
      <c r="BF837" s="1047">
        <f t="shared" si="1690"/>
        <v>3.50</v>
      </c>
      <c r="BG837" s="1047">
        <f t="shared" si="1668"/>
        <v>42.30</v>
      </c>
      <c r="BH837" s="1048">
        <f t="shared" si="1668"/>
        <v>18.700000000000003</v>
      </c>
      <c r="BI837" s="1044"/>
      <c r="BJ837" s="1350">
        <f t="shared" si="1669"/>
        <v>64.50</v>
      </c>
      <c r="BK837" s="1044"/>
      <c r="BL837" s="1044"/>
      <c r="BM837" s="1044"/>
      <c r="BN837" s="1044"/>
      <c r="BO837" s="1350">
        <f t="shared" si="1670"/>
        <v>0</v>
      </c>
      <c r="BP837" s="1351"/>
      <c r="BQ837" s="1351"/>
      <c r="BR837" s="1350"/>
      <c r="BS837" s="648"/>
    </row>
    <row r="838" spans="1:71" s="686" customFormat="1" ht="15">
      <c r="A838" s="999" t="str">
        <f t="shared" si="1645"/>
        <v>Net cash acquired in exchange transaction</v>
      </c>
      <c r="B838" s="992"/>
      <c r="C838" s="1351">
        <f t="shared" si="1646"/>
        <v>0</v>
      </c>
      <c r="D838" s="1351">
        <f t="shared" si="1646"/>
        <v>0</v>
      </c>
      <c r="E838" s="1351">
        <f t="shared" si="1646"/>
        <v>0</v>
      </c>
      <c r="F838" s="1351">
        <f t="shared" si="1646"/>
        <v>0</v>
      </c>
      <c r="G838" s="1351">
        <f t="shared" si="1646"/>
        <v>0</v>
      </c>
      <c r="H838" s="1047">
        <f t="shared" si="1646"/>
        <v>0</v>
      </c>
      <c r="I838" s="1047">
        <f t="shared" si="1647"/>
        <v>0</v>
      </c>
      <c r="J838" s="1047">
        <f t="shared" si="1647"/>
        <v>0</v>
      </c>
      <c r="K838" s="1047">
        <f t="shared" si="1647"/>
        <v>0</v>
      </c>
      <c r="L838" s="1351">
        <f t="shared" si="1648"/>
        <v>0</v>
      </c>
      <c r="M838" s="1047">
        <f t="shared" si="1648"/>
        <v>0</v>
      </c>
      <c r="N838" s="1047">
        <f t="shared" si="1649"/>
        <v>0</v>
      </c>
      <c r="O838" s="1047">
        <f t="shared" si="1649"/>
        <v>0</v>
      </c>
      <c r="P838" s="1047">
        <f t="shared" si="1649"/>
        <v>0</v>
      </c>
      <c r="Q838" s="1351">
        <f t="shared" si="1650"/>
        <v>0</v>
      </c>
      <c r="R838" s="1047">
        <f t="shared" si="1650"/>
        <v>0</v>
      </c>
      <c r="S838" s="1047">
        <f t="shared" si="1651"/>
        <v>8.50</v>
      </c>
      <c r="T838" s="1047">
        <f t="shared" si="1651"/>
        <v>0</v>
      </c>
      <c r="U838" s="1047">
        <f t="shared" si="1651"/>
        <v>0</v>
      </c>
      <c r="V838" s="1351">
        <f t="shared" si="1652"/>
        <v>8.50</v>
      </c>
      <c r="W838" s="1047">
        <f t="shared" si="1652"/>
        <v>0</v>
      </c>
      <c r="X838" s="1047">
        <f t="shared" si="1653"/>
        <v>0</v>
      </c>
      <c r="Y838" s="1047">
        <f t="shared" si="1653"/>
        <v>0</v>
      </c>
      <c r="Z838" s="1047">
        <f t="shared" si="1653"/>
        <v>0</v>
      </c>
      <c r="AA838" s="1351">
        <f t="shared" si="1654"/>
        <v>0</v>
      </c>
      <c r="AB838" s="1047">
        <f t="shared" si="1654"/>
        <v>0</v>
      </c>
      <c r="AC838" s="1047">
        <f t="shared" si="1655"/>
        <v>0</v>
      </c>
      <c r="AD838" s="1047">
        <f t="shared" si="1655"/>
        <v>0</v>
      </c>
      <c r="AE838" s="1047">
        <f t="shared" si="1655"/>
        <v>0</v>
      </c>
      <c r="AF838" s="1351">
        <f t="shared" si="1656"/>
        <v>0</v>
      </c>
      <c r="AG838" s="1047">
        <f t="shared" si="1656"/>
        <v>0</v>
      </c>
      <c r="AH838" s="1047">
        <f t="shared" si="1657"/>
        <v>0</v>
      </c>
      <c r="AI838" s="1047">
        <f t="shared" si="1657"/>
        <v>0</v>
      </c>
      <c r="AJ838" s="1047">
        <f t="shared" si="1657"/>
        <v>0</v>
      </c>
      <c r="AK838" s="1351">
        <f t="shared" si="1658"/>
        <v>0</v>
      </c>
      <c r="AL838" s="1047">
        <f t="shared" si="1658"/>
        <v>0</v>
      </c>
      <c r="AM838" s="1047">
        <f t="shared" si="1659"/>
        <v>0</v>
      </c>
      <c r="AN838" s="1047">
        <f t="shared" si="1659"/>
        <v>0</v>
      </c>
      <c r="AO838" s="1047">
        <f t="shared" si="1659"/>
        <v>0</v>
      </c>
      <c r="AP838" s="1351">
        <f t="shared" si="1660"/>
        <v>0</v>
      </c>
      <c r="AQ838" s="1047">
        <f t="shared" si="1660"/>
        <v>0</v>
      </c>
      <c r="AR838" s="1047">
        <f t="shared" si="1661"/>
        <v>0</v>
      </c>
      <c r="AS838" s="1047">
        <f t="shared" si="1661"/>
        <v>0</v>
      </c>
      <c r="AT838" s="1047">
        <f t="shared" si="1661"/>
        <v>0</v>
      </c>
      <c r="AU838" s="1351">
        <f t="shared" si="1662"/>
        <v>0</v>
      </c>
      <c r="AV838" s="1047">
        <f t="shared" si="1662"/>
        <v>0</v>
      </c>
      <c r="AW838" s="1047">
        <f t="shared" si="1663"/>
        <v>0</v>
      </c>
      <c r="AX838" s="1047">
        <f t="shared" si="1663"/>
        <v>0</v>
      </c>
      <c r="AY838" s="1047">
        <f t="shared" si="1663"/>
        <v>0</v>
      </c>
      <c r="AZ838" s="1351">
        <f t="shared" si="1691" ref="AZ838:BA838">AZ772</f>
        <v>0</v>
      </c>
      <c r="BA838" s="1047">
        <f t="shared" si="1691"/>
        <v>0</v>
      </c>
      <c r="BB838" s="1047">
        <f t="shared" si="1665"/>
        <v>0</v>
      </c>
      <c r="BC838" s="1047">
        <f t="shared" si="1665"/>
        <v>0</v>
      </c>
      <c r="BD838" s="1047">
        <f t="shared" si="1666"/>
        <v>0</v>
      </c>
      <c r="BE838" s="1351">
        <f t="shared" si="1692" ref="BE838:BF838">BE772</f>
        <v>0</v>
      </c>
      <c r="BF838" s="1047">
        <f t="shared" si="1692"/>
        <v>0</v>
      </c>
      <c r="BG838" s="1047">
        <f t="shared" si="1668"/>
        <v>0</v>
      </c>
      <c r="BH838" s="1048">
        <f t="shared" si="1668"/>
        <v>0</v>
      </c>
      <c r="BI838" s="1044"/>
      <c r="BJ838" s="1350">
        <f t="shared" si="1669"/>
        <v>0</v>
      </c>
      <c r="BK838" s="1044"/>
      <c r="BL838" s="1044"/>
      <c r="BM838" s="1044"/>
      <c r="BN838" s="1044"/>
      <c r="BO838" s="1350">
        <f t="shared" si="1670"/>
        <v>0</v>
      </c>
      <c r="BP838" s="1351"/>
      <c r="BQ838" s="1351"/>
      <c r="BR838" s="1350"/>
      <c r="BS838" s="648"/>
    </row>
    <row r="839" spans="1:71" s="686" customFormat="1" ht="15">
      <c r="A839" s="999" t="str">
        <f t="shared" si="1645"/>
        <v>Acquisition of business, net of cash acquired</v>
      </c>
      <c r="B839" s="992"/>
      <c r="C839" s="1351">
        <f t="shared" si="1646"/>
        <v>0</v>
      </c>
      <c r="D839" s="1351">
        <f t="shared" si="1646"/>
        <v>0</v>
      </c>
      <c r="E839" s="1351">
        <f t="shared" si="1646"/>
        <v>0</v>
      </c>
      <c r="F839" s="1351">
        <f t="shared" si="1646"/>
        <v>0</v>
      </c>
      <c r="G839" s="1351">
        <f t="shared" si="1646"/>
        <v>0</v>
      </c>
      <c r="H839" s="1047">
        <f t="shared" si="1646"/>
        <v>0</v>
      </c>
      <c r="I839" s="1047">
        <f t="shared" si="1647"/>
        <v>0</v>
      </c>
      <c r="J839" s="1047">
        <f t="shared" si="1647"/>
        <v>0</v>
      </c>
      <c r="K839" s="1047">
        <f t="shared" si="1647"/>
        <v>0</v>
      </c>
      <c r="L839" s="1351">
        <f t="shared" si="1648"/>
        <v>0</v>
      </c>
      <c r="M839" s="1047">
        <f t="shared" si="1648"/>
        <v>0</v>
      </c>
      <c r="N839" s="1047">
        <f t="shared" si="1649"/>
        <v>-752.70</v>
      </c>
      <c r="O839" s="1047">
        <f t="shared" si="1649"/>
        <v>0</v>
      </c>
      <c r="P839" s="1047">
        <f t="shared" si="1649"/>
        <v>0</v>
      </c>
      <c r="Q839" s="1351">
        <f t="shared" si="1650"/>
        <v>-752.70</v>
      </c>
      <c r="R839" s="1047">
        <f t="shared" si="1650"/>
        <v>0</v>
      </c>
      <c r="S839" s="1047">
        <f t="shared" si="1651"/>
        <v>0</v>
      </c>
      <c r="T839" s="1047">
        <f t="shared" si="1651"/>
        <v>0</v>
      </c>
      <c r="U839" s="1047">
        <f t="shared" si="1651"/>
        <v>0</v>
      </c>
      <c r="V839" s="1351">
        <f t="shared" si="1652"/>
        <v>0</v>
      </c>
      <c r="W839" s="1047">
        <f t="shared" si="1652"/>
        <v>0</v>
      </c>
      <c r="X839" s="1047">
        <f t="shared" si="1653"/>
        <v>-18.10</v>
      </c>
      <c r="Y839" s="1047">
        <f t="shared" si="1653"/>
        <v>0</v>
      </c>
      <c r="Z839" s="1047">
        <f t="shared" si="1653"/>
        <v>0</v>
      </c>
      <c r="AA839" s="1351">
        <f t="shared" si="1654"/>
        <v>-18.10</v>
      </c>
      <c r="AB839" s="1047">
        <f t="shared" si="1654"/>
        <v>0</v>
      </c>
      <c r="AC839" s="1047">
        <f t="shared" si="1655"/>
        <v>0</v>
      </c>
      <c r="AD839" s="1047">
        <f t="shared" si="1655"/>
        <v>0</v>
      </c>
      <c r="AE839" s="1047">
        <f t="shared" si="1655"/>
        <v>0</v>
      </c>
      <c r="AF839" s="1351">
        <f t="shared" si="1656"/>
        <v>0</v>
      </c>
      <c r="AG839" s="1047">
        <f t="shared" si="1656"/>
        <v>0</v>
      </c>
      <c r="AH839" s="1047">
        <f t="shared" si="1657"/>
        <v>0</v>
      </c>
      <c r="AI839" s="1047">
        <f t="shared" si="1657"/>
        <v>0</v>
      </c>
      <c r="AJ839" s="1047">
        <f t="shared" si="1657"/>
        <v>0</v>
      </c>
      <c r="AK839" s="1351">
        <f t="shared" si="1658"/>
        <v>0</v>
      </c>
      <c r="AL839" s="1047">
        <f t="shared" si="1658"/>
        <v>0</v>
      </c>
      <c r="AM839" s="1047">
        <f t="shared" si="1659"/>
        <v>0</v>
      </c>
      <c r="AN839" s="1047">
        <f t="shared" si="1659"/>
        <v>0</v>
      </c>
      <c r="AO839" s="1047">
        <f t="shared" si="1659"/>
        <v>0</v>
      </c>
      <c r="AP839" s="1351">
        <f t="shared" si="1660"/>
        <v>0</v>
      </c>
      <c r="AQ839" s="1047">
        <f t="shared" si="1660"/>
        <v>0</v>
      </c>
      <c r="AR839" s="1047">
        <f t="shared" si="1661"/>
        <v>-313.20</v>
      </c>
      <c r="AS839" s="1047">
        <f t="shared" si="1661"/>
        <v>0</v>
      </c>
      <c r="AT839" s="1047">
        <f t="shared" si="1661"/>
        <v>0</v>
      </c>
      <c r="AU839" s="1351">
        <f t="shared" si="1662"/>
        <v>-313.20</v>
      </c>
      <c r="AV839" s="1047">
        <f t="shared" si="1662"/>
        <v>0</v>
      </c>
      <c r="AW839" s="1047">
        <f t="shared" si="1663"/>
        <v>0</v>
      </c>
      <c r="AX839" s="1047">
        <f t="shared" si="1663"/>
        <v>0</v>
      </c>
      <c r="AY839" s="1047">
        <f t="shared" si="1663"/>
        <v>0</v>
      </c>
      <c r="AZ839" s="1351">
        <f t="shared" si="1693" ref="AZ839:BA839">AZ773</f>
        <v>0</v>
      </c>
      <c r="BA839" s="1047">
        <f t="shared" si="1693"/>
        <v>0</v>
      </c>
      <c r="BB839" s="1047">
        <f t="shared" si="1665"/>
        <v>0</v>
      </c>
      <c r="BC839" s="1047">
        <f t="shared" si="1665"/>
        <v>0</v>
      </c>
      <c r="BD839" s="1047">
        <f t="shared" si="1666"/>
        <v>0</v>
      </c>
      <c r="BE839" s="1351">
        <f t="shared" si="1694" ref="BE839:BF839">BE773</f>
        <v>0</v>
      </c>
      <c r="BF839" s="1047">
        <f t="shared" si="1694"/>
        <v>0</v>
      </c>
      <c r="BG839" s="1047">
        <f t="shared" si="1668"/>
        <v>0</v>
      </c>
      <c r="BH839" s="1048">
        <f t="shared" si="1668"/>
        <v>0</v>
      </c>
      <c r="BI839" s="1044"/>
      <c r="BJ839" s="1350">
        <f t="shared" si="1669"/>
        <v>0</v>
      </c>
      <c r="BK839" s="1044"/>
      <c r="BL839" s="1044"/>
      <c r="BM839" s="1044"/>
      <c r="BN839" s="1044"/>
      <c r="BO839" s="1350">
        <f t="shared" si="1670"/>
        <v>0</v>
      </c>
      <c r="BP839" s="1351"/>
      <c r="BQ839" s="1351"/>
      <c r="BR839" s="1350"/>
      <c r="BS839" s="648"/>
    </row>
    <row r="840" spans="1:71" s="696" customFormat="1" ht="15">
      <c r="A840" s="475" t="str">
        <f t="shared" si="1645"/>
        <v>Net CFI</v>
      </c>
      <c r="B840" s="410"/>
      <c r="C840" s="1356">
        <f t="shared" si="1695" ref="C840:AM840">SUM(C827:C839)</f>
        <v>-1178.5999999999997</v>
      </c>
      <c r="D840" s="1356">
        <f t="shared" si="1695"/>
        <v>-486.49999999999926</v>
      </c>
      <c r="E840" s="1356">
        <f t="shared" si="1695"/>
        <v>-744.89999999999918</v>
      </c>
      <c r="F840" s="1356">
        <f t="shared" si="1695"/>
        <v>-264.90000000000015</v>
      </c>
      <c r="G840" s="1356">
        <f t="shared" si="1695"/>
        <v>-1356.50</v>
      </c>
      <c r="H840" s="1054">
        <f t="shared" si="1695"/>
        <v>337.00000000000006</v>
      </c>
      <c r="I840" s="1054">
        <f t="shared" si="1695"/>
        <v>-651.1999999999997</v>
      </c>
      <c r="J840" s="1054">
        <f t="shared" si="1695"/>
        <v>-510.40000000000038</v>
      </c>
      <c r="K840" s="1054">
        <f t="shared" si="1695"/>
        <v>-12.299999999999889</v>
      </c>
      <c r="L840" s="1356">
        <f t="shared" si="1695"/>
        <v>-836.900000000001</v>
      </c>
      <c r="M840" s="1054">
        <f t="shared" si="1695"/>
        <v>-696.40000000000009</v>
      </c>
      <c r="N840" s="1054">
        <f t="shared" si="1695"/>
        <v>-437.39999999999969</v>
      </c>
      <c r="O840" s="1054">
        <f t="shared" si="1695"/>
        <v>-712.79999999999939</v>
      </c>
      <c r="P840" s="1054">
        <f t="shared" si="1695"/>
        <v>-64.700000000001083</v>
      </c>
      <c r="Q840" s="1356">
        <f t="shared" si="1695"/>
        <v>-1911.3000000000013</v>
      </c>
      <c r="R840" s="1054">
        <f t="shared" si="1695"/>
        <v>-249.5999999999998</v>
      </c>
      <c r="S840" s="1054">
        <f t="shared" si="1695"/>
        <v>-739.50000000000057</v>
      </c>
      <c r="T840" s="1054">
        <f t="shared" si="1695"/>
        <v>-1135.1999999999994</v>
      </c>
      <c r="U840" s="1054">
        <f t="shared" si="1695"/>
        <v>-340.20000000000135</v>
      </c>
      <c r="V840" s="1356">
        <f t="shared" si="1695"/>
        <v>-2464.5000000000014</v>
      </c>
      <c r="W840" s="1054">
        <f t="shared" si="1695"/>
        <v>-662.60000000000025</v>
      </c>
      <c r="X840" s="1054">
        <f t="shared" si="1695"/>
        <v>-1239.7999999999997</v>
      </c>
      <c r="Y840" s="1054">
        <f t="shared" si="1695"/>
        <v>-996.90000000000032</v>
      </c>
      <c r="Z840" s="1054">
        <f t="shared" si="1695"/>
        <v>-507.39999999999793</v>
      </c>
      <c r="AA840" s="1356">
        <f t="shared" si="1695"/>
        <v>-3406.6999999999994</v>
      </c>
      <c r="AB840" s="1054">
        <f t="shared" si="1695"/>
        <v>-2180.60</v>
      </c>
      <c r="AC840" s="1054">
        <f t="shared" si="1695"/>
        <v>-1479.7000000000003</v>
      </c>
      <c r="AD840" s="1054">
        <f t="shared" si="1695"/>
        <v>-1699.3999999999994</v>
      </c>
      <c r="AE840" s="1054">
        <f t="shared" si="1695"/>
        <v>-1675.1999999999994</v>
      </c>
      <c r="AF840" s="1356">
        <f t="shared" si="1695"/>
        <v>-7034.8999999999987</v>
      </c>
      <c r="AG840" s="1054">
        <f t="shared" si="1695"/>
        <v>-277.40000000000089</v>
      </c>
      <c r="AH840" s="1054">
        <f t="shared" si="1695"/>
        <v>-1501.6999999999985</v>
      </c>
      <c r="AI840" s="1054">
        <f t="shared" si="1695"/>
        <v>-1673.9000000000005</v>
      </c>
      <c r="AJ840" s="1054">
        <f t="shared" si="1695"/>
        <v>-885.30000000000052</v>
      </c>
      <c r="AK840" s="1356">
        <f t="shared" si="1695"/>
        <v>-4338.300000000002</v>
      </c>
      <c r="AL840" s="1054">
        <f t="shared" si="1695"/>
        <v>-1053.8000000000009</v>
      </c>
      <c r="AM840" s="1054">
        <f t="shared" si="1695"/>
        <v>-2217.2999999999988</v>
      </c>
      <c r="AN840" s="1054">
        <f t="shared" si="1696" ref="AN840:AU840">SUM(AN827:AN839)</f>
        <v>-1380.4000000000003</v>
      </c>
      <c r="AO840" s="1054">
        <f t="shared" si="1696"/>
        <v>-1466.1999999999994</v>
      </c>
      <c r="AP840" s="1356">
        <f t="shared" si="1696"/>
        <v>-6117.6999999999971</v>
      </c>
      <c r="AQ840" s="1054">
        <f t="shared" si="1696"/>
        <v>224.89999999999975</v>
      </c>
      <c r="AR840" s="1054">
        <f t="shared" si="1696"/>
        <v>-2243.3999999999996</v>
      </c>
      <c r="AS840" s="1054">
        <f t="shared" si="1696"/>
        <v>-1556.600000000001</v>
      </c>
      <c r="AT840" s="1054">
        <f t="shared" si="1696"/>
        <v>455.30000000000018</v>
      </c>
      <c r="AU840" s="1356">
        <f t="shared" si="1696"/>
        <v>-3119.799999999997</v>
      </c>
      <c r="AV840" s="1054">
        <f>SUM(AV827:AV839)</f>
        <v>-3802.50</v>
      </c>
      <c r="AW840" s="1054">
        <f t="shared" si="1697" ref="AW840">SUM(AW827:AW839)</f>
        <v>-1377.0999999999988</v>
      </c>
      <c r="AX840" s="1054">
        <f>SUM(AX827:AX839)</f>
        <v>-1781.5000000000014</v>
      </c>
      <c r="AY840" s="1054">
        <f t="shared" si="1698" ref="AY840:AZ840">SUM(AY827:AY839)</f>
        <v>-995.10000000000059</v>
      </c>
      <c r="AZ840" s="1356">
        <f t="shared" si="1698"/>
        <v>-7956.199999999998</v>
      </c>
      <c r="BA840" s="1054">
        <f>SUM(BA827:BA839)</f>
        <v>-2277.1999999999998</v>
      </c>
      <c r="BB840" s="1054">
        <f t="shared" si="1699" ref="BB840">SUM(BB827:BB839)</f>
        <v>-2866.9999999999995</v>
      </c>
      <c r="BC840" s="1054">
        <f t="shared" si="1700" ref="BC840:BJ840">SUM(BC827:BC839)</f>
        <v>-3352.1000000000017</v>
      </c>
      <c r="BD840" s="1054">
        <f t="shared" si="1700"/>
        <v>-2346.3000000000002</v>
      </c>
      <c r="BE840" s="1356">
        <f t="shared" si="1700"/>
        <v>-10842.60</v>
      </c>
      <c r="BF840" s="1054">
        <f>SUM(BF827:BF839)</f>
        <v>-3124.30</v>
      </c>
      <c r="BG840" s="1054">
        <f t="shared" si="1701" ref="BG840:BH840">SUM(BG827:BG839)</f>
        <v>-3262.5000000000009</v>
      </c>
      <c r="BH840" s="1100">
        <f t="shared" si="1701"/>
        <v>-4420.80</v>
      </c>
      <c r="BI840" s="1054">
        <f>SUM(BI827:BI839)</f>
        <v>6825.734999999986</v>
      </c>
      <c r="BJ840" s="1356">
        <f t="shared" si="1700"/>
        <v>-3981.865000000013</v>
      </c>
      <c r="BK840" s="1054">
        <f t="shared" si="1702" ref="BK840:BR840">SUM(BK827:BK839)</f>
        <v>-45.93499999998312</v>
      </c>
      <c r="BL840" s="1054">
        <f t="shared" si="1702"/>
        <v>-3548.3750000000291</v>
      </c>
      <c r="BM840" s="1054">
        <f t="shared" si="1702"/>
        <v>-7461.4099999999744</v>
      </c>
      <c r="BN840" s="1054">
        <f t="shared" si="1702"/>
        <v>7170.2717499999999</v>
      </c>
      <c r="BO840" s="1356">
        <f t="shared" si="1702"/>
        <v>-3885.4482499999867</v>
      </c>
      <c r="BP840" s="1356">
        <f t="shared" si="1702"/>
        <v>-4066.7206625000254</v>
      </c>
      <c r="BQ840" s="1356">
        <f t="shared" si="1702"/>
        <v>-4257.0566956249822</v>
      </c>
      <c r="BR840" s="1356">
        <f t="shared" si="1702"/>
        <v>-4456.9095304062648</v>
      </c>
      <c r="BS840" s="648"/>
    </row>
    <row r="841" spans="1:71" s="696" customFormat="1" ht="15">
      <c r="A841" s="904"/>
      <c r="B841" s="367"/>
      <c r="C841" s="1322"/>
      <c r="D841" s="1322"/>
      <c r="E841" s="1322"/>
      <c r="F841" s="1322"/>
      <c r="G841" s="1322"/>
      <c r="H841" s="1031"/>
      <c r="I841" s="1031"/>
      <c r="J841" s="1031"/>
      <c r="K841" s="1031"/>
      <c r="L841" s="1322"/>
      <c r="M841" s="1031"/>
      <c r="N841" s="1031"/>
      <c r="O841" s="1031"/>
      <c r="P841" s="1031"/>
      <c r="Q841" s="1322"/>
      <c r="R841" s="1031"/>
      <c r="S841" s="1031"/>
      <c r="T841" s="1031"/>
      <c r="U841" s="1031"/>
      <c r="V841" s="1322"/>
      <c r="W841" s="1031"/>
      <c r="X841" s="1031"/>
      <c r="Y841" s="1031"/>
      <c r="Z841" s="1031"/>
      <c r="AA841" s="1322"/>
      <c r="AB841" s="1031"/>
      <c r="AC841" s="1031"/>
      <c r="AD841" s="1031"/>
      <c r="AE841" s="1031"/>
      <c r="AF841" s="1322"/>
      <c r="AG841" s="1031"/>
      <c r="AH841" s="1031"/>
      <c r="AI841" s="1031"/>
      <c r="AJ841" s="1031"/>
      <c r="AK841" s="1322"/>
      <c r="AL841" s="1031"/>
      <c r="AM841" s="1031"/>
      <c r="AN841" s="1031"/>
      <c r="AO841" s="1031"/>
      <c r="AP841" s="1322"/>
      <c r="AQ841" s="1031"/>
      <c r="AR841" s="1031"/>
      <c r="AS841" s="1031"/>
      <c r="AT841" s="1031"/>
      <c r="AU841" s="1322"/>
      <c r="AV841" s="1031"/>
      <c r="AW841" s="1031"/>
      <c r="AX841" s="1031"/>
      <c r="AY841" s="1031"/>
      <c r="AZ841" s="1322"/>
      <c r="BA841" s="1031"/>
      <c r="BB841" s="1031"/>
      <c r="BC841" s="1031"/>
      <c r="BD841" s="1031"/>
      <c r="BE841" s="1322"/>
      <c r="BF841" s="1031"/>
      <c r="BG841" s="1031"/>
      <c r="BH841" s="1049"/>
      <c r="BI841" s="1023"/>
      <c r="BJ841" s="1321"/>
      <c r="BK841" s="1023"/>
      <c r="BL841" s="1023"/>
      <c r="BM841" s="1023"/>
      <c r="BN841" s="1023"/>
      <c r="BO841" s="1321"/>
      <c r="BP841" s="1322"/>
      <c r="BQ841" s="1322"/>
      <c r="BR841" s="1321"/>
      <c r="BS841" s="648"/>
    </row>
    <row r="842" spans="1:71" s="696" customFormat="1" ht="15">
      <c r="A842" s="904" t="str">
        <f t="shared" si="1703" ref="A842:A855">A776</f>
        <v>CFF</v>
      </c>
      <c r="B842" s="367"/>
      <c r="C842" s="1322"/>
      <c r="D842" s="1322"/>
      <c r="E842" s="1322"/>
      <c r="F842" s="1322"/>
      <c r="G842" s="1322"/>
      <c r="H842" s="1031"/>
      <c r="I842" s="1031"/>
      <c r="J842" s="1031"/>
      <c r="K842" s="1031"/>
      <c r="L842" s="1322"/>
      <c r="M842" s="1031"/>
      <c r="N842" s="1031"/>
      <c r="O842" s="1031"/>
      <c r="P842" s="1031"/>
      <c r="Q842" s="1322"/>
      <c r="R842" s="1031"/>
      <c r="S842" s="1031"/>
      <c r="T842" s="1031"/>
      <c r="U842" s="1031"/>
      <c r="V842" s="1322"/>
      <c r="W842" s="1031"/>
      <c r="X842" s="1031"/>
      <c r="Y842" s="1031"/>
      <c r="Z842" s="1031"/>
      <c r="AA842" s="1322"/>
      <c r="AB842" s="1031"/>
      <c r="AC842" s="1031"/>
      <c r="AD842" s="1031"/>
      <c r="AE842" s="1031"/>
      <c r="AF842" s="1322"/>
      <c r="AG842" s="1031"/>
      <c r="AH842" s="1031"/>
      <c r="AI842" s="1031"/>
      <c r="AJ842" s="1031"/>
      <c r="AK842" s="1322"/>
      <c r="AL842" s="1031"/>
      <c r="AM842" s="1031"/>
      <c r="AN842" s="1031"/>
      <c r="AO842" s="1031"/>
      <c r="AP842" s="1322"/>
      <c r="AQ842" s="1031"/>
      <c r="AR842" s="1031"/>
      <c r="AS842" s="1031"/>
      <c r="AT842" s="1031"/>
      <c r="AU842" s="1322"/>
      <c r="AV842" s="1031"/>
      <c r="AW842" s="1031"/>
      <c r="AX842" s="1031"/>
      <c r="AY842" s="1031"/>
      <c r="AZ842" s="1322"/>
      <c r="BA842" s="1031"/>
      <c r="BB842" s="1031"/>
      <c r="BC842" s="1031"/>
      <c r="BD842" s="1031"/>
      <c r="BE842" s="1322"/>
      <c r="BF842" s="1031"/>
      <c r="BG842" s="1031"/>
      <c r="BH842" s="1049"/>
      <c r="BI842" s="1023"/>
      <c r="BJ842" s="1321"/>
      <c r="BK842" s="1023"/>
      <c r="BL842" s="1023"/>
      <c r="BM842" s="1023"/>
      <c r="BN842" s="1023"/>
      <c r="BO842" s="1321"/>
      <c r="BP842" s="1322"/>
      <c r="BQ842" s="1322"/>
      <c r="BR842" s="1321"/>
      <c r="BS842" s="648"/>
    </row>
    <row r="843" spans="1:71" s="686" customFormat="1" ht="15">
      <c r="A843" s="999" t="str">
        <f t="shared" si="1703"/>
        <v>Proceeds from exercise of equity options</v>
      </c>
      <c r="B843" s="992"/>
      <c r="C843" s="1351">
        <f t="shared" si="1704" ref="C843:H854">C777</f>
        <v>18.80</v>
      </c>
      <c r="D843" s="1351">
        <f t="shared" si="1704"/>
        <v>27.20</v>
      </c>
      <c r="E843" s="1351">
        <f t="shared" si="1704"/>
        <v>22.40</v>
      </c>
      <c r="F843" s="1351">
        <f t="shared" si="1704"/>
        <v>0.50</v>
      </c>
      <c r="G843" s="1351">
        <f t="shared" si="1704"/>
        <v>0</v>
      </c>
      <c r="H843" s="1047">
        <f t="shared" si="1704"/>
        <v>0</v>
      </c>
      <c r="I843" s="1047">
        <f t="shared" si="1705" ref="I843:K854">I777-H777</f>
        <v>0</v>
      </c>
      <c r="J843" s="1047">
        <f t="shared" si="1705"/>
        <v>0</v>
      </c>
      <c r="K843" s="1047">
        <f t="shared" si="1705"/>
        <v>0</v>
      </c>
      <c r="L843" s="1351">
        <f t="shared" si="1706" ref="L843:M854">L777</f>
        <v>0</v>
      </c>
      <c r="M843" s="1047">
        <f t="shared" si="1706"/>
        <v>0</v>
      </c>
      <c r="N843" s="1047">
        <f t="shared" si="1707" ref="N843:P854">N777-M777</f>
        <v>0</v>
      </c>
      <c r="O843" s="1047">
        <f t="shared" si="1707"/>
        <v>0</v>
      </c>
      <c r="P843" s="1047">
        <f t="shared" si="1707"/>
        <v>0.20</v>
      </c>
      <c r="Q843" s="1351">
        <f t="shared" si="1708" ref="Q843:R854">Q777</f>
        <v>0.20</v>
      </c>
      <c r="R843" s="1047">
        <f t="shared" si="1708"/>
        <v>0</v>
      </c>
      <c r="S843" s="1047">
        <f t="shared" si="1709" ref="S843:U854">S777-R777</f>
        <v>0</v>
      </c>
      <c r="T843" s="1047">
        <f t="shared" si="1709"/>
        <v>0</v>
      </c>
      <c r="U843" s="1047">
        <f t="shared" si="1709"/>
        <v>0</v>
      </c>
      <c r="V843" s="1351">
        <f t="shared" si="1710" ref="V843:W854">V777</f>
        <v>0</v>
      </c>
      <c r="W843" s="1047">
        <f t="shared" si="1710"/>
        <v>0.50</v>
      </c>
      <c r="X843" s="1047">
        <f t="shared" si="1711" ref="X843:Z854">X777-W777</f>
        <v>0</v>
      </c>
      <c r="Y843" s="1047">
        <f t="shared" si="1711"/>
        <v>0</v>
      </c>
      <c r="Z843" s="1047">
        <f t="shared" si="1711"/>
        <v>0</v>
      </c>
      <c r="AA843" s="1351">
        <f t="shared" si="1712" ref="AA843:AB854">AA777</f>
        <v>0.50</v>
      </c>
      <c r="AB843" s="1047">
        <f t="shared" si="1712"/>
        <v>0.60</v>
      </c>
      <c r="AC843" s="1047">
        <f t="shared" si="1713" ref="AC843:AE854">AC777-AB777</f>
        <v>2.6999999999999997</v>
      </c>
      <c r="AD843" s="1047">
        <f t="shared" si="1713"/>
        <v>0</v>
      </c>
      <c r="AE843" s="1047">
        <f t="shared" si="1713"/>
        <v>0</v>
      </c>
      <c r="AF843" s="1351">
        <f t="shared" si="1714" ref="AF843:AG854">AF777</f>
        <v>3.30</v>
      </c>
      <c r="AG843" s="1047">
        <f t="shared" si="1714"/>
        <v>0</v>
      </c>
      <c r="AH843" s="1047">
        <f t="shared" si="1715" ref="AH843:AJ854">AH777-AG777</f>
        <v>1.60</v>
      </c>
      <c r="AI843" s="1047">
        <f t="shared" si="1715"/>
        <v>0</v>
      </c>
      <c r="AJ843" s="1047">
        <f t="shared" si="1715"/>
        <v>0</v>
      </c>
      <c r="AK843" s="1351">
        <f t="shared" si="1716" ref="AK843:AL854">AK777</f>
        <v>1.60</v>
      </c>
      <c r="AL843" s="1047">
        <f t="shared" si="1716"/>
        <v>0</v>
      </c>
      <c r="AM843" s="1047">
        <f t="shared" si="1717" ref="AM843:AO854">AM777-AL777</f>
        <v>7.30</v>
      </c>
      <c r="AN843" s="1047">
        <f t="shared" si="1717"/>
        <v>0</v>
      </c>
      <c r="AO843" s="1047">
        <f t="shared" si="1717"/>
        <v>0</v>
      </c>
      <c r="AP843" s="1351">
        <f t="shared" si="1718" ref="AP843:AQ854">AP777</f>
        <v>7.30</v>
      </c>
      <c r="AQ843" s="1047">
        <f t="shared" si="1718"/>
        <v>0</v>
      </c>
      <c r="AR843" s="1047">
        <f t="shared" si="1719" ref="AR843:AT854">AR777-AQ777</f>
        <v>0</v>
      </c>
      <c r="AS843" s="1047">
        <f t="shared" si="1719"/>
        <v>0</v>
      </c>
      <c r="AT843" s="1047">
        <f t="shared" si="1719"/>
        <v>0</v>
      </c>
      <c r="AU843" s="1351">
        <f t="shared" si="1720" ref="AU843:AV854">AU777</f>
        <v>0</v>
      </c>
      <c r="AV843" s="1047">
        <f t="shared" si="1720"/>
        <v>0</v>
      </c>
      <c r="AW843" s="1047">
        <f t="shared" si="1721" ref="AW843:AY854">AW777-AV777</f>
        <v>0</v>
      </c>
      <c r="AX843" s="1047">
        <f t="shared" si="1721"/>
        <v>0</v>
      </c>
      <c r="AY843" s="1047">
        <f t="shared" si="1721"/>
        <v>0</v>
      </c>
      <c r="AZ843" s="1351">
        <f t="shared" si="1722" ref="AZ843:BA843">AZ777</f>
        <v>0</v>
      </c>
      <c r="BA843" s="1047">
        <f t="shared" si="1722"/>
        <v>0</v>
      </c>
      <c r="BB843" s="1047">
        <f t="shared" si="1723" ref="BB843:BC854">BB777-BA777</f>
        <v>0</v>
      </c>
      <c r="BC843" s="1047">
        <f t="shared" si="1723"/>
        <v>0</v>
      </c>
      <c r="BD843" s="1047">
        <f t="shared" si="1724" ref="BD843:BD854">BD777-BC777</f>
        <v>0</v>
      </c>
      <c r="BE843" s="1351">
        <f t="shared" si="1725" ref="BE843:BF843">BE777</f>
        <v>0</v>
      </c>
      <c r="BF843" s="1047">
        <f t="shared" si="1725"/>
        <v>0</v>
      </c>
      <c r="BG843" s="1047">
        <f t="shared" si="1726" ref="BG843:BH854">BG777-BF777</f>
        <v>0</v>
      </c>
      <c r="BH843" s="1048">
        <f t="shared" si="1726"/>
        <v>0</v>
      </c>
      <c r="BI843" s="1044"/>
      <c r="BJ843" s="1350">
        <f t="shared" si="1727" ref="BJ843:BJ854">SUM(BF843,BG843,BH843,BI843)</f>
        <v>0</v>
      </c>
      <c r="BK843" s="1044"/>
      <c r="BL843" s="1044"/>
      <c r="BM843" s="1044"/>
      <c r="BN843" s="1044"/>
      <c r="BO843" s="1350">
        <f t="shared" si="1728" ref="BO843:BO854">SUM(BK843,BL843,BM843,BN843)</f>
        <v>0</v>
      </c>
      <c r="BP843" s="1351"/>
      <c r="BQ843" s="1351"/>
      <c r="BR843" s="1350"/>
      <c r="BS843" s="648"/>
    </row>
    <row r="844" spans="1:71" s="686" customFormat="1" ht="15">
      <c r="A844" s="999" t="str">
        <f t="shared" si="1703"/>
        <v>Tax benefit from vesting of equity-based compensation</v>
      </c>
      <c r="B844" s="992"/>
      <c r="C844" s="1351">
        <f t="shared" si="1704"/>
        <v>9.6999999999999993</v>
      </c>
      <c r="D844" s="1351">
        <f t="shared" si="1704"/>
        <v>14</v>
      </c>
      <c r="E844" s="1351">
        <f t="shared" si="1704"/>
        <v>6.40</v>
      </c>
      <c r="F844" s="1351">
        <f t="shared" si="1704"/>
        <v>5.80</v>
      </c>
      <c r="G844" s="1351">
        <f t="shared" si="1704"/>
        <v>10.30</v>
      </c>
      <c r="H844" s="1047">
        <f t="shared" si="1704"/>
        <v>10.70</v>
      </c>
      <c r="I844" s="1047">
        <f t="shared" si="1705"/>
        <v>0</v>
      </c>
      <c r="J844" s="1047">
        <f t="shared" si="1705"/>
        <v>2.1000000000000014</v>
      </c>
      <c r="K844" s="1047">
        <f t="shared" si="1705"/>
        <v>0</v>
      </c>
      <c r="L844" s="1351">
        <f t="shared" si="1706"/>
        <v>12.80</v>
      </c>
      <c r="M844" s="1047">
        <f t="shared" si="1706"/>
        <v>6.30</v>
      </c>
      <c r="N844" s="1047">
        <f t="shared" si="1707"/>
        <v>2.3999999999999995</v>
      </c>
      <c r="O844" s="1047">
        <f t="shared" si="1707"/>
        <v>6.3000000000000007</v>
      </c>
      <c r="P844" s="1047">
        <f t="shared" si="1707"/>
        <v>1.8000000000000007</v>
      </c>
      <c r="Q844" s="1351">
        <f t="shared" si="1708"/>
        <v>16.80</v>
      </c>
      <c r="R844" s="1047">
        <f t="shared" si="1708"/>
        <v>6.60</v>
      </c>
      <c r="S844" s="1047">
        <f t="shared" si="1709"/>
        <v>0.10000000000000053</v>
      </c>
      <c r="T844" s="1047">
        <f t="shared" si="1709"/>
        <v>1.2999999999999998</v>
      </c>
      <c r="U844" s="1047">
        <f t="shared" si="1709"/>
        <v>1.1999999999999993</v>
      </c>
      <c r="V844" s="1351">
        <f t="shared" si="1710"/>
        <v>9.1999999999999993</v>
      </c>
      <c r="W844" s="1047">
        <f t="shared" si="1710"/>
        <v>0</v>
      </c>
      <c r="X844" s="1047">
        <f t="shared" si="1711"/>
        <v>0</v>
      </c>
      <c r="Y844" s="1047">
        <f t="shared" si="1711"/>
        <v>0</v>
      </c>
      <c r="Z844" s="1047">
        <f t="shared" si="1711"/>
        <v>0</v>
      </c>
      <c r="AA844" s="1351">
        <f t="shared" si="1712"/>
        <v>0</v>
      </c>
      <c r="AB844" s="1047">
        <f t="shared" si="1712"/>
        <v>0</v>
      </c>
      <c r="AC844" s="1047">
        <f t="shared" si="1713"/>
        <v>0</v>
      </c>
      <c r="AD844" s="1047">
        <f t="shared" si="1713"/>
        <v>0</v>
      </c>
      <c r="AE844" s="1047">
        <f t="shared" si="1713"/>
        <v>0</v>
      </c>
      <c r="AF844" s="1351">
        <f t="shared" si="1714"/>
        <v>0</v>
      </c>
      <c r="AG844" s="1047">
        <f t="shared" si="1714"/>
        <v>0</v>
      </c>
      <c r="AH844" s="1047">
        <f t="shared" si="1715"/>
        <v>0</v>
      </c>
      <c r="AI844" s="1047">
        <f t="shared" si="1715"/>
        <v>0</v>
      </c>
      <c r="AJ844" s="1047">
        <f t="shared" si="1715"/>
        <v>0</v>
      </c>
      <c r="AK844" s="1351">
        <f t="shared" si="1716"/>
        <v>0</v>
      </c>
      <c r="AL844" s="1047">
        <f t="shared" si="1716"/>
        <v>0</v>
      </c>
      <c r="AM844" s="1047">
        <f t="shared" si="1717"/>
        <v>0</v>
      </c>
      <c r="AN844" s="1047">
        <f t="shared" si="1717"/>
        <v>0</v>
      </c>
      <c r="AO844" s="1047">
        <f t="shared" si="1717"/>
        <v>0</v>
      </c>
      <c r="AP844" s="1351">
        <f t="shared" si="1718"/>
        <v>0</v>
      </c>
      <c r="AQ844" s="1047">
        <f t="shared" si="1718"/>
        <v>0</v>
      </c>
      <c r="AR844" s="1047">
        <f t="shared" si="1719"/>
        <v>0</v>
      </c>
      <c r="AS844" s="1047">
        <f t="shared" si="1719"/>
        <v>0</v>
      </c>
      <c r="AT844" s="1047">
        <f t="shared" si="1719"/>
        <v>0</v>
      </c>
      <c r="AU844" s="1351">
        <f t="shared" si="1720"/>
        <v>0</v>
      </c>
      <c r="AV844" s="1047">
        <f t="shared" si="1720"/>
        <v>0</v>
      </c>
      <c r="AW844" s="1047">
        <f t="shared" si="1721"/>
        <v>0</v>
      </c>
      <c r="AX844" s="1047">
        <f t="shared" si="1721"/>
        <v>0</v>
      </c>
      <c r="AY844" s="1047">
        <f t="shared" si="1721"/>
        <v>0</v>
      </c>
      <c r="AZ844" s="1351">
        <f t="shared" si="1729" ref="AZ844:BA844">AZ778</f>
        <v>0</v>
      </c>
      <c r="BA844" s="1047">
        <f t="shared" si="1729"/>
        <v>0</v>
      </c>
      <c r="BB844" s="1047">
        <f t="shared" si="1723"/>
        <v>0</v>
      </c>
      <c r="BC844" s="1047">
        <f t="shared" si="1723"/>
        <v>0</v>
      </c>
      <c r="BD844" s="1047">
        <f t="shared" si="1724"/>
        <v>0</v>
      </c>
      <c r="BE844" s="1351">
        <f t="shared" si="1730" ref="BE844:BF844">BE778</f>
        <v>0</v>
      </c>
      <c r="BF844" s="1047">
        <f t="shared" si="1730"/>
        <v>0</v>
      </c>
      <c r="BG844" s="1047">
        <f t="shared" si="1726"/>
        <v>0</v>
      </c>
      <c r="BH844" s="1048">
        <f t="shared" si="1726"/>
        <v>0</v>
      </c>
      <c r="BI844" s="1044"/>
      <c r="BJ844" s="1350">
        <f t="shared" si="1727"/>
        <v>0</v>
      </c>
      <c r="BK844" s="1044"/>
      <c r="BL844" s="1044"/>
      <c r="BM844" s="1044"/>
      <c r="BN844" s="1044"/>
      <c r="BO844" s="1350">
        <f t="shared" si="1728"/>
        <v>0</v>
      </c>
      <c r="BP844" s="1351"/>
      <c r="BQ844" s="1351"/>
      <c r="BR844" s="1350"/>
      <c r="BS844" s="648"/>
    </row>
    <row r="845" spans="1:71" s="686" customFormat="1" ht="15">
      <c r="A845" s="999" t="str">
        <f t="shared" si="1703"/>
        <v>Net proceeds from issuance of Serial Preferred Shares, Series B</v>
      </c>
      <c r="B845" s="992"/>
      <c r="C845" s="1351">
        <f t="shared" si="1704"/>
        <v>0</v>
      </c>
      <c r="D845" s="1351">
        <f t="shared" si="1704"/>
        <v>0</v>
      </c>
      <c r="E845" s="1351">
        <f t="shared" si="1704"/>
        <v>0</v>
      </c>
      <c r="F845" s="1351">
        <f t="shared" si="1704"/>
        <v>0</v>
      </c>
      <c r="G845" s="1351">
        <f t="shared" si="1704"/>
        <v>0</v>
      </c>
      <c r="H845" s="1047">
        <f t="shared" si="1704"/>
        <v>0</v>
      </c>
      <c r="I845" s="1047">
        <f t="shared" si="1705"/>
        <v>0</v>
      </c>
      <c r="J845" s="1047">
        <f t="shared" si="1705"/>
        <v>0</v>
      </c>
      <c r="K845" s="1047">
        <f t="shared" si="1705"/>
        <v>0</v>
      </c>
      <c r="L845" s="1351">
        <f t="shared" si="1706"/>
        <v>0</v>
      </c>
      <c r="M845" s="1047">
        <f t="shared" si="1706"/>
        <v>0</v>
      </c>
      <c r="N845" s="1047">
        <f t="shared" si="1707"/>
        <v>0</v>
      </c>
      <c r="O845" s="1047">
        <f t="shared" si="1707"/>
        <v>0</v>
      </c>
      <c r="P845" s="1047">
        <f t="shared" si="1707"/>
        <v>0</v>
      </c>
      <c r="Q845" s="1351">
        <f t="shared" si="1708"/>
        <v>0</v>
      </c>
      <c r="R845" s="1047">
        <f t="shared" si="1708"/>
        <v>0</v>
      </c>
      <c r="S845" s="1047">
        <f t="shared" si="1709"/>
        <v>0</v>
      </c>
      <c r="T845" s="1047">
        <f t="shared" si="1709"/>
        <v>0</v>
      </c>
      <c r="U845" s="1047">
        <f t="shared" si="1709"/>
        <v>0</v>
      </c>
      <c r="V845" s="1351">
        <f t="shared" si="1710"/>
        <v>0</v>
      </c>
      <c r="W845" s="1047">
        <f t="shared" si="1710"/>
        <v>0</v>
      </c>
      <c r="X845" s="1047">
        <f t="shared" si="1711"/>
        <v>0</v>
      </c>
      <c r="Y845" s="1047">
        <f t="shared" si="1711"/>
        <v>0</v>
      </c>
      <c r="Z845" s="1047">
        <f t="shared" si="1711"/>
        <v>0</v>
      </c>
      <c r="AA845" s="1351">
        <f t="shared" si="1712"/>
        <v>0</v>
      </c>
      <c r="AB845" s="1047">
        <f t="shared" si="1712"/>
        <v>493.90</v>
      </c>
      <c r="AC845" s="1047">
        <f t="shared" si="1713"/>
        <v>0</v>
      </c>
      <c r="AD845" s="1047">
        <f t="shared" si="1713"/>
        <v>0</v>
      </c>
      <c r="AE845" s="1047">
        <f t="shared" si="1713"/>
        <v>0</v>
      </c>
      <c r="AF845" s="1351">
        <f t="shared" si="1714"/>
        <v>493.90</v>
      </c>
      <c r="AG845" s="1047">
        <f t="shared" si="1714"/>
        <v>0</v>
      </c>
      <c r="AH845" s="1047">
        <f t="shared" si="1715"/>
        <v>0</v>
      </c>
      <c r="AI845" s="1047">
        <f t="shared" si="1715"/>
        <v>0</v>
      </c>
      <c r="AJ845" s="1047">
        <f t="shared" si="1715"/>
        <v>0</v>
      </c>
      <c r="AK845" s="1351">
        <f t="shared" si="1716"/>
        <v>0</v>
      </c>
      <c r="AL845" s="1047">
        <f t="shared" si="1716"/>
        <v>0</v>
      </c>
      <c r="AM845" s="1047">
        <f t="shared" si="1717"/>
        <v>0</v>
      </c>
      <c r="AN845" s="1047">
        <f t="shared" si="1717"/>
        <v>0</v>
      </c>
      <c r="AO845" s="1047">
        <f t="shared" si="1717"/>
        <v>0</v>
      </c>
      <c r="AP845" s="1351">
        <f t="shared" si="1718"/>
        <v>0</v>
      </c>
      <c r="AQ845" s="1047">
        <f t="shared" si="1718"/>
        <v>0</v>
      </c>
      <c r="AR845" s="1047">
        <f t="shared" si="1719"/>
        <v>0</v>
      </c>
      <c r="AS845" s="1047">
        <f t="shared" si="1719"/>
        <v>0</v>
      </c>
      <c r="AT845" s="1047">
        <f t="shared" si="1719"/>
        <v>0</v>
      </c>
      <c r="AU845" s="1351">
        <f t="shared" si="1720"/>
        <v>0</v>
      </c>
      <c r="AV845" s="1047">
        <f t="shared" si="1720"/>
        <v>0</v>
      </c>
      <c r="AW845" s="1047">
        <f t="shared" si="1721"/>
        <v>0</v>
      </c>
      <c r="AX845" s="1047">
        <f t="shared" si="1721"/>
        <v>0</v>
      </c>
      <c r="AY845" s="1047">
        <f t="shared" si="1721"/>
        <v>0</v>
      </c>
      <c r="AZ845" s="1351">
        <f t="shared" si="1731" ref="AZ845:BA845">AZ779</f>
        <v>0</v>
      </c>
      <c r="BA845" s="1047">
        <f t="shared" si="1731"/>
        <v>0</v>
      </c>
      <c r="BB845" s="1047">
        <f t="shared" si="1723"/>
        <v>0</v>
      </c>
      <c r="BC845" s="1047">
        <f t="shared" si="1723"/>
        <v>0</v>
      </c>
      <c r="BD845" s="1047">
        <f t="shared" si="1724"/>
        <v>0</v>
      </c>
      <c r="BE845" s="1351">
        <f t="shared" si="1732" ref="BE845:BF845">BE779</f>
        <v>0</v>
      </c>
      <c r="BF845" s="1047">
        <f t="shared" si="1732"/>
        <v>-500</v>
      </c>
      <c r="BG845" s="1047">
        <f t="shared" si="1726"/>
        <v>0</v>
      </c>
      <c r="BH845" s="1048">
        <f t="shared" si="1726"/>
        <v>0</v>
      </c>
      <c r="BI845" s="1044"/>
      <c r="BJ845" s="1350">
        <f t="shared" si="1727"/>
        <v>-500</v>
      </c>
      <c r="BK845" s="1044"/>
      <c r="BL845" s="1044"/>
      <c r="BM845" s="1044"/>
      <c r="BN845" s="1044"/>
      <c r="BO845" s="1350">
        <f t="shared" si="1728"/>
        <v>0</v>
      </c>
      <c r="BP845" s="1351"/>
      <c r="BQ845" s="1351"/>
      <c r="BR845" s="1350"/>
      <c r="BS845" s="648"/>
    </row>
    <row r="846" spans="1:71" s="686" customFormat="1" ht="15">
      <c r="A846" s="999" t="str">
        <f t="shared" si="1703"/>
        <v>Net proceeds from debt issuance</v>
      </c>
      <c r="B846" s="992"/>
      <c r="C846" s="1351">
        <f t="shared" si="1704"/>
        <v>0</v>
      </c>
      <c r="D846" s="1351">
        <f t="shared" si="1704"/>
        <v>0</v>
      </c>
      <c r="E846" s="1351">
        <f t="shared" si="1704"/>
        <v>491.90</v>
      </c>
      <c r="F846" s="1351">
        <f t="shared" si="1704"/>
        <v>0</v>
      </c>
      <c r="G846" s="1351">
        <f t="shared" si="1704"/>
        <v>0</v>
      </c>
      <c r="H846" s="1047">
        <f t="shared" si="1704"/>
        <v>0</v>
      </c>
      <c r="I846" s="1047">
        <f t="shared" si="1705"/>
        <v>344.70</v>
      </c>
      <c r="J846" s="1047">
        <f t="shared" si="1705"/>
        <v>0</v>
      </c>
      <c r="K846" s="1047">
        <f t="shared" si="1705"/>
        <v>0</v>
      </c>
      <c r="L846" s="1351">
        <f t="shared" si="1706"/>
        <v>344.70</v>
      </c>
      <c r="M846" s="1047">
        <f t="shared" si="1706"/>
        <v>382</v>
      </c>
      <c r="N846" s="1047">
        <f t="shared" si="1707"/>
        <v>0</v>
      </c>
      <c r="O846" s="1047">
        <f t="shared" si="1707"/>
        <v>0</v>
      </c>
      <c r="P846" s="1047">
        <f t="shared" si="1707"/>
        <v>0</v>
      </c>
      <c r="Q846" s="1351">
        <f t="shared" si="1708"/>
        <v>382</v>
      </c>
      <c r="R846" s="1047">
        <f t="shared" si="1708"/>
        <v>0</v>
      </c>
      <c r="S846" s="1047">
        <f t="shared" si="1709"/>
        <v>0</v>
      </c>
      <c r="T846" s="1047">
        <f t="shared" si="1709"/>
        <v>495.60</v>
      </c>
      <c r="U846" s="1047">
        <f t="shared" si="1709"/>
        <v>0</v>
      </c>
      <c r="V846" s="1351">
        <f t="shared" si="1710"/>
        <v>495.60</v>
      </c>
      <c r="W846" s="1047">
        <f t="shared" si="1710"/>
        <v>0</v>
      </c>
      <c r="X846" s="1047">
        <f t="shared" si="1711"/>
        <v>841.10</v>
      </c>
      <c r="Y846" s="1047">
        <f t="shared" si="1711"/>
        <v>0</v>
      </c>
      <c r="Z846" s="1047">
        <f t="shared" si="1711"/>
        <v>0</v>
      </c>
      <c r="AA846" s="1351">
        <f t="shared" si="1712"/>
        <v>841.10</v>
      </c>
      <c r="AB846" s="1047">
        <f t="shared" si="1712"/>
        <v>589.50</v>
      </c>
      <c r="AC846" s="1047">
        <f t="shared" si="1713"/>
        <v>0</v>
      </c>
      <c r="AD846" s="1047">
        <f t="shared" si="1713"/>
        <v>0</v>
      </c>
      <c r="AE846" s="1047">
        <f t="shared" si="1713"/>
        <v>544.50</v>
      </c>
      <c r="AF846" s="1351">
        <f t="shared" si="1714"/>
        <v>1134</v>
      </c>
      <c r="AG846" s="1047">
        <f t="shared" si="1714"/>
        <v>0</v>
      </c>
      <c r="AH846" s="1047">
        <f t="shared" si="1715"/>
        <v>0</v>
      </c>
      <c r="AI846" s="1047">
        <f t="shared" si="1715"/>
        <v>0</v>
      </c>
      <c r="AJ846" s="1047">
        <f t="shared" si="1715"/>
        <v>0</v>
      </c>
      <c r="AK846" s="1351">
        <f t="shared" si="1716"/>
        <v>0</v>
      </c>
      <c r="AL846" s="1047">
        <f t="shared" si="1716"/>
        <v>986.30</v>
      </c>
      <c r="AM846" s="1047">
        <f t="shared" si="1717"/>
        <v>0</v>
      </c>
      <c r="AN846" s="1047">
        <f t="shared" si="1717"/>
        <v>0</v>
      </c>
      <c r="AO846" s="1047">
        <f t="shared" si="1717"/>
        <v>0</v>
      </c>
      <c r="AP846" s="1351">
        <f t="shared" si="1718"/>
        <v>986.30</v>
      </c>
      <c r="AQ846" s="1047">
        <f t="shared" si="1718"/>
        <v>0</v>
      </c>
      <c r="AR846" s="1047">
        <f t="shared" si="1719"/>
        <v>0</v>
      </c>
      <c r="AS846" s="1047">
        <f t="shared" si="1719"/>
        <v>0</v>
      </c>
      <c r="AT846" s="1047">
        <f t="shared" si="1719"/>
        <v>0</v>
      </c>
      <c r="AU846" s="1351">
        <f t="shared" si="1720"/>
        <v>0</v>
      </c>
      <c r="AV846" s="1047">
        <f t="shared" si="1720"/>
        <v>1486</v>
      </c>
      <c r="AW846" s="1047">
        <f t="shared" si="1721"/>
        <v>0</v>
      </c>
      <c r="AX846" s="1047">
        <f t="shared" si="1721"/>
        <v>0</v>
      </c>
      <c r="AY846" s="1047">
        <f t="shared" si="1721"/>
        <v>0</v>
      </c>
      <c r="AZ846" s="1351">
        <f t="shared" si="1733" ref="AZ846:BA846">AZ780</f>
        <v>1486</v>
      </c>
      <c r="BA846" s="1047">
        <f t="shared" si="1733"/>
        <v>0</v>
      </c>
      <c r="BB846" s="1047">
        <f t="shared" si="1723"/>
        <v>496.30</v>
      </c>
      <c r="BC846" s="1047">
        <f t="shared" si="1723"/>
        <v>0</v>
      </c>
      <c r="BD846" s="1047">
        <f t="shared" si="1724"/>
        <v>0</v>
      </c>
      <c r="BE846" s="1351">
        <f t="shared" si="1734" ref="BE846:BF846">BE780</f>
        <v>496.30</v>
      </c>
      <c r="BF846" s="1047">
        <f t="shared" si="1734"/>
        <v>0</v>
      </c>
      <c r="BG846" s="1047">
        <f t="shared" si="1726"/>
        <v>0</v>
      </c>
      <c r="BH846" s="1048">
        <f t="shared" si="1726"/>
        <v>0</v>
      </c>
      <c r="BI846" s="1044">
        <f>BI706</f>
        <v>0</v>
      </c>
      <c r="BJ846" s="1350">
        <f t="shared" si="1727"/>
        <v>0</v>
      </c>
      <c r="BK846" s="1044">
        <f>BK706</f>
        <v>0</v>
      </c>
      <c r="BL846" s="1044">
        <f>BL706</f>
        <v>0</v>
      </c>
      <c r="BM846" s="1044">
        <f>BM706</f>
        <v>0</v>
      </c>
      <c r="BN846" s="1044">
        <f>BN706</f>
        <v>0</v>
      </c>
      <c r="BO846" s="1350">
        <f t="shared" si="1728"/>
        <v>0</v>
      </c>
      <c r="BP846" s="1351">
        <f>BP706</f>
        <v>0</v>
      </c>
      <c r="BQ846" s="1351">
        <f>BQ706</f>
        <v>0</v>
      </c>
      <c r="BR846" s="1350">
        <f>BR706</f>
        <v>0</v>
      </c>
      <c r="BS846" s="648"/>
    </row>
    <row r="847" spans="1:71" s="686" customFormat="1" ht="15">
      <c r="A847" s="999" t="str">
        <f t="shared" si="1703"/>
        <v>Payment of acquired company debt</v>
      </c>
      <c r="B847" s="992"/>
      <c r="C847" s="1351">
        <f t="shared" si="1704"/>
        <v>0</v>
      </c>
      <c r="D847" s="1351">
        <f t="shared" si="1704"/>
        <v>0</v>
      </c>
      <c r="E847" s="1351">
        <f t="shared" si="1704"/>
        <v>0</v>
      </c>
      <c r="F847" s="1351">
        <f t="shared" si="1704"/>
        <v>0</v>
      </c>
      <c r="G847" s="1351">
        <f t="shared" si="1704"/>
        <v>0</v>
      </c>
      <c r="H847" s="1047">
        <f t="shared" si="1704"/>
        <v>0</v>
      </c>
      <c r="I847" s="1047">
        <f t="shared" si="1705"/>
        <v>0</v>
      </c>
      <c r="J847" s="1047">
        <f t="shared" si="1705"/>
        <v>0</v>
      </c>
      <c r="K847" s="1047">
        <f t="shared" si="1705"/>
        <v>0</v>
      </c>
      <c r="L847" s="1351">
        <f t="shared" si="1706"/>
        <v>0</v>
      </c>
      <c r="M847" s="1047">
        <f t="shared" si="1706"/>
        <v>0</v>
      </c>
      <c r="N847" s="1047">
        <f t="shared" si="1707"/>
        <v>0</v>
      </c>
      <c r="O847" s="1047">
        <f t="shared" si="1707"/>
        <v>0</v>
      </c>
      <c r="P847" s="1047">
        <f t="shared" si="1707"/>
        <v>0</v>
      </c>
      <c r="Q847" s="1351">
        <f t="shared" si="1708"/>
        <v>0</v>
      </c>
      <c r="R847" s="1047">
        <f t="shared" si="1708"/>
        <v>0</v>
      </c>
      <c r="S847" s="1047">
        <f t="shared" si="1709"/>
        <v>0</v>
      </c>
      <c r="T847" s="1047">
        <f t="shared" si="1709"/>
        <v>0</v>
      </c>
      <c r="U847" s="1047">
        <f t="shared" si="1709"/>
        <v>0</v>
      </c>
      <c r="V847" s="1351">
        <f t="shared" si="1710"/>
        <v>0</v>
      </c>
      <c r="W847" s="1047">
        <f t="shared" si="1710"/>
        <v>0</v>
      </c>
      <c r="X847" s="1047">
        <f t="shared" si="1711"/>
        <v>0</v>
      </c>
      <c r="Y847" s="1047">
        <f t="shared" si="1711"/>
        <v>0</v>
      </c>
      <c r="Z847" s="1047">
        <f t="shared" si="1711"/>
        <v>0</v>
      </c>
      <c r="AA847" s="1351">
        <f t="shared" si="1712"/>
        <v>0</v>
      </c>
      <c r="AB847" s="1047">
        <f t="shared" si="1712"/>
        <v>0</v>
      </c>
      <c r="AC847" s="1047">
        <f t="shared" si="1713"/>
        <v>0</v>
      </c>
      <c r="AD847" s="1047">
        <f t="shared" si="1713"/>
        <v>0</v>
      </c>
      <c r="AE847" s="1047">
        <f t="shared" si="1713"/>
        <v>0</v>
      </c>
      <c r="AF847" s="1351">
        <f t="shared" si="1714"/>
        <v>0</v>
      </c>
      <c r="AG847" s="1047">
        <f t="shared" si="1714"/>
        <v>0</v>
      </c>
      <c r="AH847" s="1047">
        <f t="shared" si="1715"/>
        <v>0</v>
      </c>
      <c r="AI847" s="1047">
        <f t="shared" si="1715"/>
        <v>0</v>
      </c>
      <c r="AJ847" s="1047">
        <f t="shared" si="1715"/>
        <v>0</v>
      </c>
      <c r="AK847" s="1351">
        <f t="shared" si="1716"/>
        <v>0</v>
      </c>
      <c r="AL847" s="1047">
        <f t="shared" si="1716"/>
        <v>0</v>
      </c>
      <c r="AM847" s="1047">
        <f t="shared" si="1717"/>
        <v>0</v>
      </c>
      <c r="AN847" s="1047">
        <f t="shared" si="1717"/>
        <v>0</v>
      </c>
      <c r="AO847" s="1047">
        <f t="shared" si="1717"/>
        <v>0</v>
      </c>
      <c r="AP847" s="1351">
        <f t="shared" si="1718"/>
        <v>0</v>
      </c>
      <c r="AQ847" s="1047">
        <f t="shared" si="1718"/>
        <v>0</v>
      </c>
      <c r="AR847" s="1047">
        <f t="shared" si="1719"/>
        <v>0</v>
      </c>
      <c r="AS847" s="1047">
        <f t="shared" si="1719"/>
        <v>-20</v>
      </c>
      <c r="AT847" s="1047">
        <f t="shared" si="1719"/>
        <v>0</v>
      </c>
      <c r="AU847" s="1351">
        <f t="shared" si="1720"/>
        <v>-20</v>
      </c>
      <c r="AV847" s="1047">
        <f t="shared" si="1720"/>
        <v>0</v>
      </c>
      <c r="AW847" s="1047">
        <f t="shared" si="1721"/>
        <v>0</v>
      </c>
      <c r="AX847" s="1047">
        <f t="shared" si="1721"/>
        <v>0</v>
      </c>
      <c r="AY847" s="1047">
        <f t="shared" si="1721"/>
        <v>0</v>
      </c>
      <c r="AZ847" s="1351">
        <f t="shared" si="1735" ref="AZ847:BA847">AZ781</f>
        <v>0</v>
      </c>
      <c r="BA847" s="1047">
        <f t="shared" si="1735"/>
        <v>0</v>
      </c>
      <c r="BB847" s="1047">
        <f t="shared" si="1723"/>
        <v>0</v>
      </c>
      <c r="BC847" s="1047">
        <f t="shared" si="1723"/>
        <v>0</v>
      </c>
      <c r="BD847" s="1047">
        <f t="shared" si="1724"/>
        <v>0</v>
      </c>
      <c r="BE847" s="1351">
        <f t="shared" si="1736" ref="BE847:BF847">BE781</f>
        <v>0</v>
      </c>
      <c r="BF847" s="1047">
        <f t="shared" si="1736"/>
        <v>0</v>
      </c>
      <c r="BG847" s="1047">
        <f t="shared" si="1726"/>
        <v>0</v>
      </c>
      <c r="BH847" s="1048">
        <f t="shared" si="1726"/>
        <v>0</v>
      </c>
      <c r="BI847" s="1044"/>
      <c r="BJ847" s="1350">
        <f t="shared" si="1727"/>
        <v>0</v>
      </c>
      <c r="BK847" s="1044"/>
      <c r="BL847" s="1044"/>
      <c r="BM847" s="1044"/>
      <c r="BN847" s="1044"/>
      <c r="BO847" s="1350">
        <f t="shared" si="1728"/>
        <v>0</v>
      </c>
      <c r="BP847" s="1351"/>
      <c r="BQ847" s="1351"/>
      <c r="BR847" s="1350"/>
      <c r="BS847" s="648"/>
    </row>
    <row r="848" spans="1:71" s="686" customFormat="1" ht="15">
      <c r="A848" s="999" t="str">
        <f t="shared" si="1703"/>
        <v>Payments of debt</v>
      </c>
      <c r="B848" s="992"/>
      <c r="C848" s="1351">
        <f t="shared" si="1704"/>
        <v>0</v>
      </c>
      <c r="D848" s="1351">
        <f t="shared" si="1704"/>
        <v>0</v>
      </c>
      <c r="E848" s="1351">
        <f t="shared" si="1704"/>
        <v>0</v>
      </c>
      <c r="F848" s="1351">
        <f t="shared" si="1704"/>
        <v>-350</v>
      </c>
      <c r="G848" s="1351">
        <f t="shared" si="1704"/>
        <v>-150</v>
      </c>
      <c r="H848" s="1047">
        <f t="shared" si="1704"/>
        <v>0</v>
      </c>
      <c r="I848" s="1047">
        <f t="shared" si="1705"/>
        <v>0</v>
      </c>
      <c r="J848" s="1047">
        <f t="shared" si="1705"/>
        <v>0</v>
      </c>
      <c r="K848" s="1047">
        <f t="shared" si="1705"/>
        <v>0</v>
      </c>
      <c r="L848" s="1351">
        <f t="shared" si="1706"/>
        <v>0</v>
      </c>
      <c r="M848" s="1047">
        <f t="shared" si="1706"/>
        <v>0</v>
      </c>
      <c r="N848" s="1047">
        <f t="shared" si="1707"/>
        <v>-6.80</v>
      </c>
      <c r="O848" s="1047">
        <f t="shared" si="1707"/>
        <v>-6.80</v>
      </c>
      <c r="P848" s="1047">
        <f t="shared" si="1707"/>
        <v>-6.7999999999999989</v>
      </c>
      <c r="Q848" s="1351">
        <f t="shared" si="1708"/>
        <v>-20.40</v>
      </c>
      <c r="R848" s="1047">
        <f t="shared" si="1708"/>
        <v>-6.80</v>
      </c>
      <c r="S848" s="1047">
        <f t="shared" si="1709"/>
        <v>-6.20</v>
      </c>
      <c r="T848" s="1047">
        <f t="shared" si="1709"/>
        <v>-6.1999999999999993</v>
      </c>
      <c r="U848" s="1047">
        <f t="shared" si="1709"/>
        <v>-6.3000000000000007</v>
      </c>
      <c r="V848" s="1351">
        <f t="shared" si="1710"/>
        <v>-25.50</v>
      </c>
      <c r="W848" s="1047">
        <f t="shared" si="1710"/>
        <v>-6.20</v>
      </c>
      <c r="X848" s="1047">
        <f t="shared" si="1711"/>
        <v>-6.30</v>
      </c>
      <c r="Y848" s="1047">
        <f t="shared" si="1711"/>
        <v>-30.299999999999997</v>
      </c>
      <c r="Z848" s="1047">
        <f t="shared" si="1711"/>
        <v>-6.2000000000000028</v>
      </c>
      <c r="AA848" s="1351">
        <f t="shared" si="1712"/>
        <v>-49</v>
      </c>
      <c r="AB848" s="1047">
        <f t="shared" si="1712"/>
        <v>-37.10</v>
      </c>
      <c r="AC848" s="1047">
        <f t="shared" si="1713"/>
        <v>0</v>
      </c>
      <c r="AD848" s="1047">
        <f t="shared" si="1713"/>
        <v>0</v>
      </c>
      <c r="AE848" s="1047">
        <f t="shared" si="1713"/>
        <v>0</v>
      </c>
      <c r="AF848" s="1351">
        <f t="shared" si="1714"/>
        <v>-37.10</v>
      </c>
      <c r="AG848" s="1047">
        <f t="shared" si="1714"/>
        <v>0</v>
      </c>
      <c r="AH848" s="1047">
        <f t="shared" si="1715"/>
        <v>0</v>
      </c>
      <c r="AI848" s="1047">
        <f t="shared" si="1715"/>
        <v>0</v>
      </c>
      <c r="AJ848" s="1047">
        <f t="shared" si="1715"/>
        <v>0</v>
      </c>
      <c r="AK848" s="1351">
        <f t="shared" si="1716"/>
        <v>0</v>
      </c>
      <c r="AL848" s="1047">
        <f t="shared" si="1716"/>
        <v>0</v>
      </c>
      <c r="AM848" s="1047">
        <f t="shared" si="1717"/>
        <v>0</v>
      </c>
      <c r="AN848" s="1047">
        <f t="shared" si="1717"/>
        <v>0</v>
      </c>
      <c r="AO848" s="1047">
        <f t="shared" si="1717"/>
        <v>0</v>
      </c>
      <c r="AP848" s="1351">
        <f t="shared" si="1718"/>
        <v>0</v>
      </c>
      <c r="AQ848" s="1047">
        <f t="shared" si="1718"/>
        <v>0</v>
      </c>
      <c r="AR848" s="1047">
        <f t="shared" si="1719"/>
        <v>-20</v>
      </c>
      <c r="AS848" s="1047">
        <f t="shared" si="1719"/>
        <v>-480</v>
      </c>
      <c r="AT848" s="1047">
        <f t="shared" si="1719"/>
        <v>0</v>
      </c>
      <c r="AU848" s="1351">
        <f t="shared" si="1720"/>
        <v>-500</v>
      </c>
      <c r="AV848" s="1047">
        <f t="shared" si="1720"/>
        <v>0</v>
      </c>
      <c r="AW848" s="1047">
        <f t="shared" si="1721"/>
        <v>0</v>
      </c>
      <c r="AX848" s="1047">
        <f t="shared" si="1721"/>
        <v>0</v>
      </c>
      <c r="AY848" s="1047">
        <f t="shared" si="1721"/>
        <v>0</v>
      </c>
      <c r="AZ848" s="1351">
        <f t="shared" si="1737" ref="AZ848:BA848">AZ782</f>
        <v>0</v>
      </c>
      <c r="BA848" s="1047">
        <f t="shared" si="1737"/>
        <v>0</v>
      </c>
      <c r="BB848" s="1047">
        <f t="shared" si="1723"/>
        <v>0</v>
      </c>
      <c r="BC848" s="1047">
        <f t="shared" si="1723"/>
        <v>0</v>
      </c>
      <c r="BD848" s="1047">
        <f t="shared" si="1724"/>
        <v>0</v>
      </c>
      <c r="BE848" s="1351">
        <f t="shared" si="1738" ref="BE848:BF848">BE782</f>
        <v>0</v>
      </c>
      <c r="BF848" s="1047">
        <f t="shared" si="1738"/>
        <v>0</v>
      </c>
      <c r="BG848" s="1047">
        <f t="shared" si="1726"/>
        <v>0</v>
      </c>
      <c r="BH848" s="1048">
        <f t="shared" si="1726"/>
        <v>0</v>
      </c>
      <c r="BI848" s="1044"/>
      <c r="BJ848" s="1350">
        <f t="shared" si="1727"/>
        <v>0</v>
      </c>
      <c r="BK848" s="1044"/>
      <c r="BL848" s="1044"/>
      <c r="BM848" s="1044"/>
      <c r="BN848" s="1044"/>
      <c r="BO848" s="1350">
        <f t="shared" si="1728"/>
        <v>0</v>
      </c>
      <c r="BP848" s="1351"/>
      <c r="BQ848" s="1351"/>
      <c r="BR848" s="1350"/>
      <c r="BS848" s="648"/>
    </row>
    <row r="849" spans="1:71" s="686" customFormat="1" ht="15">
      <c r="A849" s="999" t="str">
        <f t="shared" si="1703"/>
        <v>Reacquisition of debt</v>
      </c>
      <c r="B849" s="992"/>
      <c r="C849" s="1351">
        <f t="shared" si="1704"/>
        <v>0</v>
      </c>
      <c r="D849" s="1351">
        <f t="shared" si="1704"/>
        <v>-214.30</v>
      </c>
      <c r="E849" s="1351">
        <f t="shared" si="1704"/>
        <v>-15</v>
      </c>
      <c r="F849" s="1351">
        <f t="shared" si="1704"/>
        <v>-32.50</v>
      </c>
      <c r="G849" s="1351">
        <f t="shared" si="1704"/>
        <v>-58.10</v>
      </c>
      <c r="H849" s="1047">
        <f t="shared" si="1704"/>
        <v>0</v>
      </c>
      <c r="I849" s="1047">
        <f t="shared" si="1705"/>
        <v>0</v>
      </c>
      <c r="J849" s="1047">
        <f t="shared" si="1705"/>
        <v>-48.90</v>
      </c>
      <c r="K849" s="1047">
        <f t="shared" si="1705"/>
        <v>0</v>
      </c>
      <c r="L849" s="1351">
        <f t="shared" si="1706"/>
        <v>-48.90</v>
      </c>
      <c r="M849" s="1047">
        <f t="shared" si="1706"/>
        <v>0</v>
      </c>
      <c r="N849" s="1047">
        <f t="shared" si="1707"/>
        <v>0</v>
      </c>
      <c r="O849" s="1047">
        <f t="shared" si="1707"/>
        <v>-19.30</v>
      </c>
      <c r="P849" s="1047">
        <f t="shared" si="1707"/>
        <v>0</v>
      </c>
      <c r="Q849" s="1351">
        <f t="shared" si="1708"/>
        <v>-19.30</v>
      </c>
      <c r="R849" s="1047">
        <f t="shared" si="1708"/>
        <v>0</v>
      </c>
      <c r="S849" s="1047">
        <f t="shared" si="1709"/>
        <v>-18.20</v>
      </c>
      <c r="T849" s="1047">
        <f t="shared" si="1709"/>
        <v>0</v>
      </c>
      <c r="U849" s="1047">
        <f t="shared" si="1709"/>
        <v>0</v>
      </c>
      <c r="V849" s="1351">
        <f t="shared" si="1710"/>
        <v>-18.20</v>
      </c>
      <c r="W849" s="1047">
        <f t="shared" si="1710"/>
        <v>-30.70</v>
      </c>
      <c r="X849" s="1047">
        <f t="shared" si="1711"/>
        <v>-563.69999999999993</v>
      </c>
      <c r="Y849" s="1047">
        <f t="shared" si="1711"/>
        <v>-41.200000000000045</v>
      </c>
      <c r="Z849" s="1047">
        <f t="shared" si="1711"/>
        <v>0</v>
      </c>
      <c r="AA849" s="1351">
        <f t="shared" si="1712"/>
        <v>-635.60</v>
      </c>
      <c r="AB849" s="1047">
        <f t="shared" si="1712"/>
        <v>0</v>
      </c>
      <c r="AC849" s="1047">
        <f t="shared" si="1713"/>
        <v>0</v>
      </c>
      <c r="AD849" s="1047">
        <f t="shared" si="1713"/>
        <v>0</v>
      </c>
      <c r="AE849" s="1047">
        <f t="shared" si="1713"/>
        <v>0</v>
      </c>
      <c r="AF849" s="1351">
        <f t="shared" si="1714"/>
        <v>0</v>
      </c>
      <c r="AG849" s="1047">
        <f t="shared" si="1714"/>
        <v>0</v>
      </c>
      <c r="AH849" s="1047">
        <f t="shared" si="1715"/>
        <v>0</v>
      </c>
      <c r="AI849" s="1047">
        <f t="shared" si="1715"/>
        <v>0</v>
      </c>
      <c r="AJ849" s="1047">
        <f t="shared" si="1715"/>
        <v>0</v>
      </c>
      <c r="AK849" s="1351">
        <f t="shared" si="1716"/>
        <v>0</v>
      </c>
      <c r="AL849" s="1047">
        <f t="shared" si="1716"/>
        <v>0</v>
      </c>
      <c r="AM849" s="1047">
        <f t="shared" si="1717"/>
        <v>0</v>
      </c>
      <c r="AN849" s="1047">
        <f t="shared" si="1717"/>
        <v>0</v>
      </c>
      <c r="AO849" s="1047">
        <f t="shared" si="1717"/>
        <v>0</v>
      </c>
      <c r="AP849" s="1351">
        <f t="shared" si="1718"/>
        <v>0</v>
      </c>
      <c r="AQ849" s="1047">
        <f t="shared" si="1718"/>
        <v>0</v>
      </c>
      <c r="AR849" s="1047">
        <f t="shared" si="1719"/>
        <v>0</v>
      </c>
      <c r="AS849" s="1047">
        <f t="shared" si="1719"/>
        <v>0</v>
      </c>
      <c r="AT849" s="1047">
        <f t="shared" si="1719"/>
        <v>0</v>
      </c>
      <c r="AU849" s="1351">
        <f t="shared" si="1720"/>
        <v>0</v>
      </c>
      <c r="AV849" s="1047">
        <f t="shared" si="1720"/>
        <v>0</v>
      </c>
      <c r="AW849" s="1047">
        <f t="shared" si="1721"/>
        <v>0</v>
      </c>
      <c r="AX849" s="1047">
        <f t="shared" si="1721"/>
        <v>0</v>
      </c>
      <c r="AY849" s="1047">
        <f t="shared" si="1721"/>
        <v>0</v>
      </c>
      <c r="AZ849" s="1351">
        <f t="shared" si="1739" ref="AZ849:BA849">AZ783</f>
        <v>0</v>
      </c>
      <c r="BA849" s="1047">
        <f t="shared" si="1739"/>
        <v>0</v>
      </c>
      <c r="BB849" s="1047">
        <f t="shared" si="1723"/>
        <v>0</v>
      </c>
      <c r="BC849" s="1047">
        <f t="shared" si="1723"/>
        <v>0</v>
      </c>
      <c r="BD849" s="1047">
        <f t="shared" si="1724"/>
        <v>0</v>
      </c>
      <c r="BE849" s="1351">
        <f t="shared" si="1740" ref="BE849:BF849">BE783</f>
        <v>0</v>
      </c>
      <c r="BF849" s="1047">
        <f t="shared" si="1740"/>
        <v>0</v>
      </c>
      <c r="BG849" s="1047">
        <f t="shared" si="1726"/>
        <v>0</v>
      </c>
      <c r="BH849" s="1048">
        <f t="shared" si="1726"/>
        <v>0</v>
      </c>
      <c r="BI849" s="1044"/>
      <c r="BJ849" s="1350">
        <f t="shared" si="1727"/>
        <v>0</v>
      </c>
      <c r="BK849" s="1044"/>
      <c r="BL849" s="1044"/>
      <c r="BM849" s="1044"/>
      <c r="BN849" s="1044"/>
      <c r="BO849" s="1350">
        <f t="shared" si="1728"/>
        <v>0</v>
      </c>
      <c r="BP849" s="1351"/>
      <c r="BQ849" s="1351"/>
      <c r="BR849" s="1350"/>
      <c r="BS849" s="648"/>
    </row>
    <row r="850" spans="1:71" s="686" customFormat="1" ht="15">
      <c r="A850" s="999" t="str">
        <f t="shared" si="1703"/>
        <v>Dividends paid to preferred shareholders</v>
      </c>
      <c r="B850" s="992"/>
      <c r="C850" s="1351">
        <f t="shared" si="1704"/>
        <v>0</v>
      </c>
      <c r="D850" s="1351">
        <f t="shared" si="1704"/>
        <v>0</v>
      </c>
      <c r="E850" s="1351">
        <f t="shared" si="1704"/>
        <v>0</v>
      </c>
      <c r="F850" s="1351">
        <f t="shared" si="1704"/>
        <v>0</v>
      </c>
      <c r="G850" s="1351">
        <f t="shared" si="1704"/>
        <v>0</v>
      </c>
      <c r="H850" s="1047">
        <f t="shared" si="1704"/>
        <v>0</v>
      </c>
      <c r="I850" s="1047">
        <f t="shared" si="1705"/>
        <v>0</v>
      </c>
      <c r="J850" s="1047">
        <f t="shared" si="1705"/>
        <v>0</v>
      </c>
      <c r="K850" s="1047">
        <f t="shared" si="1705"/>
        <v>0</v>
      </c>
      <c r="L850" s="1351">
        <f t="shared" si="1706"/>
        <v>0</v>
      </c>
      <c r="M850" s="1047">
        <f t="shared" si="1706"/>
        <v>0</v>
      </c>
      <c r="N850" s="1047">
        <f t="shared" si="1707"/>
        <v>0</v>
      </c>
      <c r="O850" s="1047">
        <f t="shared" si="1707"/>
        <v>0</v>
      </c>
      <c r="P850" s="1047">
        <f t="shared" si="1707"/>
        <v>0</v>
      </c>
      <c r="Q850" s="1351">
        <f t="shared" si="1708"/>
        <v>0</v>
      </c>
      <c r="R850" s="1047">
        <f t="shared" si="1708"/>
        <v>0</v>
      </c>
      <c r="S850" s="1047">
        <f t="shared" si="1709"/>
        <v>0</v>
      </c>
      <c r="T850" s="1047">
        <f t="shared" si="1709"/>
        <v>0</v>
      </c>
      <c r="U850" s="1047">
        <f t="shared" si="1709"/>
        <v>0</v>
      </c>
      <c r="V850" s="1351">
        <f t="shared" si="1710"/>
        <v>0</v>
      </c>
      <c r="W850" s="1047">
        <f t="shared" si="1710"/>
        <v>0</v>
      </c>
      <c r="X850" s="1047">
        <f t="shared" si="1711"/>
        <v>0</v>
      </c>
      <c r="Y850" s="1047">
        <f t="shared" si="1711"/>
        <v>0</v>
      </c>
      <c r="Z850" s="1047">
        <f t="shared" si="1711"/>
        <v>0</v>
      </c>
      <c r="AA850" s="1351">
        <f t="shared" si="1712"/>
        <v>0</v>
      </c>
      <c r="AB850" s="1047">
        <f t="shared" si="1712"/>
        <v>0</v>
      </c>
      <c r="AC850" s="1047">
        <f t="shared" si="1713"/>
        <v>0</v>
      </c>
      <c r="AD850" s="1047">
        <f t="shared" si="1713"/>
        <v>-13.50</v>
      </c>
      <c r="AE850" s="1047">
        <f t="shared" si="1713"/>
        <v>0</v>
      </c>
      <c r="AF850" s="1351">
        <f t="shared" si="1714"/>
        <v>-13.50</v>
      </c>
      <c r="AG850" s="1047">
        <f t="shared" si="1714"/>
        <v>-13.40</v>
      </c>
      <c r="AH850" s="1047">
        <f t="shared" si="1715"/>
        <v>0</v>
      </c>
      <c r="AI850" s="1047">
        <f t="shared" si="1715"/>
        <v>-13.40</v>
      </c>
      <c r="AJ850" s="1047">
        <f t="shared" si="1715"/>
        <v>0</v>
      </c>
      <c r="AK850" s="1351">
        <f t="shared" si="1716"/>
        <v>-26.80</v>
      </c>
      <c r="AL850" s="1047">
        <f t="shared" si="1716"/>
        <v>-13.40</v>
      </c>
      <c r="AM850" s="1047">
        <f t="shared" si="1717"/>
        <v>0</v>
      </c>
      <c r="AN850" s="1047">
        <f t="shared" si="1717"/>
        <v>-13.40</v>
      </c>
      <c r="AO850" s="1047">
        <f t="shared" si="1717"/>
        <v>0</v>
      </c>
      <c r="AP850" s="1351">
        <f t="shared" si="1718"/>
        <v>-26.80</v>
      </c>
      <c r="AQ850" s="1047">
        <f t="shared" si="1718"/>
        <v>-13.40</v>
      </c>
      <c r="AR850" s="1047">
        <f t="shared" si="1719"/>
        <v>0</v>
      </c>
      <c r="AS850" s="1047">
        <f t="shared" si="1719"/>
        <v>-13.40</v>
      </c>
      <c r="AT850" s="1047">
        <f t="shared" si="1719"/>
        <v>0</v>
      </c>
      <c r="AU850" s="1351">
        <f t="shared" si="1720"/>
        <v>-26.80</v>
      </c>
      <c r="AV850" s="1047">
        <f t="shared" si="1720"/>
        <v>-13.40</v>
      </c>
      <c r="AW850" s="1047">
        <f t="shared" si="1721"/>
        <v>0</v>
      </c>
      <c r="AX850" s="1047">
        <f t="shared" si="1721"/>
        <v>-13.40</v>
      </c>
      <c r="AY850" s="1047">
        <f t="shared" si="1721"/>
        <v>0</v>
      </c>
      <c r="AZ850" s="1351">
        <f t="shared" si="1741" ref="AZ850:BA850">AZ784</f>
        <v>-26.80</v>
      </c>
      <c r="BA850" s="1047">
        <f t="shared" si="1741"/>
        <v>-13.40</v>
      </c>
      <c r="BB850" s="1047">
        <f t="shared" si="1723"/>
        <v>-9.4999999999999982</v>
      </c>
      <c r="BC850" s="1047">
        <f t="shared" si="1723"/>
        <v>-10.300000000000004</v>
      </c>
      <c r="BD850" s="1047">
        <f t="shared" si="1724"/>
        <v>-10.40</v>
      </c>
      <c r="BE850" s="1351">
        <f t="shared" si="1742" ref="BE850:BF850">BE784</f>
        <v>-43.60</v>
      </c>
      <c r="BF850" s="1047">
        <f t="shared" si="1742"/>
        <v>-7.80</v>
      </c>
      <c r="BG850" s="1047">
        <f t="shared" si="1726"/>
        <v>0</v>
      </c>
      <c r="BH850" s="1048">
        <f t="shared" si="1726"/>
        <v>0</v>
      </c>
      <c r="BI850" s="1044"/>
      <c r="BJ850" s="1350">
        <f t="shared" si="1727"/>
        <v>-7.80</v>
      </c>
      <c r="BK850" s="1044"/>
      <c r="BL850" s="1044"/>
      <c r="BM850" s="1044"/>
      <c r="BN850" s="1044"/>
      <c r="BO850" s="1350">
        <f t="shared" si="1728"/>
        <v>0</v>
      </c>
      <c r="BP850" s="1351"/>
      <c r="BQ850" s="1351"/>
      <c r="BR850" s="1350"/>
      <c r="BS850" s="648"/>
    </row>
    <row r="851" spans="1:71" s="686" customFormat="1" ht="15">
      <c r="A851" s="999" t="str">
        <f t="shared" si="1703"/>
        <v>Dividends paid to shareholders</v>
      </c>
      <c r="B851" s="992"/>
      <c r="C851" s="1351">
        <f t="shared" si="1704"/>
        <v>0</v>
      </c>
      <c r="D851" s="1351">
        <f t="shared" si="1704"/>
        <v>-763.70</v>
      </c>
      <c r="E851" s="1351">
        <f t="shared" si="1704"/>
        <v>-263.60000000000002</v>
      </c>
      <c r="F851" s="1351">
        <f t="shared" si="1704"/>
        <v>-853.70</v>
      </c>
      <c r="G851" s="1351">
        <f t="shared" si="1704"/>
        <v>-175.60</v>
      </c>
      <c r="H851" s="1047">
        <f t="shared" si="1704"/>
        <v>-892.60</v>
      </c>
      <c r="I851" s="1047">
        <f t="shared" si="1705"/>
        <v>0</v>
      </c>
      <c r="J851" s="1047">
        <f t="shared" si="1705"/>
        <v>0</v>
      </c>
      <c r="K851" s="1047">
        <f t="shared" si="1705"/>
        <v>0</v>
      </c>
      <c r="L851" s="1351">
        <f t="shared" si="1706"/>
        <v>-892.60</v>
      </c>
      <c r="M851" s="1047">
        <f t="shared" si="1706"/>
        <v>-403.60</v>
      </c>
      <c r="N851" s="1047">
        <f t="shared" si="1707"/>
        <v>0</v>
      </c>
      <c r="O851" s="1047">
        <f t="shared" si="1707"/>
        <v>0</v>
      </c>
      <c r="P851" s="1047">
        <f t="shared" si="1707"/>
        <v>0</v>
      </c>
      <c r="Q851" s="1351">
        <f t="shared" si="1708"/>
        <v>-403.60</v>
      </c>
      <c r="R851" s="1047">
        <f t="shared" si="1708"/>
        <v>-519</v>
      </c>
      <c r="S851" s="1047">
        <f t="shared" si="1709"/>
        <v>0</v>
      </c>
      <c r="T851" s="1047">
        <f t="shared" si="1709"/>
        <v>0</v>
      </c>
      <c r="U851" s="1047">
        <f t="shared" si="1709"/>
        <v>0</v>
      </c>
      <c r="V851" s="1351">
        <f t="shared" si="1710"/>
        <v>-519</v>
      </c>
      <c r="W851" s="1047">
        <f t="shared" si="1710"/>
        <v>-395.40</v>
      </c>
      <c r="X851" s="1047">
        <f t="shared" si="1711"/>
        <v>0</v>
      </c>
      <c r="Y851" s="1047">
        <f t="shared" si="1711"/>
        <v>0</v>
      </c>
      <c r="Z851" s="1047">
        <f t="shared" si="1711"/>
        <v>0</v>
      </c>
      <c r="AA851" s="1351">
        <f t="shared" si="1712"/>
        <v>-395.40</v>
      </c>
      <c r="AB851" s="1047">
        <f t="shared" si="1712"/>
        <v>-654.90</v>
      </c>
      <c r="AC851" s="1047">
        <f t="shared" si="1713"/>
        <v>0</v>
      </c>
      <c r="AD851" s="1047">
        <f t="shared" si="1713"/>
        <v>0</v>
      </c>
      <c r="AE851" s="1047">
        <f t="shared" si="1713"/>
        <v>0</v>
      </c>
      <c r="AF851" s="1351">
        <f t="shared" si="1714"/>
        <v>-654.90</v>
      </c>
      <c r="AG851" s="1047">
        <f t="shared" si="1714"/>
        <v>-1467.90</v>
      </c>
      <c r="AH851" s="1047">
        <f t="shared" si="1715"/>
        <v>-58.399999999999864</v>
      </c>
      <c r="AI851" s="1047">
        <f t="shared" si="1715"/>
        <v>-58.400000000000091</v>
      </c>
      <c r="AJ851" s="1047">
        <f t="shared" si="1715"/>
        <v>-58.50</v>
      </c>
      <c r="AK851" s="1351">
        <f t="shared" si="1716"/>
        <v>-1643.20</v>
      </c>
      <c r="AL851" s="1047">
        <f t="shared" si="1716"/>
        <v>-1375.40</v>
      </c>
      <c r="AM851" s="1047">
        <f t="shared" si="1717"/>
        <v>-58.50</v>
      </c>
      <c r="AN851" s="1047">
        <f t="shared" si="1717"/>
        <v>-58.50</v>
      </c>
      <c r="AO851" s="1047">
        <f t="shared" si="1717"/>
        <v>-58.599999999999909</v>
      </c>
      <c r="AP851" s="1351">
        <f t="shared" si="1718"/>
        <v>-1551</v>
      </c>
      <c r="AQ851" s="1047">
        <f t="shared" si="1718"/>
        <v>-2694.50</v>
      </c>
      <c r="AR851" s="1047">
        <f t="shared" si="1719"/>
        <v>-58.50</v>
      </c>
      <c r="AS851" s="1047">
        <f t="shared" si="1719"/>
        <v>-58.50</v>
      </c>
      <c r="AT851" s="1047">
        <f t="shared" si="1719"/>
        <v>-935</v>
      </c>
      <c r="AU851" s="1351">
        <f t="shared" si="1720"/>
        <v>-3746.50</v>
      </c>
      <c r="AV851" s="1047">
        <f t="shared" si="1720"/>
        <v>-58.50</v>
      </c>
      <c r="AW851" s="1047">
        <f t="shared" si="1721"/>
        <v>-58.50</v>
      </c>
      <c r="AX851" s="1047">
        <f t="shared" si="1721"/>
        <v>-58.50</v>
      </c>
      <c r="AY851" s="1047">
        <f t="shared" si="1721"/>
        <v>-58.50</v>
      </c>
      <c r="AZ851" s="1351">
        <f t="shared" si="1743" ref="AZ851:BA851">AZ785</f>
        <v>-234</v>
      </c>
      <c r="BA851" s="1047">
        <f t="shared" si="1743"/>
        <v>-58.50</v>
      </c>
      <c r="BB851" s="1047">
        <f t="shared" si="1723"/>
        <v>-58.50</v>
      </c>
      <c r="BC851" s="1047">
        <f t="shared" si="1723"/>
        <v>-58.50</v>
      </c>
      <c r="BD851" s="1047">
        <f t="shared" si="1724"/>
        <v>-58.50</v>
      </c>
      <c r="BE851" s="1351">
        <f t="shared" si="1744" ref="BE851:BF851">BE785</f>
        <v>-234</v>
      </c>
      <c r="BF851" s="1047">
        <f t="shared" si="1744"/>
        <v>-497.90</v>
      </c>
      <c r="BG851" s="1047">
        <f t="shared" si="1726"/>
        <v>-58.600000000000023</v>
      </c>
      <c r="BH851" s="1048">
        <f t="shared" si="1726"/>
        <v>-58.600000000000023</v>
      </c>
      <c r="BI851" s="1044">
        <f ca="1">BI668</f>
        <v>-58.58</v>
      </c>
      <c r="BJ851" s="1350">
        <f t="shared" ca="1" si="1727"/>
        <v>-673.68</v>
      </c>
      <c r="BK851" s="1044">
        <f ca="1">BK668</f>
        <v>-58.58</v>
      </c>
      <c r="BL851" s="1044">
        <f ca="1">BL668</f>
        <v>-58.58</v>
      </c>
      <c r="BM851" s="1044">
        <f ca="1">BM668</f>
        <v>-58.58</v>
      </c>
      <c r="BN851" s="1044">
        <f ca="1">BN668</f>
        <v>-58.58</v>
      </c>
      <c r="BO851" s="1350">
        <f t="shared" ca="1" si="1728"/>
        <v>-234.32</v>
      </c>
      <c r="BP851" s="1351">
        <f ca="1">BP668</f>
        <v>-234.32</v>
      </c>
      <c r="BQ851" s="1351">
        <f ca="1">BQ668</f>
        <v>-234.32</v>
      </c>
      <c r="BR851" s="1350">
        <f ca="1">BR668</f>
        <v>-234.32</v>
      </c>
      <c r="BS851" s="648"/>
    </row>
    <row r="852" spans="1:71" s="686" customFormat="1" ht="15">
      <c r="A852" s="999" t="str">
        <f t="shared" si="1703"/>
        <v>Acquisition of additional shares of ARX Holding Corp.</v>
      </c>
      <c r="B852" s="992"/>
      <c r="C852" s="1351">
        <f t="shared" si="1704"/>
        <v>0</v>
      </c>
      <c r="D852" s="1351">
        <f t="shared" si="1704"/>
        <v>0</v>
      </c>
      <c r="E852" s="1351">
        <f t="shared" si="1704"/>
        <v>0</v>
      </c>
      <c r="F852" s="1351">
        <f t="shared" si="1704"/>
        <v>0</v>
      </c>
      <c r="G852" s="1351">
        <f t="shared" si="1704"/>
        <v>0</v>
      </c>
      <c r="H852" s="1047">
        <f t="shared" si="1704"/>
        <v>0</v>
      </c>
      <c r="I852" s="1047">
        <f t="shared" si="1705"/>
        <v>0</v>
      </c>
      <c r="J852" s="1047">
        <f t="shared" si="1705"/>
        <v>0</v>
      </c>
      <c r="K852" s="1047">
        <f t="shared" si="1705"/>
        <v>0</v>
      </c>
      <c r="L852" s="1351">
        <f t="shared" si="1706"/>
        <v>0</v>
      </c>
      <c r="M852" s="1047">
        <f t="shared" si="1706"/>
        <v>0</v>
      </c>
      <c r="N852" s="1047">
        <f t="shared" si="1707"/>
        <v>-12.60</v>
      </c>
      <c r="O852" s="1047">
        <f t="shared" si="1707"/>
        <v>0</v>
      </c>
      <c r="P852" s="1047">
        <f t="shared" si="1707"/>
        <v>0</v>
      </c>
      <c r="Q852" s="1351">
        <f t="shared" si="1708"/>
        <v>-12.60</v>
      </c>
      <c r="R852" s="1047">
        <f t="shared" si="1708"/>
        <v>0</v>
      </c>
      <c r="S852" s="1047">
        <f t="shared" si="1709"/>
        <v>0</v>
      </c>
      <c r="T852" s="1047">
        <f t="shared" si="1709"/>
        <v>0</v>
      </c>
      <c r="U852" s="1047">
        <f t="shared" si="1709"/>
        <v>0</v>
      </c>
      <c r="V852" s="1351">
        <f t="shared" si="1710"/>
        <v>0</v>
      </c>
      <c r="W852" s="1047">
        <f t="shared" si="1710"/>
        <v>0</v>
      </c>
      <c r="X852" s="1047">
        <f t="shared" si="1711"/>
        <v>0</v>
      </c>
      <c r="Y852" s="1047">
        <f t="shared" si="1711"/>
        <v>0</v>
      </c>
      <c r="Z852" s="1047">
        <f t="shared" si="1711"/>
        <v>0</v>
      </c>
      <c r="AA852" s="1351">
        <f t="shared" si="1712"/>
        <v>0</v>
      </c>
      <c r="AB852" s="1047">
        <f t="shared" si="1712"/>
        <v>0</v>
      </c>
      <c r="AC852" s="1047">
        <f t="shared" si="1713"/>
        <v>-295.89999999999998</v>
      </c>
      <c r="AD852" s="1047">
        <f t="shared" si="1713"/>
        <v>-1</v>
      </c>
      <c r="AE852" s="1047">
        <f t="shared" si="1713"/>
        <v>0</v>
      </c>
      <c r="AF852" s="1351">
        <f t="shared" si="1714"/>
        <v>-296.89999999999998</v>
      </c>
      <c r="AG852" s="1047">
        <f t="shared" si="1714"/>
        <v>0</v>
      </c>
      <c r="AH852" s="1047">
        <f t="shared" si="1715"/>
        <v>-11.20</v>
      </c>
      <c r="AI852" s="1047">
        <f t="shared" si="1715"/>
        <v>0</v>
      </c>
      <c r="AJ852" s="1047">
        <f t="shared" si="1715"/>
        <v>0</v>
      </c>
      <c r="AK852" s="1351">
        <f t="shared" si="1716"/>
        <v>-11.20</v>
      </c>
      <c r="AL852" s="1047">
        <f t="shared" si="1716"/>
        <v>0</v>
      </c>
      <c r="AM852" s="1047">
        <f t="shared" si="1717"/>
        <v>-243</v>
      </c>
      <c r="AN852" s="1047">
        <f t="shared" si="1717"/>
        <v>0</v>
      </c>
      <c r="AO852" s="1047">
        <f t="shared" si="1717"/>
        <v>0</v>
      </c>
      <c r="AP852" s="1351">
        <f t="shared" si="1718"/>
        <v>-243</v>
      </c>
      <c r="AQ852" s="1047">
        <f t="shared" si="1718"/>
        <v>0</v>
      </c>
      <c r="AR852" s="1047">
        <f t="shared" si="1719"/>
        <v>0</v>
      </c>
      <c r="AS852" s="1047">
        <f t="shared" si="1719"/>
        <v>0</v>
      </c>
      <c r="AT852" s="1047">
        <f t="shared" si="1719"/>
        <v>0</v>
      </c>
      <c r="AU852" s="1351">
        <f t="shared" si="1720"/>
        <v>0</v>
      </c>
      <c r="AV852" s="1047">
        <f t="shared" si="1720"/>
        <v>0</v>
      </c>
      <c r="AW852" s="1047">
        <f t="shared" si="1721"/>
        <v>0</v>
      </c>
      <c r="AX852" s="1047">
        <f t="shared" si="1721"/>
        <v>0</v>
      </c>
      <c r="AY852" s="1047">
        <f t="shared" si="1721"/>
        <v>0</v>
      </c>
      <c r="AZ852" s="1351">
        <f t="shared" si="1745" ref="AZ852:BA852">AZ786</f>
        <v>0</v>
      </c>
      <c r="BA852" s="1047">
        <f t="shared" si="1745"/>
        <v>0</v>
      </c>
      <c r="BB852" s="1047">
        <f t="shared" si="1723"/>
        <v>0</v>
      </c>
      <c r="BC852" s="1047">
        <f t="shared" si="1723"/>
        <v>0</v>
      </c>
      <c r="BD852" s="1047">
        <f t="shared" si="1724"/>
        <v>0</v>
      </c>
      <c r="BE852" s="1351">
        <f t="shared" si="1746" ref="BE852:BF852">BE786</f>
        <v>0</v>
      </c>
      <c r="BF852" s="1047">
        <f t="shared" si="1746"/>
        <v>0</v>
      </c>
      <c r="BG852" s="1047">
        <f t="shared" si="1726"/>
        <v>0</v>
      </c>
      <c r="BH852" s="1048">
        <f t="shared" si="1726"/>
        <v>0</v>
      </c>
      <c r="BI852" s="1044"/>
      <c r="BJ852" s="1350">
        <f t="shared" si="1727"/>
        <v>0</v>
      </c>
      <c r="BK852" s="1044"/>
      <c r="BL852" s="1044"/>
      <c r="BM852" s="1044"/>
      <c r="BN852" s="1044"/>
      <c r="BO852" s="1350">
        <f t="shared" si="1728"/>
        <v>0</v>
      </c>
      <c r="BP852" s="1351"/>
      <c r="BQ852" s="1351"/>
      <c r="BR852" s="1350"/>
      <c r="BS852" s="648"/>
    </row>
    <row r="853" spans="1:71" s="686" customFormat="1" ht="15">
      <c r="A853" s="999" t="str">
        <f t="shared" si="1703"/>
        <v>Acquisition of treasury shares</v>
      </c>
      <c r="B853" s="992"/>
      <c r="C853" s="1351">
        <f t="shared" si="1704"/>
        <v>-180.60</v>
      </c>
      <c r="D853" s="1351">
        <f t="shared" si="1704"/>
        <v>-258.60000000000002</v>
      </c>
      <c r="E853" s="1351">
        <f t="shared" si="1704"/>
        <v>-997.80</v>
      </c>
      <c r="F853" s="1351">
        <f t="shared" si="1704"/>
        <v>-174.20</v>
      </c>
      <c r="G853" s="1351">
        <f t="shared" si="1704"/>
        <v>-273.39999999999998</v>
      </c>
      <c r="H853" s="1047">
        <f t="shared" si="1704"/>
        <v>-94.70</v>
      </c>
      <c r="I853" s="1047">
        <f t="shared" si="1705"/>
        <v>-45.30</v>
      </c>
      <c r="J853" s="1047">
        <f t="shared" si="1705"/>
        <v>-94.699999999999989</v>
      </c>
      <c r="K853" s="1047">
        <f t="shared" si="1705"/>
        <v>-36.699999999999989</v>
      </c>
      <c r="L853" s="1351">
        <f t="shared" si="1706"/>
        <v>-271.39999999999998</v>
      </c>
      <c r="M853" s="1047">
        <f t="shared" si="1706"/>
        <v>-65.900000000000006</v>
      </c>
      <c r="N853" s="1047">
        <f t="shared" si="1707"/>
        <v>-42.199999999999989</v>
      </c>
      <c r="O853" s="1047">
        <f t="shared" si="1707"/>
        <v>-66.800000000000011</v>
      </c>
      <c r="P853" s="1047">
        <f t="shared" si="1707"/>
        <v>-33.599999999999994</v>
      </c>
      <c r="Q853" s="1351">
        <f t="shared" si="1708"/>
        <v>-208.50</v>
      </c>
      <c r="R853" s="1047">
        <f t="shared" si="1708"/>
        <v>-70.30</v>
      </c>
      <c r="S853" s="1047">
        <f t="shared" si="1709"/>
        <v>-41.80</v>
      </c>
      <c r="T853" s="1047">
        <f t="shared" si="1709"/>
        <v>-51.50</v>
      </c>
      <c r="U853" s="1047">
        <f t="shared" si="1709"/>
        <v>-28.900000000000006</v>
      </c>
      <c r="V853" s="1351">
        <f t="shared" si="1710"/>
        <v>-192.50</v>
      </c>
      <c r="W853" s="1047">
        <f t="shared" si="1710"/>
        <v>-21.40</v>
      </c>
      <c r="X853" s="1047">
        <f t="shared" si="1711"/>
        <v>-2.7000000000000028</v>
      </c>
      <c r="Y853" s="1047">
        <f t="shared" si="1711"/>
        <v>-33.10</v>
      </c>
      <c r="Z853" s="1047">
        <f t="shared" si="1711"/>
        <v>-0.39999999999999858</v>
      </c>
      <c r="AA853" s="1351">
        <f t="shared" si="1712"/>
        <v>-57.60</v>
      </c>
      <c r="AB853" s="1047">
        <f t="shared" si="1712"/>
        <v>-36.799999999999997</v>
      </c>
      <c r="AC853" s="1047">
        <f t="shared" si="1713"/>
        <v>-2.2000000000000028</v>
      </c>
      <c r="AD853" s="1047">
        <f t="shared" si="1713"/>
        <v>-39.299999999999997</v>
      </c>
      <c r="AE853" s="1047">
        <f t="shared" si="1713"/>
        <v>-0.29999999999999716</v>
      </c>
      <c r="AF853" s="1351">
        <f t="shared" si="1714"/>
        <v>-78.599999999999994</v>
      </c>
      <c r="AG853" s="1047">
        <f t="shared" si="1714"/>
        <v>-26.10</v>
      </c>
      <c r="AH853" s="1047">
        <f t="shared" si="1715"/>
        <v>-2.2999999999999972</v>
      </c>
      <c r="AI853" s="1047">
        <f t="shared" si="1715"/>
        <v>-52.80</v>
      </c>
      <c r="AJ853" s="1047">
        <f t="shared" si="1715"/>
        <v>-3.2000000000000028</v>
      </c>
      <c r="AK853" s="1351">
        <f t="shared" si="1716"/>
        <v>-84.40</v>
      </c>
      <c r="AL853" s="1047">
        <f t="shared" si="1716"/>
        <v>-26.50</v>
      </c>
      <c r="AM853" s="1047">
        <f t="shared" si="1717"/>
        <v>-2.6000000000000014</v>
      </c>
      <c r="AN853" s="1047">
        <f t="shared" si="1717"/>
        <v>-37.90</v>
      </c>
      <c r="AO853" s="1047">
        <f t="shared" si="1717"/>
        <v>-1.7000000000000028</v>
      </c>
      <c r="AP853" s="1351">
        <f t="shared" si="1718"/>
        <v>-68.70</v>
      </c>
      <c r="AQ853" s="1047">
        <f t="shared" si="1718"/>
        <v>-30</v>
      </c>
      <c r="AR853" s="1047">
        <f t="shared" si="1719"/>
        <v>-0.39999999999999858</v>
      </c>
      <c r="AS853" s="1047">
        <f t="shared" si="1719"/>
        <v>-36.500000000000007</v>
      </c>
      <c r="AT853" s="1047">
        <f t="shared" si="1719"/>
        <v>-0.29999999999999716</v>
      </c>
      <c r="AU853" s="1351">
        <f t="shared" si="1720"/>
        <v>-67.20</v>
      </c>
      <c r="AV853" s="1047">
        <f t="shared" si="1720"/>
        <v>-28.70</v>
      </c>
      <c r="AW853" s="1047">
        <f t="shared" si="1721"/>
        <v>-0.80000000000000071</v>
      </c>
      <c r="AX853" s="1047">
        <f t="shared" si="1721"/>
        <v>-46.70</v>
      </c>
      <c r="AY853" s="1047">
        <f t="shared" si="1721"/>
        <v>-0.50</v>
      </c>
      <c r="AZ853" s="1351">
        <f t="shared" si="1747" ref="AZ853:BA853">AZ787</f>
        <v>-76.70</v>
      </c>
      <c r="BA853" s="1047">
        <f t="shared" si="1747"/>
        <v>-32.700000000000003</v>
      </c>
      <c r="BB853" s="1047">
        <f t="shared" si="1723"/>
        <v>-0.29999999999999716</v>
      </c>
      <c r="BC853" s="1047">
        <f t="shared" si="1723"/>
        <v>-19.299999999999997</v>
      </c>
      <c r="BD853" s="1047">
        <f t="shared" si="1724"/>
        <v>-42.70</v>
      </c>
      <c r="BE853" s="1351">
        <f t="shared" si="1748" ref="BE853:BF853">BE787</f>
        <v>-95</v>
      </c>
      <c r="BF853" s="1047">
        <f t="shared" si="1748"/>
        <v>-37.10</v>
      </c>
      <c r="BG853" s="1047">
        <f t="shared" si="1726"/>
        <v>-0.79999999999999716</v>
      </c>
      <c r="BH853" s="1048">
        <f t="shared" si="1726"/>
        <v>-82.800000000000011</v>
      </c>
      <c r="BI853" s="1044">
        <f>BI707</f>
        <v>0</v>
      </c>
      <c r="BJ853" s="1350">
        <f t="shared" si="1727"/>
        <v>-120.70000000000002</v>
      </c>
      <c r="BK853" s="1044">
        <f>BK707</f>
        <v>0</v>
      </c>
      <c r="BL853" s="1044">
        <f>BL707</f>
        <v>0</v>
      </c>
      <c r="BM853" s="1044">
        <f>BM707</f>
        <v>0</v>
      </c>
      <c r="BN853" s="1044">
        <f>BN707</f>
        <v>0</v>
      </c>
      <c r="BO853" s="1350">
        <f t="shared" si="1728"/>
        <v>0</v>
      </c>
      <c r="BP853" s="1351">
        <f>BP707</f>
        <v>0</v>
      </c>
      <c r="BQ853" s="1351">
        <f>BQ707</f>
        <v>0</v>
      </c>
      <c r="BR853" s="1350">
        <f>BR707</f>
        <v>0</v>
      </c>
      <c r="BS853" s="648"/>
    </row>
    <row r="854" spans="1:71" s="686" customFormat="1" ht="15">
      <c r="A854" s="1001" t="str">
        <f t="shared" si="1703"/>
        <v>Acquisition of treasury shares acquired in open market</v>
      </c>
      <c r="B854" s="988"/>
      <c r="C854" s="1324">
        <f t="shared" si="1704"/>
        <v>0</v>
      </c>
      <c r="D854" s="1324">
        <f t="shared" si="1704"/>
        <v>0</v>
      </c>
      <c r="E854" s="1324">
        <f t="shared" si="1704"/>
        <v>0</v>
      </c>
      <c r="F854" s="1324">
        <f t="shared" si="1704"/>
        <v>0</v>
      </c>
      <c r="G854" s="1324">
        <f t="shared" si="1704"/>
        <v>0</v>
      </c>
      <c r="H854" s="1029">
        <f t="shared" si="1704"/>
        <v>0</v>
      </c>
      <c r="I854" s="1029">
        <f t="shared" si="1705"/>
        <v>0</v>
      </c>
      <c r="J854" s="1029">
        <f t="shared" si="1705"/>
        <v>0</v>
      </c>
      <c r="K854" s="1029">
        <f t="shared" si="1705"/>
        <v>0</v>
      </c>
      <c r="L854" s="1324">
        <f t="shared" si="1706"/>
        <v>0</v>
      </c>
      <c r="M854" s="1029">
        <f t="shared" si="1706"/>
        <v>0</v>
      </c>
      <c r="N854" s="1029">
        <f t="shared" si="1707"/>
        <v>0</v>
      </c>
      <c r="O854" s="1029">
        <f t="shared" si="1707"/>
        <v>0</v>
      </c>
      <c r="P854" s="1029">
        <f t="shared" si="1707"/>
        <v>0</v>
      </c>
      <c r="Q854" s="1324">
        <f t="shared" si="1708"/>
        <v>0</v>
      </c>
      <c r="R854" s="1029">
        <f t="shared" si="1708"/>
        <v>0</v>
      </c>
      <c r="S854" s="1029">
        <f t="shared" si="1709"/>
        <v>0</v>
      </c>
      <c r="T854" s="1029">
        <f t="shared" si="1709"/>
        <v>0</v>
      </c>
      <c r="U854" s="1029">
        <f t="shared" si="1709"/>
        <v>0</v>
      </c>
      <c r="V854" s="1324">
        <f t="shared" si="1710"/>
        <v>0</v>
      </c>
      <c r="W854" s="1029">
        <f t="shared" si="1710"/>
        <v>0</v>
      </c>
      <c r="X854" s="1029">
        <f t="shared" si="1711"/>
        <v>0</v>
      </c>
      <c r="Y854" s="1029">
        <f t="shared" si="1711"/>
        <v>-4.9000000000000004</v>
      </c>
      <c r="Z854" s="1029">
        <f t="shared" si="1711"/>
        <v>0</v>
      </c>
      <c r="AA854" s="1324">
        <f t="shared" si="1712"/>
        <v>-4.9000000000000004</v>
      </c>
      <c r="AB854" s="1029">
        <f t="shared" si="1712"/>
        <v>-0.40</v>
      </c>
      <c r="AC854" s="1029">
        <f t="shared" si="1713"/>
        <v>0</v>
      </c>
      <c r="AD854" s="1029">
        <f t="shared" si="1713"/>
        <v>0</v>
      </c>
      <c r="AE854" s="1029">
        <f t="shared" si="1713"/>
        <v>0</v>
      </c>
      <c r="AF854" s="1324">
        <f t="shared" si="1714"/>
        <v>-0.40</v>
      </c>
      <c r="AG854" s="1029">
        <f t="shared" si="1714"/>
        <v>0</v>
      </c>
      <c r="AH854" s="1029">
        <f t="shared" si="1715"/>
        <v>0</v>
      </c>
      <c r="AI854" s="1029">
        <f t="shared" si="1715"/>
        <v>-6.90</v>
      </c>
      <c r="AJ854" s="1029">
        <f t="shared" si="1715"/>
        <v>0</v>
      </c>
      <c r="AK854" s="1324">
        <f t="shared" si="1716"/>
        <v>-6.90</v>
      </c>
      <c r="AL854" s="1029">
        <f t="shared" si="1716"/>
        <v>0</v>
      </c>
      <c r="AM854" s="1029">
        <f t="shared" si="1717"/>
        <v>0</v>
      </c>
      <c r="AN854" s="1029">
        <f t="shared" si="1717"/>
        <v>-7.50</v>
      </c>
      <c r="AO854" s="1029">
        <f t="shared" si="1717"/>
        <v>-35.40</v>
      </c>
      <c r="AP854" s="1324">
        <f t="shared" si="1718"/>
        <v>-42.90</v>
      </c>
      <c r="AQ854" s="1029">
        <f t="shared" si="1718"/>
        <v>-54.80</v>
      </c>
      <c r="AR854" s="1029">
        <f t="shared" si="1719"/>
        <v>-10.200000000000003</v>
      </c>
      <c r="AS854" s="1029">
        <f t="shared" si="1719"/>
        <v>-35.299999999999997</v>
      </c>
      <c r="AT854" s="1029">
        <f t="shared" si="1719"/>
        <v>-55.500000000000014</v>
      </c>
      <c r="AU854" s="1324">
        <f t="shared" si="1720"/>
        <v>-155.80000000000001</v>
      </c>
      <c r="AV854" s="1029">
        <f t="shared" si="1720"/>
        <v>0</v>
      </c>
      <c r="AW854" s="1029">
        <f t="shared" si="1721"/>
        <v>0</v>
      </c>
      <c r="AX854" s="1029">
        <f t="shared" si="1721"/>
        <v>-2.40</v>
      </c>
      <c r="AY854" s="1029">
        <f t="shared" si="1721"/>
        <v>-19.900000000000002</v>
      </c>
      <c r="AZ854" s="1324">
        <f t="shared" si="1749" ref="AZ854:BA854">AZ788</f>
        <v>-22.30</v>
      </c>
      <c r="BA854" s="1029">
        <f t="shared" si="1749"/>
        <v>0</v>
      </c>
      <c r="BB854" s="1029">
        <f t="shared" si="1723"/>
        <v>-7.10</v>
      </c>
      <c r="BC854" s="1029">
        <f t="shared" si="1723"/>
        <v>-20.40</v>
      </c>
      <c r="BD854" s="1029">
        <f t="shared" si="1724"/>
        <v>-18.200000000000003</v>
      </c>
      <c r="BE854" s="1324">
        <f t="shared" si="1750" ref="BE854:BF854">BE788</f>
        <v>-45.70</v>
      </c>
      <c r="BF854" s="1029">
        <f t="shared" si="1750"/>
        <v>0</v>
      </c>
      <c r="BG854" s="1029">
        <f t="shared" si="1726"/>
        <v>-10.10</v>
      </c>
      <c r="BH854" s="1050">
        <f t="shared" si="1726"/>
        <v>-3</v>
      </c>
      <c r="BI854" s="1029"/>
      <c r="BJ854" s="1324">
        <f t="shared" si="1727"/>
        <v>-13.10</v>
      </c>
      <c r="BK854" s="1029"/>
      <c r="BL854" s="1029"/>
      <c r="BM854" s="1029"/>
      <c r="BN854" s="1029"/>
      <c r="BO854" s="1324">
        <f t="shared" si="1728"/>
        <v>0</v>
      </c>
      <c r="BP854" s="1324"/>
      <c r="BQ854" s="1324"/>
      <c r="BR854" s="1324"/>
      <c r="BS854" s="648"/>
    </row>
    <row r="855" spans="1:71" s="696" customFormat="1" ht="15">
      <c r="A855" s="475" t="str">
        <f t="shared" si="1703"/>
        <v>Net CFF</v>
      </c>
      <c r="B855" s="410"/>
      <c r="C855" s="1356">
        <f t="shared" si="1751" ref="C855:AM855">SUM(C843:C854)</f>
        <v>-152.09999999999999</v>
      </c>
      <c r="D855" s="1356">
        <f t="shared" si="1751"/>
        <v>-1195.4000000000001</v>
      </c>
      <c r="E855" s="1356">
        <f t="shared" si="1751"/>
        <v>-755.70</v>
      </c>
      <c r="F855" s="1356">
        <f t="shared" si="1751"/>
        <v>-1404.10</v>
      </c>
      <c r="G855" s="1356">
        <f t="shared" si="1751"/>
        <v>-646.79999999999995</v>
      </c>
      <c r="H855" s="1054">
        <f t="shared" si="1751"/>
        <v>-976.60</v>
      </c>
      <c r="I855" s="1054">
        <f t="shared" si="1751"/>
        <v>299.39999999999998</v>
      </c>
      <c r="J855" s="1054">
        <f t="shared" si="1751"/>
        <v>-141.50</v>
      </c>
      <c r="K855" s="1054">
        <f t="shared" si="1751"/>
        <v>-36.699999999999989</v>
      </c>
      <c r="L855" s="1356">
        <f t="shared" si="1751"/>
        <v>-855.40</v>
      </c>
      <c r="M855" s="1054">
        <f t="shared" si="1751"/>
        <v>-81.200000000000017</v>
      </c>
      <c r="N855" s="1054">
        <f t="shared" si="1751"/>
        <v>-59.199999999999989</v>
      </c>
      <c r="O855" s="1054">
        <f t="shared" si="1751"/>
        <v>-86.60</v>
      </c>
      <c r="P855" s="1054">
        <f t="shared" si="1751"/>
        <v>-38.399999999999991</v>
      </c>
      <c r="Q855" s="1356">
        <f t="shared" si="1751"/>
        <v>-265.40000000000003</v>
      </c>
      <c r="R855" s="1054">
        <f t="shared" si="1751"/>
        <v>-589.50</v>
      </c>
      <c r="S855" s="1054">
        <f t="shared" si="1751"/>
        <v>-66.099999999999994</v>
      </c>
      <c r="T855" s="1054">
        <f t="shared" si="1751"/>
        <v>439.20000000000005</v>
      </c>
      <c r="U855" s="1054">
        <f t="shared" si="1751"/>
        <v>-34.000000000000007</v>
      </c>
      <c r="V855" s="1356">
        <f t="shared" si="1751"/>
        <v>-250.39999999999998</v>
      </c>
      <c r="W855" s="1054">
        <f t="shared" si="1751"/>
        <v>-453.19999999999993</v>
      </c>
      <c r="X855" s="1054">
        <f t="shared" si="1751"/>
        <v>268.40000000000015</v>
      </c>
      <c r="Y855" s="1054">
        <f t="shared" si="1751"/>
        <v>-109.50000000000006</v>
      </c>
      <c r="Z855" s="1054">
        <f t="shared" si="1751"/>
        <v>-6.6000000000000014</v>
      </c>
      <c r="AA855" s="1356">
        <f t="shared" si="1751"/>
        <v>-300.89999999999998</v>
      </c>
      <c r="AB855" s="1054">
        <f t="shared" si="1751"/>
        <v>354.80000000000013</v>
      </c>
      <c r="AC855" s="1054">
        <f t="shared" si="1751"/>
        <v>-295.39999999999998</v>
      </c>
      <c r="AD855" s="1054">
        <f t="shared" si="1751"/>
        <v>-53.80</v>
      </c>
      <c r="AE855" s="1054">
        <f t="shared" si="1751"/>
        <v>544.20000000000005</v>
      </c>
      <c r="AF855" s="1356">
        <f t="shared" si="1751"/>
        <v>549.80000000000018</v>
      </c>
      <c r="AG855" s="1054">
        <f t="shared" si="1751"/>
        <v>-1507.40</v>
      </c>
      <c r="AH855" s="1054">
        <f t="shared" si="1751"/>
        <v>-70.299999999999855</v>
      </c>
      <c r="AI855" s="1054">
        <f t="shared" si="1751"/>
        <v>-131.50000000000011</v>
      </c>
      <c r="AJ855" s="1054">
        <f t="shared" si="1751"/>
        <v>-61.70</v>
      </c>
      <c r="AK855" s="1356">
        <f t="shared" si="1751"/>
        <v>-1770.9000000000003</v>
      </c>
      <c r="AL855" s="1054">
        <f t="shared" si="1751"/>
        <v>-429.00000000000011</v>
      </c>
      <c r="AM855" s="1054">
        <f t="shared" si="1751"/>
        <v>-296.80</v>
      </c>
      <c r="AN855" s="1054">
        <f t="shared" si="1752" ref="AN855:AU855">SUM(AN843:AN854)</f>
        <v>-117.30000000000001</v>
      </c>
      <c r="AO855" s="1054">
        <f t="shared" si="1752"/>
        <v>-95.699999999999903</v>
      </c>
      <c r="AP855" s="1356">
        <f t="shared" si="1752"/>
        <v>-938.80</v>
      </c>
      <c r="AQ855" s="1054">
        <f t="shared" si="1752"/>
        <v>-2792.7000000000003</v>
      </c>
      <c r="AR855" s="1054">
        <f t="shared" si="1752"/>
        <v>-89.10</v>
      </c>
      <c r="AS855" s="1054">
        <f t="shared" si="1752"/>
        <v>-643.69999999999993</v>
      </c>
      <c r="AT855" s="1054">
        <f t="shared" si="1752"/>
        <v>-990.80</v>
      </c>
      <c r="AU855" s="1356">
        <f t="shared" si="1752"/>
        <v>-4516.30</v>
      </c>
      <c r="AV855" s="1054">
        <f>SUM(AV843:AV854)</f>
        <v>1385.40</v>
      </c>
      <c r="AW855" s="1054">
        <f t="shared" si="1753" ref="AW855">SUM(AW843:AW854)</f>
        <v>-59.30</v>
      </c>
      <c r="AX855" s="1054">
        <f>SUM(AX843:AX854)</f>
        <v>-121.00000000000001</v>
      </c>
      <c r="AY855" s="1054">
        <f t="shared" si="1754" ref="AY855:AZ855">SUM(AY843:AY854)</f>
        <v>-78.900000000000006</v>
      </c>
      <c r="AZ855" s="1356">
        <f t="shared" si="1754"/>
        <v>1126.20</v>
      </c>
      <c r="BA855" s="1054">
        <f>SUM(BA843:BA854)</f>
        <v>-104.60000000000001</v>
      </c>
      <c r="BB855" s="1054">
        <f t="shared" si="1755" ref="BB855">SUM(BB843:BB854)</f>
        <v>420.90</v>
      </c>
      <c r="BC855" s="1054">
        <f t="shared" si="1756" ref="BC855:BJ855">SUM(BC843:BC854)</f>
        <v>-108.50</v>
      </c>
      <c r="BD855" s="1054">
        <f t="shared" si="1756"/>
        <v>-129.80000000000001</v>
      </c>
      <c r="BE855" s="1356">
        <f t="shared" si="1756"/>
        <v>77.999999999999986</v>
      </c>
      <c r="BF855" s="1054">
        <f>SUM(BF843:BF854)</f>
        <v>-1042.80</v>
      </c>
      <c r="BG855" s="1054">
        <f t="shared" si="1757" ref="BG855:BH855">SUM(BG843:BG854)</f>
        <v>-69.500000000000014</v>
      </c>
      <c r="BH855" s="1100">
        <f t="shared" si="1757"/>
        <v>-144.40000000000003</v>
      </c>
      <c r="BI855" s="1054">
        <f ca="1">SUM(BI843:BI854)</f>
        <v>-58.58</v>
      </c>
      <c r="BJ855" s="1356">
        <f t="shared" ca="1" si="1756"/>
        <v>-1315.28</v>
      </c>
      <c r="BK855" s="1054">
        <f ca="1" t="shared" si="1758" ref="BK855:BR855">SUM(BK843:BK854)</f>
        <v>-58.58</v>
      </c>
      <c r="BL855" s="1054">
        <f t="shared" ca="1" si="1758"/>
        <v>-58.58</v>
      </c>
      <c r="BM855" s="1054">
        <f t="shared" ca="1" si="1758"/>
        <v>-58.58</v>
      </c>
      <c r="BN855" s="1054">
        <f t="shared" ca="1" si="1758"/>
        <v>-58.58</v>
      </c>
      <c r="BO855" s="1356">
        <f t="shared" ca="1" si="1758"/>
        <v>-234.32</v>
      </c>
      <c r="BP855" s="1356">
        <f t="shared" ca="1" si="1758"/>
        <v>-234.32</v>
      </c>
      <c r="BQ855" s="1356">
        <f t="shared" ca="1" si="1758"/>
        <v>-234.32</v>
      </c>
      <c r="BR855" s="1356">
        <f t="shared" ca="1" si="1758"/>
        <v>-234.32</v>
      </c>
      <c r="BS855" s="648"/>
    </row>
    <row r="856" spans="1:71" s="696" customFormat="1" ht="15">
      <c r="A856" s="904"/>
      <c r="B856" s="367"/>
      <c r="C856" s="1322"/>
      <c r="D856" s="1322"/>
      <c r="E856" s="1322"/>
      <c r="F856" s="1322"/>
      <c r="G856" s="1322"/>
      <c r="H856" s="1031"/>
      <c r="I856" s="1031"/>
      <c r="J856" s="1031"/>
      <c r="K856" s="1031"/>
      <c r="L856" s="1322"/>
      <c r="M856" s="1031"/>
      <c r="N856" s="1031"/>
      <c r="O856" s="1031"/>
      <c r="P856" s="1031"/>
      <c r="Q856" s="1322"/>
      <c r="R856" s="1031"/>
      <c r="S856" s="1031"/>
      <c r="T856" s="1031"/>
      <c r="U856" s="1031"/>
      <c r="V856" s="1322"/>
      <c r="W856" s="1031"/>
      <c r="X856" s="1031"/>
      <c r="Y856" s="1031"/>
      <c r="Z856" s="1031"/>
      <c r="AA856" s="1322"/>
      <c r="AB856" s="1031"/>
      <c r="AC856" s="1031"/>
      <c r="AD856" s="1031"/>
      <c r="AE856" s="1031"/>
      <c r="AF856" s="1322"/>
      <c r="AG856" s="1031"/>
      <c r="AH856" s="1031"/>
      <c r="AI856" s="1031"/>
      <c r="AJ856" s="1031"/>
      <c r="AK856" s="1322"/>
      <c r="AL856" s="1031"/>
      <c r="AM856" s="1031"/>
      <c r="AN856" s="1031"/>
      <c r="AO856" s="1031"/>
      <c r="AP856" s="1322"/>
      <c r="AQ856" s="1031"/>
      <c r="AR856" s="1031"/>
      <c r="AS856" s="1031"/>
      <c r="AT856" s="1031"/>
      <c r="AU856" s="1322"/>
      <c r="AV856" s="1031"/>
      <c r="AW856" s="1031"/>
      <c r="AX856" s="1031"/>
      <c r="AY856" s="1031"/>
      <c r="AZ856" s="1322"/>
      <c r="BA856" s="1031"/>
      <c r="BB856" s="1031"/>
      <c r="BC856" s="1031"/>
      <c r="BD856" s="1031"/>
      <c r="BE856" s="1322"/>
      <c r="BF856" s="1031"/>
      <c r="BG856" s="1031"/>
      <c r="BH856" s="1049"/>
      <c r="BI856" s="1023"/>
      <c r="BJ856" s="1321"/>
      <c r="BK856" s="1023"/>
      <c r="BL856" s="1023"/>
      <c r="BM856" s="1023"/>
      <c r="BN856" s="1023"/>
      <c r="BO856" s="1321"/>
      <c r="BP856" s="1322"/>
      <c r="BQ856" s="1322"/>
      <c r="BR856" s="1321"/>
      <c r="BS856" s="648"/>
    </row>
    <row r="857" spans="1:71" s="686" customFormat="1" ht="15">
      <c r="A857" s="412" t="str">
        <f>A791</f>
        <v>FX</v>
      </c>
      <c r="B857" s="321"/>
      <c r="C857" s="1351">
        <f t="shared" si="1759" ref="C857:H857">C791</f>
        <v>1.70</v>
      </c>
      <c r="D857" s="1351">
        <f t="shared" si="1759"/>
        <v>0.80</v>
      </c>
      <c r="E857" s="1351">
        <f t="shared" si="1759"/>
        <v>-0.50</v>
      </c>
      <c r="F857" s="1351">
        <f t="shared" si="1759"/>
        <v>1</v>
      </c>
      <c r="G857" s="1351">
        <f t="shared" si="1759"/>
        <v>-0.60</v>
      </c>
      <c r="H857" s="1047">
        <f t="shared" si="1759"/>
        <v>0.60</v>
      </c>
      <c r="I857" s="1047">
        <f>I791-H791</f>
        <v>0.60</v>
      </c>
      <c r="J857" s="1047">
        <f>J791-I791</f>
        <v>0.10000000000000009</v>
      </c>
      <c r="K857" s="1047">
        <f>K791-J791</f>
        <v>-1.30</v>
      </c>
      <c r="L857" s="1351">
        <f>L791</f>
        <v>0</v>
      </c>
      <c r="M857" s="1047">
        <f>M791</f>
        <v>-0.40</v>
      </c>
      <c r="N857" s="1047">
        <f>N791-M791</f>
        <v>0</v>
      </c>
      <c r="O857" s="1047">
        <f>O791-N791</f>
        <v>-0.29999999999999993</v>
      </c>
      <c r="P857" s="1047">
        <f>P791-O791</f>
        <v>0.49999999999999994</v>
      </c>
      <c r="Q857" s="1351">
        <f>Q791</f>
        <v>-0.20</v>
      </c>
      <c r="R857" s="1047">
        <f>R791</f>
        <v>0.10000000000000001</v>
      </c>
      <c r="S857" s="1047">
        <f>S791-R791</f>
        <v>0.10000000000000001</v>
      </c>
      <c r="T857" s="1047">
        <f>T791-S791</f>
        <v>0.20</v>
      </c>
      <c r="U857" s="1047">
        <f>U791-T791</f>
        <v>0</v>
      </c>
      <c r="V857" s="1351">
        <f>V791</f>
        <v>0.40</v>
      </c>
      <c r="W857" s="1047">
        <f>W791</f>
        <v>0</v>
      </c>
      <c r="X857" s="1047">
        <f>X791-W791</f>
        <v>0</v>
      </c>
      <c r="Y857" s="1047">
        <f>Y791-X791</f>
        <v>0.40</v>
      </c>
      <c r="Z857" s="1047">
        <f>Z791-Y791</f>
        <v>-0.70</v>
      </c>
      <c r="AA857" s="1351">
        <f>AA791</f>
        <v>-0.30</v>
      </c>
      <c r="AB857" s="1047">
        <f>AB791</f>
        <v>0</v>
      </c>
      <c r="AC857" s="1047">
        <f>AC791-AB791</f>
        <v>0</v>
      </c>
      <c r="AD857" s="1047">
        <f>AD791-AC791</f>
        <v>0</v>
      </c>
      <c r="AE857" s="1047">
        <f>AE791-AD791</f>
        <v>0</v>
      </c>
      <c r="AF857" s="1351">
        <f>AF791</f>
        <v>0</v>
      </c>
      <c r="AG857" s="1047">
        <f>AG791</f>
        <v>0</v>
      </c>
      <c r="AH857" s="1047">
        <f>AH791-AG791</f>
        <v>0</v>
      </c>
      <c r="AI857" s="1047">
        <f>AI791-AH791</f>
        <v>0</v>
      </c>
      <c r="AJ857" s="1047">
        <f>AJ791-AI791</f>
        <v>0</v>
      </c>
      <c r="AK857" s="1351">
        <f>AK791</f>
        <v>0</v>
      </c>
      <c r="AL857" s="1047">
        <f>AL791</f>
        <v>0</v>
      </c>
      <c r="AM857" s="1047">
        <f>AM791-AL791</f>
        <v>0</v>
      </c>
      <c r="AN857" s="1047">
        <f>AN791-AM791</f>
        <v>0</v>
      </c>
      <c r="AO857" s="1047">
        <f>AO791-AN791</f>
        <v>0</v>
      </c>
      <c r="AP857" s="1351">
        <f>AP791</f>
        <v>0</v>
      </c>
      <c r="AQ857" s="1047">
        <f>AQ791</f>
        <v>0</v>
      </c>
      <c r="AR857" s="1047">
        <f>AR791-AQ791</f>
        <v>0</v>
      </c>
      <c r="AS857" s="1047">
        <f>AS791-AR791</f>
        <v>0</v>
      </c>
      <c r="AT857" s="1047">
        <f>AT791-AS791</f>
        <v>0</v>
      </c>
      <c r="AU857" s="1351">
        <f>AU791</f>
        <v>0</v>
      </c>
      <c r="AV857" s="1047">
        <f>AV791</f>
        <v>0</v>
      </c>
      <c r="AW857" s="1047">
        <f>AW791-AV791</f>
        <v>0</v>
      </c>
      <c r="AX857" s="1047">
        <f>AX791-AW791</f>
        <v>0</v>
      </c>
      <c r="AY857" s="1047">
        <f>AY791-AX791</f>
        <v>0</v>
      </c>
      <c r="AZ857" s="1351">
        <f>AZ791</f>
        <v>0</v>
      </c>
      <c r="BA857" s="1047">
        <f>BA791</f>
        <v>0</v>
      </c>
      <c r="BB857" s="1047">
        <f>BB791-BA791</f>
        <v>0</v>
      </c>
      <c r="BC857" s="1047">
        <f t="shared" si="1760" ref="BC857">BC791-BB791</f>
        <v>0</v>
      </c>
      <c r="BD857" s="1047">
        <f>BD791-BC791</f>
        <v>0</v>
      </c>
      <c r="BE857" s="1351">
        <f>BE791</f>
        <v>0</v>
      </c>
      <c r="BF857" s="1047">
        <f>BF791</f>
        <v>0</v>
      </c>
      <c r="BG857" s="1047">
        <f>BG791-BF791</f>
        <v>0</v>
      </c>
      <c r="BH857" s="1048">
        <f t="shared" si="1761" ref="BH857">BH791-BG791</f>
        <v>0</v>
      </c>
      <c r="BI857" s="1285">
        <v>0</v>
      </c>
      <c r="BJ857" s="1350">
        <f>SUM(BF857,BG857,BH857,BI857)</f>
        <v>0</v>
      </c>
      <c r="BK857" s="1285">
        <v>0</v>
      </c>
      <c r="BL857" s="1285">
        <v>0</v>
      </c>
      <c r="BM857" s="1285">
        <v>0</v>
      </c>
      <c r="BN857" s="1285">
        <v>0</v>
      </c>
      <c r="BO857" s="1350">
        <f>SUM(BK857,BL857,BM857,BN857)</f>
        <v>0</v>
      </c>
      <c r="BP857" s="1364">
        <v>0</v>
      </c>
      <c r="BQ857" s="1364">
        <v>0</v>
      </c>
      <c r="BR857" s="1476">
        <v>0</v>
      </c>
      <c r="BS857" s="648"/>
    </row>
    <row r="858" spans="1:71" s="696" customFormat="1" ht="15">
      <c r="A858" s="904" t="str">
        <f>A792</f>
        <v>Net Change in Cash Balance</v>
      </c>
      <c r="B858" s="367"/>
      <c r="C858" s="1322">
        <f t="shared" si="1762" ref="C858:AM858">C855+C840+C824+C857</f>
        <v>157.80000000000013</v>
      </c>
      <c r="D858" s="1322">
        <f t="shared" si="1762"/>
        <v>-1.7999999999994543</v>
      </c>
      <c r="E858" s="1322">
        <f t="shared" si="1762"/>
        <v>-3.1999999999993634</v>
      </c>
      <c r="F858" s="1322">
        <f t="shared" si="1762"/>
        <v>23.399999999999409</v>
      </c>
      <c r="G858" s="1322">
        <f t="shared" si="1762"/>
        <v>-103.99999999999986</v>
      </c>
      <c r="H858" s="1031">
        <f t="shared" si="1762"/>
        <v>21.600000000000115</v>
      </c>
      <c r="I858" s="1031">
        <f t="shared" si="1762"/>
        <v>29.40000000000024</v>
      </c>
      <c r="J858" s="1031">
        <f t="shared" si="1762"/>
        <v>-35.500000000000362</v>
      </c>
      <c r="K858" s="1031">
        <f t="shared" si="1762"/>
        <v>17.800000000000114</v>
      </c>
      <c r="L858" s="1322">
        <f t="shared" si="1762"/>
        <v>33.299999999999045</v>
      </c>
      <c r="M858" s="1031">
        <f t="shared" si="1762"/>
        <v>-6.900000000000114</v>
      </c>
      <c r="N858" s="1031">
        <f t="shared" si="1762"/>
        <v>162.30000000000041</v>
      </c>
      <c r="O858" s="1031">
        <f t="shared" si="1762"/>
        <v>-69.299999999999542</v>
      </c>
      <c r="P858" s="1031">
        <f t="shared" si="1762"/>
        <v>29.899999999999039</v>
      </c>
      <c r="Q858" s="1322">
        <f t="shared" si="1762"/>
        <v>115.99999999999936</v>
      </c>
      <c r="R858" s="1031">
        <f t="shared" si="1762"/>
        <v>-14.499999999999796</v>
      </c>
      <c r="S858" s="1031">
        <f t="shared" si="1762"/>
        <v>-75.200000000000529</v>
      </c>
      <c r="T858" s="1031">
        <f t="shared" si="1762"/>
        <v>9.0000000000005222</v>
      </c>
      <c r="U858" s="1031">
        <f t="shared" si="1762"/>
        <v>68.099999999998772</v>
      </c>
      <c r="V858" s="1322">
        <f t="shared" si="1762"/>
        <v>-12.600000000001364</v>
      </c>
      <c r="W858" s="1031">
        <f t="shared" si="1762"/>
        <v>3</v>
      </c>
      <c r="X858" s="1031">
        <f t="shared" si="1762"/>
        <v>-53.499999999999773</v>
      </c>
      <c r="Y858" s="1031">
        <f t="shared" si="1762"/>
        <v>63.899999999999771</v>
      </c>
      <c r="Z858" s="1031">
        <f t="shared" si="1762"/>
        <v>35.500000000002089</v>
      </c>
      <c r="AA858" s="1322">
        <f t="shared" si="1762"/>
        <v>48.90000000000073</v>
      </c>
      <c r="AB858" s="1031">
        <f t="shared" si="1762"/>
        <v>-78.699999999999818</v>
      </c>
      <c r="AC858" s="1031">
        <f t="shared" si="1762"/>
        <v>-38.900000000000091</v>
      </c>
      <c r="AD858" s="1031">
        <f t="shared" si="1762"/>
        <v>-34.999999999999545</v>
      </c>
      <c r="AE858" s="1031">
        <f t="shared" si="1762"/>
        <v>-47.699999999998681</v>
      </c>
      <c r="AF858" s="1322">
        <f t="shared" si="1762"/>
        <v>-200.29999999999836</v>
      </c>
      <c r="AG858" s="1031">
        <f t="shared" si="1762"/>
        <v>83.699999999998909</v>
      </c>
      <c r="AH858" s="1031">
        <f t="shared" si="1762"/>
        <v>-65.799999999998136</v>
      </c>
      <c r="AI858" s="1031">
        <f t="shared" si="1762"/>
        <v>-46.7000000000005</v>
      </c>
      <c r="AJ858" s="1031">
        <f t="shared" si="1762"/>
        <v>181.19999999999879</v>
      </c>
      <c r="AK858" s="1322">
        <f t="shared" si="1762"/>
        <v>152.39999999999873</v>
      </c>
      <c r="AL858" s="1031">
        <f t="shared" si="1762"/>
        <v>142.99999999999864</v>
      </c>
      <c r="AM858" s="1031">
        <f t="shared" si="1762"/>
        <v>-261.29999999999836</v>
      </c>
      <c r="AN858" s="1031">
        <f t="shared" si="1763" ref="AN858:AU858">AN855+AN840+AN824+AN857</f>
        <v>-18</v>
      </c>
      <c r="AO858" s="1031">
        <f t="shared" si="1763"/>
        <v>-14.599999999998772</v>
      </c>
      <c r="AP858" s="1322">
        <f t="shared" si="1763"/>
        <v>-150.89999999999873</v>
      </c>
      <c r="AQ858" s="1031">
        <f t="shared" si="1763"/>
        <v>46.699999999999363</v>
      </c>
      <c r="AR858" s="1031">
        <f t="shared" si="1763"/>
        <v>-8.5999999999999091</v>
      </c>
      <c r="AS858" s="1031">
        <f t="shared" si="1763"/>
        <v>170.89999999999873</v>
      </c>
      <c r="AT858" s="1031">
        <f t="shared" si="1763"/>
        <v>-83.399999999999295</v>
      </c>
      <c r="AU858" s="1322">
        <f t="shared" si="1763"/>
        <v>125.60000000000309</v>
      </c>
      <c r="AV858" s="1031">
        <f>AV855+AV840+AV824+AV857</f>
        <v>85.199999999999363</v>
      </c>
      <c r="AW858" s="1031">
        <f t="shared" si="1764" ref="AW858">AW855+AW840+AW824+AW857</f>
        <v>-46.799999999998363</v>
      </c>
      <c r="AX858" s="1031">
        <f>AX855+AX840+AX824+AX857</f>
        <v>124.79999999999814</v>
      </c>
      <c r="AY858" s="1031">
        <f t="shared" si="1765" ref="AY858:AZ858">AY855+AY840+AY824+AY857</f>
        <v>-144.40000000000077</v>
      </c>
      <c r="AZ858" s="1322">
        <f t="shared" si="1765"/>
        <v>18.800000000002001</v>
      </c>
      <c r="BA858" s="1031">
        <f>BA855+BA840+BA824+BA857</f>
        <v>67.700000000000273</v>
      </c>
      <c r="BB858" s="1031">
        <f t="shared" si="1766" ref="BB858:BE858">BB855+BB840+BB824+BB857</f>
        <v>-109.099999999999</v>
      </c>
      <c r="BC858" s="1031">
        <f t="shared" si="1766"/>
        <v>-41.100000000001273</v>
      </c>
      <c r="BD858" s="1031">
        <f t="shared" si="1766"/>
        <v>-38.800000000000182</v>
      </c>
      <c r="BE858" s="1322">
        <f t="shared" si="1766"/>
        <v>-121.29999999999927</v>
      </c>
      <c r="BF858" s="1031">
        <f>BF855+BF840+BF824+BF857</f>
        <v>68.300000000000182</v>
      </c>
      <c r="BG858" s="1031">
        <f t="shared" si="1767" ref="BG858:BH858">BG855+BG840+BG824+BG857</f>
        <v>-66.200000000000728</v>
      </c>
      <c r="BH858" s="1049">
        <f t="shared" si="1767"/>
        <v>45.300000000001091</v>
      </c>
      <c r="BI858" s="1023">
        <f ca="1">BI855+BI840+BI824+BI857</f>
        <v>9629.011384655827</v>
      </c>
      <c r="BJ858" s="1321">
        <f ca="1">SUM(BI858,BH858,BG858,BF858)</f>
        <v>9676.4113846558284</v>
      </c>
      <c r="BK858" s="1023">
        <f ca="1" t="shared" si="1768" ref="BK858:BR858">BK855+BK840+BK824+BK857</f>
        <v>3367.9967290858226</v>
      </c>
      <c r="BL858" s="1023">
        <f t="shared" ca="1" si="1768"/>
        <v>-306.6647226042478</v>
      </c>
      <c r="BM858" s="1023">
        <f t="shared" ca="1" si="1768"/>
        <v>-4388.6941489796973</v>
      </c>
      <c r="BN858" s="1023">
        <f t="shared" ca="1" si="1768"/>
        <v>10623.563327170908</v>
      </c>
      <c r="BO858" s="1321">
        <f t="shared" ca="1" si="1768"/>
        <v>9296.2011846727873</v>
      </c>
      <c r="BP858" s="1322">
        <f t="shared" ca="1" si="1768"/>
        <v>10022.399364844137</v>
      </c>
      <c r="BQ858" s="1322">
        <f t="shared" ca="1" si="1768"/>
        <v>10443.567565188019</v>
      </c>
      <c r="BR858" s="1321">
        <f t="shared" ca="1" si="1768"/>
        <v>10876.514186908895</v>
      </c>
      <c r="BS858" s="648"/>
    </row>
    <row r="859" spans="1:71" s="696" customFormat="1" ht="15">
      <c r="A859" s="904"/>
      <c r="B859" s="367"/>
      <c r="C859" s="1322"/>
      <c r="D859" s="1322"/>
      <c r="E859" s="1322"/>
      <c r="F859" s="1322"/>
      <c r="G859" s="1322"/>
      <c r="H859" s="1031"/>
      <c r="I859" s="1031"/>
      <c r="J859" s="1031"/>
      <c r="K859" s="1031"/>
      <c r="L859" s="1322"/>
      <c r="M859" s="1031"/>
      <c r="N859" s="1031"/>
      <c r="O859" s="1031"/>
      <c r="P859" s="1031"/>
      <c r="Q859" s="1322"/>
      <c r="R859" s="1031"/>
      <c r="S859" s="1031"/>
      <c r="T859" s="1031"/>
      <c r="U859" s="1031"/>
      <c r="V859" s="1322"/>
      <c r="W859" s="1031"/>
      <c r="X859" s="1031"/>
      <c r="Y859" s="1031"/>
      <c r="Z859" s="1031"/>
      <c r="AA859" s="1322"/>
      <c r="AB859" s="1031"/>
      <c r="AC859" s="1031"/>
      <c r="AD859" s="1031"/>
      <c r="AE859" s="1031"/>
      <c r="AF859" s="1322"/>
      <c r="AG859" s="1031"/>
      <c r="AH859" s="1031"/>
      <c r="AI859" s="1031"/>
      <c r="AJ859" s="1031"/>
      <c r="AK859" s="1322"/>
      <c r="AL859" s="1031"/>
      <c r="AM859" s="1031"/>
      <c r="AN859" s="1031"/>
      <c r="AO859" s="1031"/>
      <c r="AP859" s="1322"/>
      <c r="AQ859" s="1031"/>
      <c r="AR859" s="1031"/>
      <c r="AS859" s="1031"/>
      <c r="AT859" s="1031"/>
      <c r="AU859" s="1322"/>
      <c r="AV859" s="1031"/>
      <c r="AW859" s="1031"/>
      <c r="AX859" s="1031"/>
      <c r="AY859" s="1031"/>
      <c r="AZ859" s="1322"/>
      <c r="BA859" s="1031"/>
      <c r="BB859" s="1031"/>
      <c r="BC859" s="1031"/>
      <c r="BD859" s="1031"/>
      <c r="BE859" s="1322"/>
      <c r="BF859" s="1031"/>
      <c r="BG859" s="1031"/>
      <c r="BH859" s="1049"/>
      <c r="BI859" s="1023"/>
      <c r="BJ859" s="1321"/>
      <c r="BK859" s="1023"/>
      <c r="BL859" s="1023"/>
      <c r="BM859" s="1023"/>
      <c r="BN859" s="1023"/>
      <c r="BO859" s="1321"/>
      <c r="BP859" s="1322"/>
      <c r="BQ859" s="1322"/>
      <c r="BR859" s="1321"/>
      <c r="BS859" s="648"/>
    </row>
    <row r="860" spans="1:71" s="696" customFormat="1" ht="15">
      <c r="A860" s="904" t="str">
        <f>A794</f>
        <v>Beginning Cash Balance</v>
      </c>
      <c r="B860" s="367"/>
      <c r="C860" s="1322">
        <f>C794</f>
        <v>2.90</v>
      </c>
      <c r="D860" s="1322">
        <f t="shared" si="1769" ref="D860:K860">C861</f>
        <v>160.70000000000013</v>
      </c>
      <c r="E860" s="1322">
        <f t="shared" si="1769"/>
        <v>158.90000000000069</v>
      </c>
      <c r="F860" s="1322">
        <f t="shared" si="1769"/>
        <v>155.70000000000132</v>
      </c>
      <c r="G860" s="1322">
        <f t="shared" si="1769"/>
        <v>179.10000000000073</v>
      </c>
      <c r="H860" s="1031">
        <f t="shared" si="1769"/>
        <v>75.100000000000875</v>
      </c>
      <c r="I860" s="1031">
        <f t="shared" si="1769"/>
        <v>96.700000000000983</v>
      </c>
      <c r="J860" s="1031">
        <f t="shared" si="1769"/>
        <v>126.10000000000122</v>
      </c>
      <c r="K860" s="1031">
        <f t="shared" si="1769"/>
        <v>90.600000000000847</v>
      </c>
      <c r="L860" s="1322">
        <f>G861</f>
        <v>75.100000000000875</v>
      </c>
      <c r="M860" s="1031">
        <f>L861</f>
        <v>108.39999999999992</v>
      </c>
      <c r="N860" s="1031">
        <f>M861</f>
        <v>101.4999999999998</v>
      </c>
      <c r="O860" s="1031">
        <f>N861</f>
        <v>263.80000000000018</v>
      </c>
      <c r="P860" s="1031">
        <f>O861</f>
        <v>194.50000000000063</v>
      </c>
      <c r="Q860" s="1322">
        <f>L861</f>
        <v>108.39999999999992</v>
      </c>
      <c r="R860" s="1031">
        <f>Q861</f>
        <v>224.3999999999993</v>
      </c>
      <c r="S860" s="1031">
        <f>R861</f>
        <v>209.89999999999949</v>
      </c>
      <c r="T860" s="1031">
        <f>S861-0.3</f>
        <v>134.39999999999895</v>
      </c>
      <c r="U860" s="1031">
        <f>T861</f>
        <v>143.39999999999947</v>
      </c>
      <c r="V860" s="1322">
        <f>V794</f>
        <v>224.09999999999928</v>
      </c>
      <c r="W860" s="1031">
        <f>V861</f>
        <v>211.49999999999793</v>
      </c>
      <c r="X860" s="1031">
        <f>W861</f>
        <v>214.49999999999793</v>
      </c>
      <c r="Y860" s="1031">
        <f>X861</f>
        <v>160.99999999999815</v>
      </c>
      <c r="Z860" s="1031">
        <f>Y861+(AA860-V861)</f>
        <v>239.80</v>
      </c>
      <c r="AA860" s="1322">
        <f>AA794</f>
        <v>226.40</v>
      </c>
      <c r="AB860" s="1031">
        <f>AA861</f>
        <v>275.30000000000075</v>
      </c>
      <c r="AC860" s="1031">
        <f>AB861</f>
        <v>196.60000000000093</v>
      </c>
      <c r="AD860" s="1031">
        <f>AC861</f>
        <v>157.70000000000084</v>
      </c>
      <c r="AE860" s="1031">
        <f>AD861+(AF860-AA861)</f>
        <v>122.7000000000013</v>
      </c>
      <c r="AF860" s="1322">
        <f>AF794</f>
        <v>275.30000000000075</v>
      </c>
      <c r="AG860" s="1031">
        <f>AF861</f>
        <v>75.000000000002387</v>
      </c>
      <c r="AH860" s="1031">
        <f>AG861</f>
        <v>158.7000000000013</v>
      </c>
      <c r="AI860" s="1031">
        <f>AH861</f>
        <v>92.90000000000316</v>
      </c>
      <c r="AJ860" s="1031">
        <f>AI861+(AK860-AF861)</f>
        <v>46.20000000000266</v>
      </c>
      <c r="AK860" s="1322">
        <f>AK794</f>
        <v>75.000000000002387</v>
      </c>
      <c r="AL860" s="1031">
        <f>AK861</f>
        <v>227.40000000000111</v>
      </c>
      <c r="AM860" s="1031">
        <f>AL861</f>
        <v>370.39999999999975</v>
      </c>
      <c r="AN860" s="1031">
        <f>AM861</f>
        <v>109.10000000000139</v>
      </c>
      <c r="AO860" s="1031">
        <f>AN861+(AP860-AK861)</f>
        <v>91.100000000001387</v>
      </c>
      <c r="AP860" s="1322">
        <f>AP794</f>
        <v>227.40000000000111</v>
      </c>
      <c r="AQ860" s="1031">
        <f>AP861</f>
        <v>76.500000000002387</v>
      </c>
      <c r="AR860" s="1031">
        <f>AQ861</f>
        <v>123.20000000000175</v>
      </c>
      <c r="AS860" s="1031">
        <f>AR861</f>
        <v>114.60000000000184</v>
      </c>
      <c r="AT860" s="1031">
        <f>AS861+(AU860-AP861)</f>
        <v>285.50000000000057</v>
      </c>
      <c r="AU860" s="1322">
        <f>AU794</f>
        <v>76.500000000002387</v>
      </c>
      <c r="AV860" s="1031">
        <f>AU861</f>
        <v>202.10000000000548</v>
      </c>
      <c r="AW860" s="1031">
        <f>AV861</f>
        <v>287.30000000000484</v>
      </c>
      <c r="AX860" s="1031">
        <f>AW861</f>
        <v>240.50000000000648</v>
      </c>
      <c r="AY860" s="1031">
        <f>AX861+(AZ860-AU861)</f>
        <v>365.30000000000462</v>
      </c>
      <c r="AZ860" s="1322">
        <f>AZ794</f>
        <v>202.10000000000548</v>
      </c>
      <c r="BA860" s="1031">
        <f>AZ861</f>
        <v>220.90000000000748</v>
      </c>
      <c r="BB860" s="1031">
        <f>BA861</f>
        <v>288.60000000000775</v>
      </c>
      <c r="BC860" s="1031">
        <f>BB861</f>
        <v>179.50000000000875</v>
      </c>
      <c r="BD860" s="1031">
        <f>BC861+(BE860-AZ861)</f>
        <v>138.40000000000748</v>
      </c>
      <c r="BE860" s="1322">
        <f>BE794</f>
        <v>220.90000000000748</v>
      </c>
      <c r="BF860" s="1031">
        <f>BE861</f>
        <v>99.600000000008208</v>
      </c>
      <c r="BG860" s="1031">
        <f>BF861</f>
        <v>167.90000000000839</v>
      </c>
      <c r="BH860" s="1049">
        <f>BG861</f>
        <v>101.70000000000766</v>
      </c>
      <c r="BI860" s="1023">
        <f>BH861</f>
        <v>147.00000000000875</v>
      </c>
      <c r="BJ860" s="1321">
        <f>BE861</f>
        <v>99.600000000008208</v>
      </c>
      <c r="BK860" s="1023">
        <f ca="1">BJ861</f>
        <v>9776.0113846558361</v>
      </c>
      <c r="BL860" s="1023">
        <f ca="1">BK861</f>
        <v>13144.008113741658</v>
      </c>
      <c r="BM860" s="1023">
        <f ca="1">BL861</f>
        <v>12837.34339113741</v>
      </c>
      <c r="BN860" s="1023">
        <f ca="1">BM861</f>
        <v>8448.6492421577132</v>
      </c>
      <c r="BO860" s="1321">
        <f ca="1">BJ861</f>
        <v>9776.0113846558361</v>
      </c>
      <c r="BP860" s="1322">
        <f ca="1">BO861</f>
        <v>19072.212569328622</v>
      </c>
      <c r="BQ860" s="1322">
        <f ca="1">BP861</f>
        <v>29094.611934172761</v>
      </c>
      <c r="BR860" s="1321">
        <f ca="1">BQ861</f>
        <v>39538.179499360776</v>
      </c>
      <c r="BS860" s="648"/>
    </row>
    <row r="861" spans="1:71" s="696" customFormat="1" ht="15">
      <c r="A861" s="904" t="str">
        <f>A795</f>
        <v>Ending Cash Balance</v>
      </c>
      <c r="B861" s="367"/>
      <c r="C861" s="1322">
        <f t="shared" si="1770" ref="C861:AM861">C860+C858</f>
        <v>160.70000000000013</v>
      </c>
      <c r="D861" s="1322">
        <f t="shared" si="1770"/>
        <v>158.90000000000069</v>
      </c>
      <c r="E861" s="1322">
        <f t="shared" si="1770"/>
        <v>155.70000000000132</v>
      </c>
      <c r="F861" s="1322">
        <f t="shared" si="1770"/>
        <v>179.10000000000073</v>
      </c>
      <c r="G861" s="1322">
        <f t="shared" si="1770"/>
        <v>75.100000000000875</v>
      </c>
      <c r="H861" s="1031">
        <f t="shared" si="1770"/>
        <v>96.700000000000983</v>
      </c>
      <c r="I861" s="1031">
        <f t="shared" si="1770"/>
        <v>126.10000000000122</v>
      </c>
      <c r="J861" s="1031">
        <f t="shared" si="1770"/>
        <v>90.600000000000847</v>
      </c>
      <c r="K861" s="1031">
        <f t="shared" si="1770"/>
        <v>108.40000000000096</v>
      </c>
      <c r="L861" s="1322">
        <f t="shared" si="1770"/>
        <v>108.39999999999992</v>
      </c>
      <c r="M861" s="1031">
        <f t="shared" si="1770"/>
        <v>101.4999999999998</v>
      </c>
      <c r="N861" s="1031">
        <f t="shared" si="1770"/>
        <v>263.80000000000018</v>
      </c>
      <c r="O861" s="1031">
        <f t="shared" si="1770"/>
        <v>194.50000000000063</v>
      </c>
      <c r="P861" s="1031">
        <f t="shared" si="1770"/>
        <v>224.39999999999966</v>
      </c>
      <c r="Q861" s="1322">
        <f t="shared" si="1770"/>
        <v>224.3999999999993</v>
      </c>
      <c r="R861" s="1031">
        <f t="shared" si="1770"/>
        <v>209.89999999999949</v>
      </c>
      <c r="S861" s="1031">
        <f t="shared" si="1770"/>
        <v>134.69999999999897</v>
      </c>
      <c r="T861" s="1031">
        <f t="shared" si="1770"/>
        <v>143.39999999999947</v>
      </c>
      <c r="U861" s="1031">
        <f t="shared" si="1770"/>
        <v>211.49999999999824</v>
      </c>
      <c r="V861" s="1322">
        <f t="shared" si="1770"/>
        <v>211.49999999999793</v>
      </c>
      <c r="W861" s="1031">
        <f t="shared" si="1770"/>
        <v>214.49999999999793</v>
      </c>
      <c r="X861" s="1031">
        <f t="shared" si="1770"/>
        <v>160.99999999999815</v>
      </c>
      <c r="Y861" s="1031">
        <f t="shared" si="1770"/>
        <v>224.89999999999793</v>
      </c>
      <c r="Z861" s="1031">
        <f t="shared" si="1770"/>
        <v>275.30000000000211</v>
      </c>
      <c r="AA861" s="1322">
        <f t="shared" si="1770"/>
        <v>275.30000000000075</v>
      </c>
      <c r="AB861" s="1031">
        <f t="shared" si="1770"/>
        <v>196.60000000000093</v>
      </c>
      <c r="AC861" s="1031">
        <f t="shared" si="1770"/>
        <v>157.70000000000084</v>
      </c>
      <c r="AD861" s="1031">
        <f t="shared" si="1770"/>
        <v>122.7000000000013</v>
      </c>
      <c r="AE861" s="1031">
        <f t="shared" si="1770"/>
        <v>75.000000000002615</v>
      </c>
      <c r="AF861" s="1322">
        <f t="shared" si="1770"/>
        <v>75.000000000002387</v>
      </c>
      <c r="AG861" s="1031">
        <f t="shared" si="1770"/>
        <v>158.7000000000013</v>
      </c>
      <c r="AH861" s="1031">
        <f t="shared" si="1770"/>
        <v>92.90000000000316</v>
      </c>
      <c r="AI861" s="1031">
        <f t="shared" si="1770"/>
        <v>46.20000000000266</v>
      </c>
      <c r="AJ861" s="1031">
        <f t="shared" si="1770"/>
        <v>227.40000000000146</v>
      </c>
      <c r="AK861" s="1322">
        <f t="shared" si="1770"/>
        <v>227.40000000000111</v>
      </c>
      <c r="AL861" s="1031">
        <f t="shared" si="1770"/>
        <v>370.39999999999975</v>
      </c>
      <c r="AM861" s="1031">
        <f t="shared" si="1770"/>
        <v>109.10000000000139</v>
      </c>
      <c r="AN861" s="1031">
        <f t="shared" si="1771" ref="AN861:AU861">AN860+AN858</f>
        <v>91.100000000001387</v>
      </c>
      <c r="AO861" s="1031">
        <f t="shared" si="1771"/>
        <v>76.500000000002615</v>
      </c>
      <c r="AP861" s="1322">
        <f t="shared" si="1771"/>
        <v>76.500000000002387</v>
      </c>
      <c r="AQ861" s="1031">
        <f t="shared" si="1771"/>
        <v>123.20000000000175</v>
      </c>
      <c r="AR861" s="1031">
        <f t="shared" si="1771"/>
        <v>114.60000000000184</v>
      </c>
      <c r="AS861" s="1031">
        <f t="shared" si="1771"/>
        <v>285.50000000000057</v>
      </c>
      <c r="AT861" s="1031">
        <f t="shared" si="1771"/>
        <v>202.10000000000127</v>
      </c>
      <c r="AU861" s="1322">
        <f t="shared" si="1771"/>
        <v>202.10000000000548</v>
      </c>
      <c r="AV861" s="1031">
        <f>AV860+AV858</f>
        <v>287.30000000000484</v>
      </c>
      <c r="AW861" s="1031">
        <f t="shared" si="1772" ref="AW861">AW860+AW858</f>
        <v>240.50000000000648</v>
      </c>
      <c r="AX861" s="1031">
        <f>AX860+AX858</f>
        <v>365.30000000000462</v>
      </c>
      <c r="AY861" s="1031">
        <f t="shared" si="1773" ref="AY861:AZ861">AY860+AY858</f>
        <v>220.90000000000384</v>
      </c>
      <c r="AZ861" s="1322">
        <f t="shared" si="1773"/>
        <v>220.90000000000748</v>
      </c>
      <c r="BA861" s="1031">
        <f>BA860+BA858</f>
        <v>288.60000000000775</v>
      </c>
      <c r="BB861" s="1031">
        <f t="shared" si="1774" ref="BB861:BE861">BB860+BB858</f>
        <v>179.50000000000875</v>
      </c>
      <c r="BC861" s="1031">
        <f t="shared" si="1774"/>
        <v>138.40000000000748</v>
      </c>
      <c r="BD861" s="1031">
        <f t="shared" si="1774"/>
        <v>99.600000000007299</v>
      </c>
      <c r="BE861" s="1322">
        <f t="shared" si="1774"/>
        <v>99.600000000008208</v>
      </c>
      <c r="BF861" s="1031">
        <f>BF860+BF858</f>
        <v>167.90000000000839</v>
      </c>
      <c r="BG861" s="1031">
        <f t="shared" si="1775" ref="BG861:BH861">BG860+BG858</f>
        <v>101.70000000000766</v>
      </c>
      <c r="BH861" s="1049">
        <f t="shared" si="1775"/>
        <v>147.00000000000875</v>
      </c>
      <c r="BI861" s="1023">
        <f ca="1">BI860+BI858</f>
        <v>9776.0113846558361</v>
      </c>
      <c r="BJ861" s="1321">
        <f ca="1" t="shared" si="1776" ref="BJ861">BJ860+BJ858</f>
        <v>9776.0113846558361</v>
      </c>
      <c r="BK861" s="1023">
        <f ca="1" t="shared" si="1777" ref="BK861:BR861">BK860+BK858</f>
        <v>13144.008113741658</v>
      </c>
      <c r="BL861" s="1023">
        <f t="shared" ca="1" si="1777"/>
        <v>12837.34339113741</v>
      </c>
      <c r="BM861" s="1023">
        <f t="shared" ca="1" si="1777"/>
        <v>8448.6492421577132</v>
      </c>
      <c r="BN861" s="1023">
        <f t="shared" ca="1" si="1777"/>
        <v>19072.212569328622</v>
      </c>
      <c r="BO861" s="1321">
        <f t="shared" ca="1" si="1777"/>
        <v>19072.212569328622</v>
      </c>
      <c r="BP861" s="1322">
        <f t="shared" ca="1" si="1777"/>
        <v>29094.611934172761</v>
      </c>
      <c r="BQ861" s="1322">
        <f t="shared" ca="1" si="1777"/>
        <v>39538.179499360776</v>
      </c>
      <c r="BR861" s="1321">
        <f t="shared" ca="1" si="1777"/>
        <v>50414.693686269675</v>
      </c>
      <c r="BS861" s="648"/>
    </row>
    <row r="862" spans="1:71" s="686" customFormat="1" ht="15">
      <c r="A862" s="412"/>
      <c r="B862" s="321"/>
      <c r="C862" s="1351"/>
      <c r="D862" s="1351"/>
      <c r="E862" s="1351"/>
      <c r="F862" s="1351"/>
      <c r="G862" s="1351"/>
      <c r="H862" s="1047"/>
      <c r="I862" s="1047"/>
      <c r="J862" s="1047"/>
      <c r="K862" s="1047"/>
      <c r="L862" s="1351"/>
      <c r="M862" s="1047"/>
      <c r="N862" s="1047"/>
      <c r="O862" s="1047"/>
      <c r="P862" s="1047"/>
      <c r="Q862" s="1351"/>
      <c r="R862" s="1047"/>
      <c r="S862" s="1047"/>
      <c r="T862" s="1047"/>
      <c r="U862" s="1047"/>
      <c r="V862" s="1351"/>
      <c r="W862" s="1047"/>
      <c r="X862" s="1047"/>
      <c r="Y862" s="1047"/>
      <c r="Z862" s="1047"/>
      <c r="AA862" s="1351"/>
      <c r="AB862" s="1047"/>
      <c r="AC862" s="1047"/>
      <c r="AD862" s="1047"/>
      <c r="AE862" s="1047"/>
      <c r="AF862" s="1351"/>
      <c r="AG862" s="1047"/>
      <c r="AH862" s="1047"/>
      <c r="AI862" s="1047"/>
      <c r="AJ862" s="1047"/>
      <c r="AK862" s="1351"/>
      <c r="AL862" s="1047"/>
      <c r="AM862" s="1047"/>
      <c r="AN862" s="1047"/>
      <c r="AO862" s="1047"/>
      <c r="AP862" s="1351"/>
      <c r="AQ862" s="1047"/>
      <c r="AR862" s="1047"/>
      <c r="AS862" s="1047"/>
      <c r="AT862" s="1047"/>
      <c r="AU862" s="1351"/>
      <c r="AV862" s="1047"/>
      <c r="AW862" s="1047"/>
      <c r="AX862" s="1047"/>
      <c r="AY862" s="1047"/>
      <c r="AZ862" s="1351"/>
      <c r="BA862" s="1047"/>
      <c r="BB862" s="1047"/>
      <c r="BC862" s="1047"/>
      <c r="BD862" s="1047"/>
      <c r="BE862" s="1351"/>
      <c r="BF862" s="1047"/>
      <c r="BG862" s="1047"/>
      <c r="BH862" s="1048"/>
      <c r="BI862" s="1044"/>
      <c r="BJ862" s="1350"/>
      <c r="BK862" s="1044"/>
      <c r="BL862" s="1044"/>
      <c r="BM862" s="1044"/>
      <c r="BN862" s="1044"/>
      <c r="BO862" s="1350"/>
      <c r="BP862" s="1351"/>
      <c r="BQ862" s="1351"/>
      <c r="BR862" s="1350"/>
      <c r="BS862" s="647"/>
    </row>
    <row r="863" spans="1:71" s="686" customFormat="1" ht="15">
      <c r="A863" s="412" t="str">
        <f>A797</f>
        <v>Cash paid for interest</v>
      </c>
      <c r="B863" s="321"/>
      <c r="C863" s="1351">
        <f t="shared" si="1778" ref="C863:H864">C797</f>
        <v>144.69999999999999</v>
      </c>
      <c r="D863" s="1351">
        <f t="shared" si="1778"/>
        <v>138.40000000000001</v>
      </c>
      <c r="E863" s="1351">
        <f t="shared" si="1778"/>
        <v>129.50</v>
      </c>
      <c r="F863" s="1351">
        <f t="shared" si="1778"/>
        <v>135</v>
      </c>
      <c r="G863" s="1351">
        <f t="shared" si="1778"/>
        <v>122.30</v>
      </c>
      <c r="H863" s="1047">
        <f t="shared" si="1778"/>
        <v>19.30</v>
      </c>
      <c r="I863" s="1047">
        <f t="shared" si="1779" ref="I863:K864">I797-H797</f>
        <v>35.200000000000003</v>
      </c>
      <c r="J863" s="1047">
        <f t="shared" si="1779"/>
        <v>20.200000000000003</v>
      </c>
      <c r="K863" s="1047">
        <f t="shared" si="1779"/>
        <v>41.30</v>
      </c>
      <c r="L863" s="1351">
        <f>L797</f>
        <v>116</v>
      </c>
      <c r="M863" s="1047">
        <f>M797</f>
        <v>19.30</v>
      </c>
      <c r="N863" s="1047">
        <f t="shared" si="1780" ref="N863:P864">N797-M797</f>
        <v>42.70</v>
      </c>
      <c r="O863" s="1047">
        <f t="shared" si="1780"/>
        <v>28.299999999999997</v>
      </c>
      <c r="P863" s="1047">
        <f t="shared" si="1780"/>
        <v>41.70</v>
      </c>
      <c r="Q863" s="1351">
        <f>Q797</f>
        <v>132</v>
      </c>
      <c r="R863" s="1047">
        <f>R797</f>
        <v>28.10</v>
      </c>
      <c r="S863" s="1047">
        <f t="shared" si="1781" ref="S863:U864">S797-R797</f>
        <v>41.999999999999993</v>
      </c>
      <c r="T863" s="1047">
        <f t="shared" si="1781"/>
        <v>27.900000000000006</v>
      </c>
      <c r="U863" s="1047">
        <f t="shared" si="1781"/>
        <v>41.199999999999989</v>
      </c>
      <c r="V863" s="1351">
        <f>V797</f>
        <v>139.19999999999999</v>
      </c>
      <c r="W863" s="1047">
        <f>W797</f>
        <v>33.10</v>
      </c>
      <c r="X863" s="1047">
        <f t="shared" si="1782" ref="X863:Z864">X797-W797</f>
        <v>40.199999999999996</v>
      </c>
      <c r="Y863" s="1047">
        <f t="shared" si="1782"/>
        <v>34.100000000000009</v>
      </c>
      <c r="Z863" s="1047">
        <f t="shared" si="1782"/>
        <v>38.900000000000006</v>
      </c>
      <c r="AA863" s="1351">
        <f>AA797</f>
        <v>146.30000000000001</v>
      </c>
      <c r="AB863" s="1047">
        <f>AB797</f>
        <v>33.299999999999997</v>
      </c>
      <c r="AC863" s="1047">
        <f t="shared" si="1783" ref="AC863:AE864">AC797-AB797</f>
        <v>37.600000000000009</v>
      </c>
      <c r="AD863" s="1047">
        <f t="shared" si="1783"/>
        <v>45.50</v>
      </c>
      <c r="AE863" s="1047">
        <f t="shared" si="1783"/>
        <v>37.599999999999994</v>
      </c>
      <c r="AF863" s="1351">
        <f>AF797</f>
        <v>154</v>
      </c>
      <c r="AG863" s="1047">
        <f>AG797</f>
        <v>53.30</v>
      </c>
      <c r="AH863" s="1047">
        <f t="shared" si="1784" ref="AH863:AJ864">AH797-AG797</f>
        <v>40.700000000000003</v>
      </c>
      <c r="AI863" s="1047">
        <f t="shared" si="1784"/>
        <v>53.300000000000011</v>
      </c>
      <c r="AJ863" s="1047">
        <f t="shared" si="1784"/>
        <v>37.599999999999994</v>
      </c>
      <c r="AK863" s="1351">
        <f>AK797</f>
        <v>184.90</v>
      </c>
      <c r="AL863" s="1047">
        <f>AL797</f>
        <v>56.40</v>
      </c>
      <c r="AM863" s="1047">
        <f t="shared" si="1785" ref="AM863:AO864">AM797-AL797</f>
        <v>37.699999999999996</v>
      </c>
      <c r="AN863" s="1047">
        <f t="shared" si="1785"/>
        <v>74.300000000000011</v>
      </c>
      <c r="AO863" s="1047">
        <f t="shared" si="1785"/>
        <v>37.599999999999994</v>
      </c>
      <c r="AP863" s="1351">
        <f>AP797</f>
        <v>206</v>
      </c>
      <c r="AQ863" s="1047">
        <f>AQ797</f>
        <v>74.30</v>
      </c>
      <c r="AR863" s="1047">
        <f t="shared" si="1786" ref="AR863:AT864">AR797-AQ797</f>
        <v>37.700000000000003</v>
      </c>
      <c r="AS863" s="1047">
        <f t="shared" si="1786"/>
        <v>74.300000000000011</v>
      </c>
      <c r="AT863" s="1047">
        <f t="shared" si="1786"/>
        <v>37.699999999999989</v>
      </c>
      <c r="AU863" s="1351">
        <f>AU797</f>
        <v>224</v>
      </c>
      <c r="AV863" s="1047">
        <f>AV797</f>
        <v>64.900000000000006</v>
      </c>
      <c r="AW863" s="1047">
        <f t="shared" si="1787" ref="AW863:AY864">AW797-AV797</f>
        <v>37.699999999999989</v>
      </c>
      <c r="AX863" s="1047">
        <f t="shared" si="1787"/>
        <v>88.700000000000017</v>
      </c>
      <c r="AY863" s="1047">
        <f t="shared" si="1787"/>
        <v>37.599999999999994</v>
      </c>
      <c r="AZ863" s="1351">
        <f>AZ797</f>
        <v>228.90</v>
      </c>
      <c r="BA863" s="1047">
        <f>BA797</f>
        <v>87.90</v>
      </c>
      <c r="BB863" s="1047">
        <f>BB797-BA797</f>
        <v>37.699999999999989</v>
      </c>
      <c r="BC863" s="1047">
        <f>BC797-BB797</f>
        <v>87.90</v>
      </c>
      <c r="BD863" s="1047">
        <f t="shared" si="1788" ref="BD863:BD864">BD797-BC797</f>
        <v>51.399999999999977</v>
      </c>
      <c r="BE863" s="1351">
        <f>BE797</f>
        <v>264.89999999999998</v>
      </c>
      <c r="BF863" s="1047">
        <f>BF797</f>
        <v>87.90</v>
      </c>
      <c r="BG863" s="1047">
        <f>BG797-BF797</f>
        <v>50.099999999999994</v>
      </c>
      <c r="BH863" s="1048">
        <f>BH797-BG797</f>
        <v>87.90</v>
      </c>
      <c r="BI863" s="1044"/>
      <c r="BJ863" s="1350"/>
      <c r="BK863" s="1044"/>
      <c r="BL863" s="1044"/>
      <c r="BM863" s="1044"/>
      <c r="BN863" s="1044"/>
      <c r="BO863" s="1350"/>
      <c r="BP863" s="1351"/>
      <c r="BQ863" s="1351"/>
      <c r="BR863" s="1350"/>
      <c r="BS863" s="647"/>
    </row>
    <row r="864" spans="1:71" s="686" customFormat="1" ht="15">
      <c r="A864" s="412" t="str">
        <f>A798</f>
        <v>Cash paid for income taxes</v>
      </c>
      <c r="B864" s="321"/>
      <c r="C864" s="1351">
        <f t="shared" si="1778"/>
        <v>461.70</v>
      </c>
      <c r="D864" s="1351">
        <f t="shared" si="1778"/>
        <v>434</v>
      </c>
      <c r="E864" s="1351">
        <f t="shared" si="1778"/>
        <v>435</v>
      </c>
      <c r="F864" s="1351">
        <f t="shared" si="1778"/>
        <v>389.10</v>
      </c>
      <c r="G864" s="1351">
        <f t="shared" si="1778"/>
        <v>497</v>
      </c>
      <c r="H864" s="1047">
        <f t="shared" si="1778"/>
        <v>0</v>
      </c>
      <c r="I864" s="1047">
        <f t="shared" si="1779"/>
        <v>240</v>
      </c>
      <c r="J864" s="1047">
        <f t="shared" si="1779"/>
        <v>115</v>
      </c>
      <c r="K864" s="1047">
        <f t="shared" si="1779"/>
        <v>160</v>
      </c>
      <c r="L864" s="1351">
        <f>L798</f>
        <v>515</v>
      </c>
      <c r="M864" s="1047">
        <f>M798</f>
        <v>60</v>
      </c>
      <c r="N864" s="1047">
        <f t="shared" si="1780"/>
        <v>312.10000000000002</v>
      </c>
      <c r="O864" s="1047">
        <f t="shared" si="1780"/>
        <v>141</v>
      </c>
      <c r="P864" s="1047">
        <f t="shared" si="1780"/>
        <v>188.69999999999993</v>
      </c>
      <c r="Q864" s="1351">
        <f>Q798</f>
        <v>701.80</v>
      </c>
      <c r="R864" s="1047">
        <f>R798</f>
        <v>30</v>
      </c>
      <c r="S864" s="1047">
        <f t="shared" si="1781"/>
        <v>245.39999999999998</v>
      </c>
      <c r="T864" s="1047">
        <f t="shared" si="1781"/>
        <v>105.40000000000003</v>
      </c>
      <c r="U864" s="1047">
        <f t="shared" si="1781"/>
        <v>78.599999999999966</v>
      </c>
      <c r="V864" s="1351">
        <f>V798</f>
        <v>459.40</v>
      </c>
      <c r="W864" s="1047">
        <f>W798</f>
        <v>0.70</v>
      </c>
      <c r="X864" s="1047">
        <f t="shared" si="1782"/>
        <v>452.20</v>
      </c>
      <c r="Y864" s="1047">
        <f t="shared" si="1782"/>
        <v>85.800000000000068</v>
      </c>
      <c r="Z864" s="1047">
        <f t="shared" si="1782"/>
        <v>176.89999999999998</v>
      </c>
      <c r="AA864" s="1351">
        <f>AA798</f>
        <v>715.60</v>
      </c>
      <c r="AB864" s="1047">
        <f>AB798</f>
        <v>0</v>
      </c>
      <c r="AC864" s="1047">
        <f t="shared" si="1783"/>
        <v>358.90</v>
      </c>
      <c r="AD864" s="1047">
        <f t="shared" si="1783"/>
        <v>176.89999999999998</v>
      </c>
      <c r="AE864" s="1047">
        <f t="shared" si="1783"/>
        <v>166.80000000000007</v>
      </c>
      <c r="AF864" s="1351">
        <f>AF798</f>
        <v>702.60</v>
      </c>
      <c r="AG864" s="1047">
        <f>AG798</f>
        <v>20</v>
      </c>
      <c r="AH864" s="1047">
        <f t="shared" si="1784"/>
        <v>572.79999999999995</v>
      </c>
      <c r="AI864" s="1047">
        <f t="shared" si="1784"/>
        <v>145.90000000000009</v>
      </c>
      <c r="AJ864" s="1047">
        <f t="shared" si="1784"/>
        <v>215.59999999999991</v>
      </c>
      <c r="AK864" s="1351">
        <f>AK798</f>
        <v>954.30</v>
      </c>
      <c r="AL864" s="1047">
        <f>AL798</f>
        <v>0</v>
      </c>
      <c r="AM864" s="1047">
        <f t="shared" si="1785"/>
        <v>18</v>
      </c>
      <c r="AN864" s="1047">
        <f t="shared" si="1785"/>
        <v>1061.20</v>
      </c>
      <c r="AO864" s="1047">
        <f t="shared" si="1785"/>
        <v>367.09999999999991</v>
      </c>
      <c r="AP864" s="1351">
        <f>AP798</f>
        <v>1446.30</v>
      </c>
      <c r="AQ864" s="1047">
        <f>AQ798</f>
        <v>0.80</v>
      </c>
      <c r="AR864" s="1047">
        <f t="shared" si="1786"/>
        <v>573.30000000000007</v>
      </c>
      <c r="AS864" s="1047">
        <f t="shared" si="1786"/>
        <v>95.399999999999977</v>
      </c>
      <c r="AT864" s="1047">
        <f t="shared" si="1786"/>
        <v>172.89999999999998</v>
      </c>
      <c r="AU864" s="1351">
        <f>AU798</f>
        <v>842.40</v>
      </c>
      <c r="AV864" s="1047">
        <f>AV798</f>
        <v>0</v>
      </c>
      <c r="AW864" s="1047">
        <f t="shared" si="1787"/>
        <v>363.20</v>
      </c>
      <c r="AX864" s="1047">
        <f t="shared" si="1787"/>
        <v>232.70</v>
      </c>
      <c r="AY864" s="1047">
        <f t="shared" si="1787"/>
        <v>123.10000000000002</v>
      </c>
      <c r="AZ864" s="1351">
        <f>AZ798</f>
        <v>719</v>
      </c>
      <c r="BA864" s="1047">
        <f>BA798</f>
        <v>0.10000000000000001</v>
      </c>
      <c r="BB864" s="1047">
        <f>BB798-BA798</f>
        <v>183.70000000000002</v>
      </c>
      <c r="BC864" s="1047">
        <f>BC798-BB798</f>
        <v>229.20</v>
      </c>
      <c r="BD864" s="1047">
        <f t="shared" si="1788"/>
        <v>407.79999999999995</v>
      </c>
      <c r="BE864" s="1351">
        <f>BE798</f>
        <v>820.80</v>
      </c>
      <c r="BF864" s="1047">
        <f>BF798</f>
        <v>0</v>
      </c>
      <c r="BG864" s="1047">
        <f>BG798-BF798</f>
        <v>1350.50</v>
      </c>
      <c r="BH864" s="1048">
        <f>BH798-BG798</f>
        <v>634.79999999999995</v>
      </c>
      <c r="BI864" s="1044"/>
      <c r="BJ864" s="1350"/>
      <c r="BK864" s="1044"/>
      <c r="BL864" s="1044"/>
      <c r="BM864" s="1044"/>
      <c r="BN864" s="1044"/>
      <c r="BO864" s="1350"/>
      <c r="BP864" s="1351"/>
      <c r="BQ864" s="1351"/>
      <c r="BR864" s="1350"/>
      <c r="BS864" s="647"/>
    </row>
    <row r="865" spans="1:71" s="668" customFormat="1" ht="15">
      <c r="A865" s="904"/>
      <c r="B865" s="367"/>
      <c r="C865" s="1322"/>
      <c r="D865" s="1322"/>
      <c r="E865" s="1322"/>
      <c r="F865" s="1322"/>
      <c r="G865" s="1322"/>
      <c r="H865" s="1031"/>
      <c r="I865" s="1031"/>
      <c r="J865" s="1031"/>
      <c r="K865" s="1031"/>
      <c r="L865" s="1322"/>
      <c r="M865" s="1031"/>
      <c r="N865" s="1031"/>
      <c r="O865" s="1031"/>
      <c r="P865" s="1031"/>
      <c r="Q865" s="1322"/>
      <c r="R865" s="1031"/>
      <c r="S865" s="1031"/>
      <c r="T865" s="1031"/>
      <c r="U865" s="1031"/>
      <c r="V865" s="1322"/>
      <c r="W865" s="1031"/>
      <c r="X865" s="1031"/>
      <c r="Y865" s="1031"/>
      <c r="Z865" s="1031"/>
      <c r="AA865" s="1322"/>
      <c r="AB865" s="1031"/>
      <c r="AC865" s="1031"/>
      <c r="AD865" s="1031"/>
      <c r="AE865" s="1031"/>
      <c r="AF865" s="1322"/>
      <c r="AG865" s="1031"/>
      <c r="AH865" s="1031"/>
      <c r="AI865" s="1031"/>
      <c r="AJ865" s="1031"/>
      <c r="AK865" s="1322"/>
      <c r="AL865" s="1031"/>
      <c r="AM865" s="1031"/>
      <c r="AN865" s="1031"/>
      <c r="AO865" s="1031"/>
      <c r="AP865" s="1322"/>
      <c r="AQ865" s="1031"/>
      <c r="AR865" s="1031"/>
      <c r="AS865" s="1031"/>
      <c r="AT865" s="1031"/>
      <c r="AU865" s="1322"/>
      <c r="AV865" s="1031"/>
      <c r="AW865" s="1031"/>
      <c r="AX865" s="1031"/>
      <c r="AY865" s="1031"/>
      <c r="AZ865" s="1322"/>
      <c r="BA865" s="1031"/>
      <c r="BB865" s="1031"/>
      <c r="BC865" s="1031"/>
      <c r="BD865" s="1031"/>
      <c r="BE865" s="1322"/>
      <c r="BF865" s="1031"/>
      <c r="BG865" s="1031"/>
      <c r="BH865" s="1049"/>
      <c r="BI865" s="1023"/>
      <c r="BJ865" s="1321"/>
      <c r="BK865" s="1023"/>
      <c r="BL865" s="1023"/>
      <c r="BM865" s="1023"/>
      <c r="BN865" s="1023"/>
      <c r="BO865" s="1321"/>
      <c r="BP865" s="1322"/>
      <c r="BQ865" s="1322"/>
      <c r="BR865" s="1321"/>
      <c r="BS865" s="648"/>
    </row>
    <row r="866" spans="1:71" s="665" customFormat="1" ht="15">
      <c r="A866" s="17" t="s">
        <v>192</v>
      </c>
      <c r="B866" s="17"/>
      <c r="C866" s="1166">
        <f t="shared" si="1789" ref="C866:Y866">ROUND(C861-C897,6)</f>
        <v>0</v>
      </c>
      <c r="D866" s="1166">
        <f t="shared" si="1789"/>
        <v>0</v>
      </c>
      <c r="E866" s="1166">
        <f t="shared" si="1789"/>
        <v>0</v>
      </c>
      <c r="F866" s="1166">
        <f t="shared" si="1789"/>
        <v>0</v>
      </c>
      <c r="G866" s="1166">
        <f t="shared" si="1789"/>
        <v>0</v>
      </c>
      <c r="H866" s="1166">
        <f t="shared" si="1789"/>
        <v>0</v>
      </c>
      <c r="I866" s="1166">
        <f t="shared" si="1789"/>
        <v>0</v>
      </c>
      <c r="J866" s="1166">
        <f t="shared" si="1789"/>
        <v>0</v>
      </c>
      <c r="K866" s="1166">
        <f t="shared" si="1789"/>
        <v>0</v>
      </c>
      <c r="L866" s="1166">
        <f t="shared" si="1789"/>
        <v>0</v>
      </c>
      <c r="M866" s="1166">
        <f t="shared" si="1789"/>
        <v>0</v>
      </c>
      <c r="N866" s="1166">
        <f t="shared" si="1789"/>
        <v>0</v>
      </c>
      <c r="O866" s="1166">
        <f t="shared" si="1789"/>
        <v>0</v>
      </c>
      <c r="P866" s="1166">
        <f t="shared" si="1789"/>
        <v>0</v>
      </c>
      <c r="Q866" s="1166">
        <f t="shared" si="1789"/>
        <v>0</v>
      </c>
      <c r="R866" s="1166">
        <f t="shared" si="1789"/>
        <v>0</v>
      </c>
      <c r="S866" s="1166">
        <f t="shared" si="1789"/>
        <v>0</v>
      </c>
      <c r="T866" s="1166">
        <f t="shared" si="1789"/>
        <v>0</v>
      </c>
      <c r="U866" s="1166">
        <f t="shared" si="1789"/>
        <v>0</v>
      </c>
      <c r="V866" s="1166">
        <f t="shared" si="1789"/>
        <v>0</v>
      </c>
      <c r="W866" s="1166">
        <f t="shared" si="1789"/>
        <v>0</v>
      </c>
      <c r="X866" s="1166">
        <f t="shared" si="1789"/>
        <v>0</v>
      </c>
      <c r="Y866" s="1166">
        <f t="shared" si="1789"/>
        <v>0</v>
      </c>
      <c r="Z866" s="1166">
        <f t="shared" si="1790" ref="Z866:AZ866">ROUND(Z861-Z897-Z898,6)</f>
        <v>0</v>
      </c>
      <c r="AA866" s="1166">
        <f t="shared" si="1790"/>
        <v>0</v>
      </c>
      <c r="AB866" s="1166">
        <f t="shared" si="1790"/>
        <v>0</v>
      </c>
      <c r="AC866" s="1166">
        <f t="shared" si="1790"/>
        <v>0</v>
      </c>
      <c r="AD866" s="1166">
        <f t="shared" si="1790"/>
        <v>0</v>
      </c>
      <c r="AE866" s="1166">
        <f t="shared" si="1790"/>
        <v>0</v>
      </c>
      <c r="AF866" s="1166">
        <f t="shared" si="1790"/>
        <v>0</v>
      </c>
      <c r="AG866" s="1166">
        <f t="shared" si="1790"/>
        <v>0</v>
      </c>
      <c r="AH866" s="1166">
        <f t="shared" si="1790"/>
        <v>0</v>
      </c>
      <c r="AI866" s="1166">
        <f t="shared" si="1790"/>
        <v>0</v>
      </c>
      <c r="AJ866" s="1166">
        <f t="shared" si="1790"/>
        <v>0</v>
      </c>
      <c r="AK866" s="1166">
        <f t="shared" si="1790"/>
        <v>0</v>
      </c>
      <c r="AL866" s="1166">
        <f t="shared" si="1790"/>
        <v>0</v>
      </c>
      <c r="AM866" s="1166">
        <f t="shared" si="1790"/>
        <v>0</v>
      </c>
      <c r="AN866" s="1166">
        <f t="shared" si="1790"/>
        <v>0</v>
      </c>
      <c r="AO866" s="1166">
        <f t="shared" si="1790"/>
        <v>0</v>
      </c>
      <c r="AP866" s="1166">
        <f t="shared" si="1790"/>
        <v>0</v>
      </c>
      <c r="AQ866" s="1166">
        <f t="shared" si="1790"/>
        <v>0</v>
      </c>
      <c r="AR866" s="1166">
        <f t="shared" si="1790"/>
        <v>0</v>
      </c>
      <c r="AS866" s="1166">
        <f>ROUND(AS861-AS897-AS898,6)</f>
        <v>0</v>
      </c>
      <c r="AT866" s="1166">
        <f t="shared" si="1790"/>
        <v>0</v>
      </c>
      <c r="AU866" s="1166">
        <f t="shared" si="1790"/>
        <v>0</v>
      </c>
      <c r="AV866" s="1166">
        <f>ROUND(AV861-AV897-AV898,6)</f>
        <v>0</v>
      </c>
      <c r="AW866" s="1166">
        <f t="shared" si="1790"/>
        <v>0</v>
      </c>
      <c r="AX866" s="1166">
        <f>ROUND(AX861-AX897-AX898,6)</f>
        <v>0</v>
      </c>
      <c r="AY866" s="1166">
        <f t="shared" si="1790"/>
        <v>0</v>
      </c>
      <c r="AZ866" s="1166">
        <f t="shared" si="1790"/>
        <v>0</v>
      </c>
      <c r="BA866" s="1166">
        <f t="shared" si="1791" ref="BA866:BJ866">ROUND(BA861-BA897-BA898,6)</f>
        <v>0</v>
      </c>
      <c r="BB866" s="1166">
        <f t="shared" si="1791"/>
        <v>0</v>
      </c>
      <c r="BC866" s="1166">
        <f t="shared" si="1791"/>
        <v>0</v>
      </c>
      <c r="BD866" s="1166">
        <f t="shared" si="1791"/>
        <v>0</v>
      </c>
      <c r="BE866" s="1166">
        <f t="shared" si="1791"/>
        <v>0</v>
      </c>
      <c r="BF866" s="1166">
        <f>ROUND(BF861-BF897-BF898,6)</f>
        <v>0</v>
      </c>
      <c r="BG866" s="1166">
        <f>ROUND(BG861-BG897-BG898,6)</f>
        <v>0</v>
      </c>
      <c r="BH866" s="1167">
        <f>ROUND(BH861-BH897-BH898,6)</f>
        <v>0</v>
      </c>
      <c r="BI866" s="1168">
        <f ca="1">ROUND(BI861-BI897-BI898,6)</f>
        <v>0</v>
      </c>
      <c r="BJ866" s="1168">
        <f t="shared" ca="1" si="1791"/>
        <v>0</v>
      </c>
      <c r="BK866" s="1168">
        <f ca="1" t="shared" si="1792" ref="BK866:BR866">ROUND(BK861-BK897-BK898,6)</f>
        <v>0</v>
      </c>
      <c r="BL866" s="1168">
        <f t="shared" ca="1" si="1792"/>
        <v>0</v>
      </c>
      <c r="BM866" s="1168">
        <f t="shared" ca="1" si="1792"/>
        <v>0</v>
      </c>
      <c r="BN866" s="1168">
        <f t="shared" ca="1" si="1792"/>
        <v>0</v>
      </c>
      <c r="BO866" s="1168">
        <f t="shared" ca="1" si="1792"/>
        <v>0</v>
      </c>
      <c r="BP866" s="1166">
        <f t="shared" ca="1" si="1792"/>
        <v>0</v>
      </c>
      <c r="BQ866" s="1166">
        <f t="shared" ca="1" si="1792"/>
        <v>0</v>
      </c>
      <c r="BR866" s="1168">
        <f t="shared" ca="1" si="1792"/>
        <v>0</v>
      </c>
      <c r="BS866" s="648"/>
    </row>
    <row r="867" spans="1:71" s="668" customFormat="1" ht="15">
      <c r="A867" s="904"/>
      <c r="B867" s="367"/>
      <c r="C867" s="1322"/>
      <c r="D867" s="1322"/>
      <c r="E867" s="1322"/>
      <c r="F867" s="1322"/>
      <c r="G867" s="1322"/>
      <c r="H867" s="1031"/>
      <c r="I867" s="1031"/>
      <c r="J867" s="1031"/>
      <c r="K867" s="1031"/>
      <c r="L867" s="1322"/>
      <c r="M867" s="1031"/>
      <c r="N867" s="1031"/>
      <c r="O867" s="1031"/>
      <c r="P867" s="1031"/>
      <c r="Q867" s="1322"/>
      <c r="R867" s="1031"/>
      <c r="S867" s="1031"/>
      <c r="T867" s="1031"/>
      <c r="U867" s="1031"/>
      <c r="V867" s="1322"/>
      <c r="W867" s="1031"/>
      <c r="X867" s="1031"/>
      <c r="Y867" s="1031"/>
      <c r="Z867" s="1031"/>
      <c r="AA867" s="1322"/>
      <c r="AB867" s="1031"/>
      <c r="AC867" s="1031"/>
      <c r="AD867" s="1031"/>
      <c r="AE867" s="1031"/>
      <c r="AF867" s="1322"/>
      <c r="AG867" s="1031"/>
      <c r="AH867" s="1031"/>
      <c r="AI867" s="1031"/>
      <c r="AJ867" s="1031"/>
      <c r="AK867" s="1322"/>
      <c r="AL867" s="1031"/>
      <c r="AM867" s="1031"/>
      <c r="AN867" s="1031"/>
      <c r="AO867" s="1031"/>
      <c r="AP867" s="1322"/>
      <c r="AQ867" s="1031"/>
      <c r="AR867" s="1031"/>
      <c r="AS867" s="1031"/>
      <c r="AT867" s="1031"/>
      <c r="AU867" s="1322"/>
      <c r="AV867" s="1031"/>
      <c r="AW867" s="1031"/>
      <c r="AX867" s="1031"/>
      <c r="AY867" s="1031"/>
      <c r="AZ867" s="1322"/>
      <c r="BA867" s="1031"/>
      <c r="BB867" s="1031"/>
      <c r="BC867" s="1031"/>
      <c r="BD867" s="1031"/>
      <c r="BE867" s="1322"/>
      <c r="BF867" s="1031"/>
      <c r="BG867" s="1031"/>
      <c r="BH867" s="1049"/>
      <c r="BI867" s="1023"/>
      <c r="BJ867" s="1321"/>
      <c r="BK867" s="1023"/>
      <c r="BL867" s="1023"/>
      <c r="BM867" s="1023"/>
      <c r="BN867" s="1023"/>
      <c r="BO867" s="1321"/>
      <c r="BP867" s="1322"/>
      <c r="BQ867" s="1322"/>
      <c r="BR867" s="1321"/>
      <c r="BS867" s="648"/>
    </row>
    <row r="868" spans="1:71" s="668" customFormat="1" ht="15">
      <c r="A868" s="364" t="s">
        <v>425</v>
      </c>
      <c r="B868" s="991"/>
      <c r="C868" s="1035"/>
      <c r="D868" s="1035"/>
      <c r="E868" s="1035"/>
      <c r="F868" s="1035"/>
      <c r="G868" s="1035"/>
      <c r="H868" s="1035"/>
      <c r="I868" s="1035"/>
      <c r="J868" s="1035"/>
      <c r="K868" s="1035"/>
      <c r="L868" s="1035"/>
      <c r="M868" s="1035"/>
      <c r="N868" s="1035"/>
      <c r="O868" s="1035"/>
      <c r="P868" s="1035"/>
      <c r="Q868" s="1035"/>
      <c r="R868" s="1035"/>
      <c r="S868" s="1035"/>
      <c r="T868" s="1035"/>
      <c r="U868" s="1035"/>
      <c r="V868" s="1035"/>
      <c r="W868" s="1035"/>
      <c r="X868" s="1035"/>
      <c r="Y868" s="1035"/>
      <c r="Z868" s="1035"/>
      <c r="AA868" s="1035"/>
      <c r="AB868" s="1035"/>
      <c r="AC868" s="1035"/>
      <c r="AD868" s="1035"/>
      <c r="AE868" s="1035"/>
      <c r="AF868" s="1035"/>
      <c r="AG868" s="1035"/>
      <c r="AH868" s="1035"/>
      <c r="AI868" s="1035"/>
      <c r="AJ868" s="1035"/>
      <c r="AK868" s="1035"/>
      <c r="AL868" s="1035"/>
      <c r="AM868" s="1035"/>
      <c r="AN868" s="1035"/>
      <c r="AO868" s="1035"/>
      <c r="AP868" s="1035"/>
      <c r="AQ868" s="1035"/>
      <c r="AR868" s="1035"/>
      <c r="AS868" s="1035"/>
      <c r="AT868" s="1035"/>
      <c r="AU868" s="1035"/>
      <c r="AV868" s="1035"/>
      <c r="AW868" s="1035"/>
      <c r="AX868" s="1035"/>
      <c r="AY868" s="1035"/>
      <c r="AZ868" s="1035"/>
      <c r="BA868" s="1035"/>
      <c r="BB868" s="1035"/>
      <c r="BC868" s="1035"/>
      <c r="BD868" s="1035"/>
      <c r="BE868" s="1035"/>
      <c r="BF868" s="1035"/>
      <c r="BG868" s="1035"/>
      <c r="BH868" s="1036"/>
      <c r="BI868" s="1037"/>
      <c r="BJ868" s="1037"/>
      <c r="BK868" s="1037"/>
      <c r="BL868" s="1037"/>
      <c r="BM868" s="1037"/>
      <c r="BN868" s="1037"/>
      <c r="BO868" s="1037"/>
      <c r="BP868" s="1035"/>
      <c r="BQ868" s="1035"/>
      <c r="BR868" s="1037"/>
      <c r="BS868" s="648"/>
    </row>
    <row r="869" spans="1:71" s="668" customFormat="1" ht="15">
      <c r="A869" s="904" t="s">
        <v>426</v>
      </c>
      <c r="B869" s="367"/>
      <c r="C869" s="1322"/>
      <c r="D869" s="1322">
        <f t="shared" si="1793" ref="D869:K869">C873</f>
        <v>961.30</v>
      </c>
      <c r="E869" s="1322">
        <f t="shared" si="1793"/>
        <v>932.60</v>
      </c>
      <c r="F869" s="1322">
        <f t="shared" si="1793"/>
        <v>911.30</v>
      </c>
      <c r="G869" s="1322">
        <f t="shared" si="1793"/>
        <v>933.70</v>
      </c>
      <c r="H869" s="1031">
        <f t="shared" si="1793"/>
        <v>960.90</v>
      </c>
      <c r="I869" s="1031">
        <f t="shared" si="1793"/>
        <v>950</v>
      </c>
      <c r="J869" s="1031">
        <f t="shared" si="1793"/>
        <v>952.50</v>
      </c>
      <c r="K869" s="1031">
        <f t="shared" si="1793"/>
        <v>954</v>
      </c>
      <c r="L869" s="1322">
        <f>G873</f>
        <v>960.90</v>
      </c>
      <c r="M869" s="1031">
        <f>L873</f>
        <v>960.60</v>
      </c>
      <c r="N869" s="1031">
        <f>M873</f>
        <v>957.50</v>
      </c>
      <c r="O869" s="1031">
        <f>N873</f>
        <v>1018.90</v>
      </c>
      <c r="P869" s="1031">
        <f>O873</f>
        <v>1024.0999999999999</v>
      </c>
      <c r="Q869" s="1322">
        <f>L873</f>
        <v>960.60</v>
      </c>
      <c r="R869" s="1031">
        <f>Q873</f>
        <v>1037.20</v>
      </c>
      <c r="S869" s="1031">
        <f>R873</f>
        <v>1061.9000000000001</v>
      </c>
      <c r="T869" s="1031">
        <f>S873</f>
        <v>1083.70</v>
      </c>
      <c r="U869" s="1031">
        <f>T873</f>
        <v>1115</v>
      </c>
      <c r="V869" s="1322">
        <f>Q873</f>
        <v>1037.20</v>
      </c>
      <c r="W869" s="1031">
        <f>V873</f>
        <v>1177.0999999999999</v>
      </c>
      <c r="X869" s="1031">
        <f>W873</f>
        <v>1166</v>
      </c>
      <c r="Y869" s="1031">
        <f>X873</f>
        <v>1152.0999999999999</v>
      </c>
      <c r="Z869" s="1031">
        <f>Y873</f>
        <v>1129.4000000000001</v>
      </c>
      <c r="AA869" s="1322">
        <f>V873</f>
        <v>1177.0999999999999</v>
      </c>
      <c r="AB869" s="1031">
        <f>AA873</f>
        <v>1119.5999999999999</v>
      </c>
      <c r="AC869" s="1031">
        <f>AB873</f>
        <v>1112</v>
      </c>
      <c r="AD869" s="1031">
        <f>AC873</f>
        <v>1116.4000000000001</v>
      </c>
      <c r="AE869" s="1031">
        <f>AD873</f>
        <v>1139.30</v>
      </c>
      <c r="AF869" s="1322">
        <f>AA873</f>
        <v>1119.5999999999999</v>
      </c>
      <c r="AG869" s="1031">
        <f>AF873</f>
        <v>1131.70</v>
      </c>
      <c r="AH869" s="1031">
        <f>AG873</f>
        <v>1127.30</v>
      </c>
      <c r="AI869" s="1031">
        <f>AH873</f>
        <v>1174.9000000000001</v>
      </c>
      <c r="AJ869" s="1031">
        <f>AI873</f>
        <v>1214.20</v>
      </c>
      <c r="AK869" s="1322">
        <f>AF873</f>
        <v>1131.70</v>
      </c>
      <c r="AL869" s="1031">
        <f>AK873</f>
        <v>1213.70</v>
      </c>
      <c r="AM869" s="1031">
        <f>AL873</f>
        <v>1215.0999999999999</v>
      </c>
      <c r="AN869" s="1031">
        <f>AM873</f>
        <v>1189.80</v>
      </c>
      <c r="AO869" s="1031">
        <f>AN873</f>
        <v>1181.5999999999999</v>
      </c>
      <c r="AP869" s="1322">
        <f>AK873</f>
        <v>1213.70</v>
      </c>
      <c r="AQ869" s="1062">
        <f>AP873</f>
        <v>1106</v>
      </c>
      <c r="AR869" s="1062">
        <f>AQ873</f>
        <v>1077.4000000000001</v>
      </c>
      <c r="AS869" s="1031">
        <f>AR873</f>
        <v>1086.4000000000001</v>
      </c>
      <c r="AT869" s="1062">
        <f>AS873</f>
        <v>1161</v>
      </c>
      <c r="AU869" s="1363">
        <f>AP873</f>
        <v>1106</v>
      </c>
      <c r="AV869" s="1062">
        <f>AU873</f>
        <v>1137.30</v>
      </c>
      <c r="AW869" s="1062">
        <f>AV873</f>
        <v>1104.4000000000001</v>
      </c>
      <c r="AX869" s="1031">
        <f>AW873</f>
        <v>1124.70</v>
      </c>
      <c r="AY869" s="1062">
        <f>AX873</f>
        <v>1067.0999999999999</v>
      </c>
      <c r="AZ869" s="1363">
        <f>AU873</f>
        <v>1137.30</v>
      </c>
      <c r="BA869" s="1062">
        <f>AZ873</f>
        <v>1034</v>
      </c>
      <c r="BB869" s="1062">
        <f>BA873</f>
        <v>949</v>
      </c>
      <c r="BC869" s="1062">
        <f>BB873</f>
        <v>989</v>
      </c>
      <c r="BD869" s="1062">
        <f>BC873</f>
        <v>919.80</v>
      </c>
      <c r="BE869" s="1363">
        <f>AZ873</f>
        <v>1034</v>
      </c>
      <c r="BF869" s="1062">
        <f>BE873</f>
        <v>880.80</v>
      </c>
      <c r="BG869" s="1062">
        <f>BF873</f>
        <v>756.30</v>
      </c>
      <c r="BH869" s="1094">
        <f>BG873</f>
        <v>713.50</v>
      </c>
      <c r="BI869" s="1092">
        <f>BH873</f>
        <v>688.80</v>
      </c>
      <c r="BJ869" s="1393">
        <f>BE873</f>
        <v>880.80</v>
      </c>
      <c r="BK869" s="1092">
        <f>BJ873</f>
        <v>707.91763934426228</v>
      </c>
      <c r="BL869" s="1092">
        <f>BK873</f>
        <v>726.66055523916464</v>
      </c>
      <c r="BM869" s="1092">
        <f>BL873</f>
        <v>743.65118732247299</v>
      </c>
      <c r="BN869" s="1092">
        <f>BM873</f>
        <v>758.97936281035823</v>
      </c>
      <c r="BO869" s="1393">
        <f>BJ873</f>
        <v>707.91763934426228</v>
      </c>
      <c r="BP869" s="1363">
        <f>BO873</f>
        <v>773.28370016565543</v>
      </c>
      <c r="BQ869" s="1363">
        <f>BP873</f>
        <v>828.36351962175672</v>
      </c>
      <c r="BR869" s="1393">
        <f>BQ873</f>
        <v>868.84718692199112</v>
      </c>
      <c r="BS869" s="648"/>
    </row>
    <row r="870" spans="1:71" s="665" customFormat="1" ht="15">
      <c r="A870" s="999" t="s">
        <v>427</v>
      </c>
      <c r="B870" s="321"/>
      <c r="C870" s="1351"/>
      <c r="D870" s="1351">
        <f t="shared" si="1794" ref="D870:AO870">-D803</f>
        <v>-83.10</v>
      </c>
      <c r="E870" s="1351">
        <f t="shared" si="1794"/>
        <v>-88.50</v>
      </c>
      <c r="F870" s="1351">
        <f t="shared" si="1794"/>
        <v>-94.40</v>
      </c>
      <c r="G870" s="1351">
        <f t="shared" si="1794"/>
        <v>-101.30</v>
      </c>
      <c r="H870" s="1047">
        <f t="shared" si="1794"/>
        <v>-22.80</v>
      </c>
      <c r="I870" s="1047">
        <f t="shared" si="1794"/>
        <v>-23.90</v>
      </c>
      <c r="J870" s="1047">
        <f t="shared" si="1794"/>
        <v>-25.099999999999994</v>
      </c>
      <c r="K870" s="1047">
        <f t="shared" si="1794"/>
        <v>-25.299999999999997</v>
      </c>
      <c r="L870" s="1351">
        <f t="shared" si="1794"/>
        <v>-97.10</v>
      </c>
      <c r="M870" s="1047">
        <f t="shared" si="1794"/>
        <v>-23.80</v>
      </c>
      <c r="N870" s="1047">
        <f t="shared" si="1794"/>
        <v>-25.90</v>
      </c>
      <c r="O870" s="1047">
        <f t="shared" si="1794"/>
        <v>-26.399999999999991</v>
      </c>
      <c r="P870" s="1047">
        <f t="shared" si="1794"/>
        <v>-27.600000000000009</v>
      </c>
      <c r="Q870" s="1351">
        <f t="shared" si="1794"/>
        <v>-103.70</v>
      </c>
      <c r="R870" s="1047">
        <f t="shared" si="1794"/>
        <v>-27.50</v>
      </c>
      <c r="S870" s="1047">
        <f t="shared" si="1794"/>
        <v>-30.60</v>
      </c>
      <c r="T870" s="1047">
        <f t="shared" si="1794"/>
        <v>-36.499999999999993</v>
      </c>
      <c r="U870" s="1047">
        <f t="shared" si="1794"/>
        <v>-42.800000000000011</v>
      </c>
      <c r="V870" s="1351">
        <f t="shared" si="1794"/>
        <v>-137.40000000000001</v>
      </c>
      <c r="W870" s="1047">
        <f t="shared" si="1794"/>
        <v>-41</v>
      </c>
      <c r="X870" s="1047">
        <f t="shared" si="1794"/>
        <v>-43</v>
      </c>
      <c r="Y870" s="1047">
        <f t="shared" si="1794"/>
        <v>-42.70</v>
      </c>
      <c r="Z870" s="1047">
        <f t="shared" si="1794"/>
        <v>-43.20</v>
      </c>
      <c r="AA870" s="1351">
        <f t="shared" si="1794"/>
        <v>-169.90</v>
      </c>
      <c r="AB870" s="1047">
        <f t="shared" si="1794"/>
        <v>-40.90</v>
      </c>
      <c r="AC870" s="1047">
        <f t="shared" si="1794"/>
        <v>-45.70</v>
      </c>
      <c r="AD870" s="1047">
        <f t="shared" si="1794"/>
        <v>-51.200000000000017</v>
      </c>
      <c r="AE870" s="1047">
        <f t="shared" si="1794"/>
        <v>-52.599999999999994</v>
      </c>
      <c r="AF870" s="1351">
        <f t="shared" si="1794"/>
        <v>-190.40</v>
      </c>
      <c r="AG870" s="1047">
        <f t="shared" si="1794"/>
        <v>-52.60</v>
      </c>
      <c r="AH870" s="1047">
        <f t="shared" si="1794"/>
        <v>-61.999999999999993</v>
      </c>
      <c r="AI870" s="1047">
        <f t="shared" si="1794"/>
        <v>-56.400000000000006</v>
      </c>
      <c r="AJ870" s="1047">
        <f t="shared" si="1794"/>
        <v>-68.800000000000011</v>
      </c>
      <c r="AK870" s="1351">
        <f t="shared" si="1794"/>
        <v>-239.80</v>
      </c>
      <c r="AL870" s="1047">
        <f t="shared" si="1794"/>
        <v>-62.60</v>
      </c>
      <c r="AM870" s="1047">
        <f t="shared" si="1794"/>
        <v>-67.700000000000017</v>
      </c>
      <c r="AN870" s="1047">
        <f t="shared" si="1794"/>
        <v>-70.899999999999977</v>
      </c>
      <c r="AO870" s="1047">
        <f t="shared" si="1794"/>
        <v>-73.699999999999989</v>
      </c>
      <c r="AP870" s="1351">
        <f>-AP803</f>
        <v>-274.89999999999998</v>
      </c>
      <c r="AQ870" s="1088">
        <f>-AQ803</f>
        <v>-62.90</v>
      </c>
      <c r="AR870" s="1088">
        <f>-AR803</f>
        <v>-66.50</v>
      </c>
      <c r="AS870" s="1047">
        <f>-AS803</f>
        <v>-74.50</v>
      </c>
      <c r="AT870" s="1088">
        <f>-AT803</f>
        <v>-75.799999999999983</v>
      </c>
      <c r="AU870" s="1372">
        <f>IF(OR(ISBLANK(AQ870),ISBLANK(AR870),ISBLANK(AS870),ISBLANK(AT870)),"n/a",SUM(AQ870,AR870,AS870,AT870))</f>
        <v>-279.70</v>
      </c>
      <c r="AV870" s="1088">
        <f>-AV803</f>
        <v>-71.099999999999994</v>
      </c>
      <c r="AW870" s="1088">
        <f>-AW803</f>
        <v>-78.50</v>
      </c>
      <c r="AX870" s="1047">
        <f>-AX803</f>
        <v>-77.900000000000006</v>
      </c>
      <c r="AY870" s="1088">
        <f>-AY803</f>
        <v>-78.100000000000023</v>
      </c>
      <c r="AZ870" s="1372">
        <f>IF(OR(ISBLANK(AV870),ISBLANK(AW870),ISBLANK(AX870),ISBLANK(AY870)),"n/a",SUM(AV870,AW870,AX870,AY870))</f>
        <v>-305.60000000000002</v>
      </c>
      <c r="BA870" s="1088">
        <f>-BA803</f>
        <v>-68</v>
      </c>
      <c r="BB870" s="1088">
        <f>-BB803</f>
        <v>-72.599999999999994</v>
      </c>
      <c r="BC870" s="1088">
        <f>-BC803</f>
        <v>-71.400000000000006</v>
      </c>
      <c r="BD870" s="1088">
        <f>-BD803</f>
        <v>-73.50</v>
      </c>
      <c r="BE870" s="1372">
        <f>IF(OR(ISBLANK(BA870),ISBLANK(BB870),ISBLANK(BC870),ISBLANK(BD870)),"n/a",SUM(BA870,BB870,BC870,BD870))</f>
        <v>-285.50</v>
      </c>
      <c r="BF870" s="1088">
        <f>-BF803</f>
        <v>-69.70</v>
      </c>
      <c r="BG870" s="1088">
        <f>-BG803</f>
        <v>-67.80</v>
      </c>
      <c r="BH870" s="1156">
        <f>-BH803</f>
        <v>-70.699999999999989</v>
      </c>
      <c r="BI870" s="1068">
        <f>-BI869*BI881/(BJ3/BI3)</f>
        <v>-45.882360655737706</v>
      </c>
      <c r="BJ870" s="1371">
        <f>IF(OR(ISBLANK(BF870),ISBLANK(BG870),ISBLANK(BH870),ISBLANK(BI870)),"n/a",SUM(BF870,BG870,BH870,BI870))</f>
        <v>-254.08236065573769</v>
      </c>
      <c r="BK870" s="1068">
        <f>-BK869*BK881/(BO3/BK3)</f>
        <v>-46.25708410509769</v>
      </c>
      <c r="BL870" s="1068">
        <f>-BL869*BL881/(BO3/BL3)</f>
        <v>-48.009367916691666</v>
      </c>
      <c r="BM870" s="1068">
        <f>-BM869*BM881/(BO3/BM3)</f>
        <v>-49.671824512114767</v>
      </c>
      <c r="BN870" s="1068">
        <f>-BN869*BN881/(BO3/BN3)</f>
        <v>-50.695662644702828</v>
      </c>
      <c r="BO870" s="1371">
        <f>IF(OR(ISBLANK(BK870),ISBLANK(BL870),ISBLANK(BM870),ISBLANK(BN870)),"n/a",SUM(BK870,BL870,BM870,BN870))</f>
        <v>-194.63393917860694</v>
      </c>
      <c r="BP870" s="1372">
        <f>-BP869*BP881</f>
        <v>-204.92018054389871</v>
      </c>
      <c r="BQ870" s="1372">
        <f>-BQ869*BQ881</f>
        <v>-219.51633269976554</v>
      </c>
      <c r="BR870" s="1371">
        <f>-BR869*BR881</f>
        <v>-230.24450453432766</v>
      </c>
      <c r="BS870" s="648"/>
    </row>
    <row r="871" spans="1:71" s="665" customFormat="1" ht="15">
      <c r="A871" s="999" t="s">
        <v>428</v>
      </c>
      <c r="B871" s="321"/>
      <c r="C871" s="1351"/>
      <c r="D871" s="1351">
        <f t="shared" si="1795" ref="D871:AO871">-D836-D837</f>
        <v>56.70</v>
      </c>
      <c r="E871" s="1351">
        <f t="shared" si="1795"/>
        <v>75.900000000000006</v>
      </c>
      <c r="F871" s="1351">
        <f t="shared" si="1795"/>
        <v>123.90000000000001</v>
      </c>
      <c r="G871" s="1351">
        <f t="shared" si="1795"/>
        <v>136.70000000000002</v>
      </c>
      <c r="H871" s="1047">
        <f t="shared" si="1795"/>
        <v>14</v>
      </c>
      <c r="I871" s="1047">
        <f t="shared" si="1795"/>
        <v>27.600000000000005</v>
      </c>
      <c r="J871" s="1047">
        <f t="shared" si="1795"/>
        <v>27.499999999999993</v>
      </c>
      <c r="K871" s="1047">
        <f t="shared" si="1795"/>
        <v>33.10</v>
      </c>
      <c r="L871" s="1351">
        <f t="shared" si="1795"/>
        <v>102.19999999999999</v>
      </c>
      <c r="M871" s="1047">
        <f t="shared" si="1795"/>
        <v>20.80</v>
      </c>
      <c r="N871" s="1047">
        <f t="shared" si="1795"/>
        <v>25.700000000000003</v>
      </c>
      <c r="O871" s="1047">
        <f t="shared" si="1795"/>
        <v>31.399999999999991</v>
      </c>
      <c r="P871" s="1047">
        <f t="shared" si="1795"/>
        <v>42.20</v>
      </c>
      <c r="Q871" s="1351">
        <f t="shared" si="1795"/>
        <v>120.09999999999999</v>
      </c>
      <c r="R871" s="1047">
        <f t="shared" si="1795"/>
        <v>52.30</v>
      </c>
      <c r="S871" s="1047">
        <f t="shared" si="1795"/>
        <v>53.50</v>
      </c>
      <c r="T871" s="1047">
        <f t="shared" si="1795"/>
        <v>51.80</v>
      </c>
      <c r="U871" s="1047">
        <f t="shared" si="1795"/>
        <v>51.20</v>
      </c>
      <c r="V871" s="1351">
        <f t="shared" si="1795"/>
        <v>208.80</v>
      </c>
      <c r="W871" s="1047">
        <f t="shared" si="1795"/>
        <v>23.80</v>
      </c>
      <c r="X871" s="1047">
        <f t="shared" si="1795"/>
        <v>36.900000000000006</v>
      </c>
      <c r="Y871" s="1047">
        <f t="shared" si="1795"/>
        <v>35.200000000000003</v>
      </c>
      <c r="Z871" s="1047">
        <f t="shared" si="1795"/>
        <v>44.499999999999986</v>
      </c>
      <c r="AA871" s="1351">
        <f t="shared" si="1795"/>
        <v>140.39999999999998</v>
      </c>
      <c r="AB871" s="1047">
        <f t="shared" si="1795"/>
        <v>34.299999999999997</v>
      </c>
      <c r="AC871" s="1047">
        <f t="shared" si="1795"/>
        <v>61</v>
      </c>
      <c r="AD871" s="1047">
        <f t="shared" si="1795"/>
        <v>61.400000000000013</v>
      </c>
      <c r="AE871" s="1047">
        <f t="shared" si="1795"/>
        <v>99.90</v>
      </c>
      <c r="AF871" s="1351">
        <f t="shared" si="1795"/>
        <v>256.60000000000002</v>
      </c>
      <c r="AG871" s="1047">
        <f t="shared" si="1795"/>
        <v>69.599999999999994</v>
      </c>
      <c r="AH871" s="1047">
        <f t="shared" si="1795"/>
        <v>108.99999999999999</v>
      </c>
      <c r="AI871" s="1047">
        <f t="shared" si="1795"/>
        <v>62.70</v>
      </c>
      <c r="AJ871" s="1047">
        <f t="shared" si="1795"/>
        <v>68.900000000000006</v>
      </c>
      <c r="AK871" s="1351">
        <f t="shared" si="1795"/>
        <v>310.20</v>
      </c>
      <c r="AL871" s="1047">
        <f t="shared" si="1795"/>
        <v>58.90</v>
      </c>
      <c r="AM871" s="1047">
        <f t="shared" si="1795"/>
        <v>47.000000000000007</v>
      </c>
      <c r="AN871" s="1047">
        <f t="shared" si="1795"/>
        <v>57</v>
      </c>
      <c r="AO871" s="1047">
        <f t="shared" si="1795"/>
        <v>38.699999999999996</v>
      </c>
      <c r="AP871" s="1351">
        <f>-AP836-AP837</f>
        <v>201.60</v>
      </c>
      <c r="AQ871" s="1088">
        <f>-AQ836-AQ837</f>
        <v>43</v>
      </c>
      <c r="AR871" s="1088">
        <f>-AR836-AR837</f>
        <v>44</v>
      </c>
      <c r="AS871" s="1047">
        <f>-AS836-AS837</f>
        <v>38.20000000000001</v>
      </c>
      <c r="AT871" s="1088">
        <f>-AT836-AT837</f>
        <v>52.099999999999987</v>
      </c>
      <c r="AU871" s="1372">
        <f>IF(OR(ISBLANK(AQ871),ISBLANK(AR871),ISBLANK(AS871),ISBLANK(AT871)),"n/a",SUM(AQ871,AR871,AS871,AT871))</f>
        <v>177.30</v>
      </c>
      <c r="AV871" s="1088">
        <f>-AV836-AV837</f>
        <v>66.50</v>
      </c>
      <c r="AW871" s="1088">
        <f>-AW836-AW837</f>
        <v>58.599999999999987</v>
      </c>
      <c r="AX871" s="1047">
        <f>-AX836-AX837</f>
        <v>103.90000000000001</v>
      </c>
      <c r="AY871" s="1088">
        <f>-AY836-AY837</f>
        <v>27.90</v>
      </c>
      <c r="AZ871" s="1372">
        <f>IF(OR(ISBLANK(AV871),ISBLANK(AW871),ISBLANK(AX871),ISBLANK(AY871)),"n/a",SUM(AV871,AW871,AX871,AY871))</f>
        <v>256.89999999999998</v>
      </c>
      <c r="BA871" s="1088">
        <f>-BA836-BA837</f>
        <v>38.900000000000006</v>
      </c>
      <c r="BB871" s="1088">
        <f>-BB836-BB837</f>
        <v>65.899999999999991</v>
      </c>
      <c r="BC871" s="1088">
        <f>-BC836-BC837</f>
        <v>30.100000000000012</v>
      </c>
      <c r="BD871" s="1088">
        <f>-BD836-BD837</f>
        <v>69.899999999999991</v>
      </c>
      <c r="BE871" s="1372">
        <f>IF(OR(ISBLANK(BA871),ISBLANK(BB871),ISBLANK(BC871),ISBLANK(BD871)),"n/a",SUM(BA871,BB871,BC871,BD871))</f>
        <v>204.80</v>
      </c>
      <c r="BF871" s="1088">
        <f>-BF836-BF837</f>
        <v>46.70</v>
      </c>
      <c r="BG871" s="1088">
        <f>-BG836-BG837</f>
        <v>25.599999999999994</v>
      </c>
      <c r="BH871" s="1156">
        <f>-BH836-BH837</f>
        <v>38.000000000000014</v>
      </c>
      <c r="BI871" s="1068">
        <f>BI887*(1-BI888)</f>
        <v>65</v>
      </c>
      <c r="BJ871" s="1371">
        <f>IF(OR(ISBLANK(BF871),ISBLANK(BG871),ISBLANK(BH871),ISBLANK(BI871)),"n/a",SUM(BF871,BG871,BH871,BI871))</f>
        <v>175.30</v>
      </c>
      <c r="BK871" s="1068">
        <f>BK887*(1-BK888)</f>
        <v>65</v>
      </c>
      <c r="BL871" s="1068">
        <f>BL887*(1-BL888)</f>
        <v>65</v>
      </c>
      <c r="BM871" s="1068">
        <f>BM887*(1-BM888)</f>
        <v>65</v>
      </c>
      <c r="BN871" s="1068">
        <f>BN887*(1-BN888)</f>
        <v>65</v>
      </c>
      <c r="BO871" s="1371">
        <f>IF(OR(ISBLANK(BK871),ISBLANK(BL871),ISBLANK(BM871),ISBLANK(BN871)),"n/a",SUM(BK871,BL871,BM871,BN871))</f>
        <v>260</v>
      </c>
      <c r="BP871" s="1372">
        <f>BP887*(1-BP888)</f>
        <v>260</v>
      </c>
      <c r="BQ871" s="1372">
        <f>BQ887*(1-BQ888)</f>
        <v>260</v>
      </c>
      <c r="BR871" s="1371">
        <f>BR887*(1-BR888)</f>
        <v>260</v>
      </c>
      <c r="BS871" s="648"/>
    </row>
    <row r="872" spans="1:71" s="665" customFormat="1" ht="15">
      <c r="A872" s="1001" t="s">
        <v>429</v>
      </c>
      <c r="B872" s="261"/>
      <c r="C872" s="1324"/>
      <c r="D872" s="1324">
        <f t="shared" si="1796" ref="D872:AO872">D873-D869-D870-D871</f>
        <v>-2.2999999999999403</v>
      </c>
      <c r="E872" s="1324">
        <f t="shared" si="1796"/>
        <v>-8.7000000000000739</v>
      </c>
      <c r="F872" s="1324">
        <f t="shared" si="1796"/>
        <v>-7.0999999999999091</v>
      </c>
      <c r="G872" s="1324">
        <f t="shared" si="1796"/>
        <v>-8.2000000000000739</v>
      </c>
      <c r="H872" s="1029">
        <f t="shared" si="1796"/>
        <v>-2.0999999999999766</v>
      </c>
      <c r="I872" s="1029">
        <f t="shared" si="1796"/>
        <v>-1.2000000000000028</v>
      </c>
      <c r="J872" s="1029">
        <f t="shared" si="1796"/>
        <v>-0.89999999999999858</v>
      </c>
      <c r="K872" s="1029">
        <f t="shared" si="1796"/>
        <v>-1.1999999999999815</v>
      </c>
      <c r="L872" s="1324">
        <f t="shared" si="1796"/>
        <v>-5.3999999999999488</v>
      </c>
      <c r="M872" s="1029">
        <f t="shared" si="1796"/>
        <v>-0.10000000000002274</v>
      </c>
      <c r="N872" s="1029">
        <f t="shared" si="1796"/>
        <v>61.59999999999998</v>
      </c>
      <c r="O872" s="1029">
        <f t="shared" si="1796"/>
        <v>0.19999999999993179</v>
      </c>
      <c r="P872" s="1029">
        <f t="shared" si="1796"/>
        <v>-1.4999999999998508</v>
      </c>
      <c r="Q872" s="1324">
        <f t="shared" si="1796"/>
        <v>60.200000000000017</v>
      </c>
      <c r="R872" s="1029">
        <f t="shared" si="1796"/>
        <v>-0.099999999999951683</v>
      </c>
      <c r="S872" s="1029">
        <f t="shared" si="1796"/>
        <v>-1.1000000000000441</v>
      </c>
      <c r="T872" s="1029">
        <f t="shared" si="1796"/>
        <v>15.999999999999957</v>
      </c>
      <c r="U872" s="1029">
        <f t="shared" si="1796"/>
        <v>53.699999999999918</v>
      </c>
      <c r="V872" s="1324">
        <f t="shared" si="1796"/>
        <v>68.499999999999829</v>
      </c>
      <c r="W872" s="1029">
        <f t="shared" si="1796"/>
        <v>6.1000000000000902</v>
      </c>
      <c r="X872" s="1029">
        <f t="shared" si="1796"/>
        <v>-7.8000000000000966</v>
      </c>
      <c r="Y872" s="1029">
        <f t="shared" si="1796"/>
        <v>-15.199999999999818</v>
      </c>
      <c r="Z872" s="1029">
        <f t="shared" si="1796"/>
        <v>-11.100000000000165</v>
      </c>
      <c r="AA872" s="1324">
        <f t="shared" si="1796"/>
        <v>-27.999999999999972</v>
      </c>
      <c r="AB872" s="1029">
        <f t="shared" si="1796"/>
        <v>-0.99999999999990763</v>
      </c>
      <c r="AC872" s="1029">
        <f t="shared" si="1796"/>
        <v>-10.899999999999913</v>
      </c>
      <c r="AD872" s="1029">
        <f t="shared" si="1796"/>
        <v>12.699999999999868</v>
      </c>
      <c r="AE872" s="1029">
        <f t="shared" si="1796"/>
        <v>-54.899999999999906</v>
      </c>
      <c r="AF872" s="1324">
        <f t="shared" si="1796"/>
        <v>-54.099999999999881</v>
      </c>
      <c r="AG872" s="1029">
        <f t="shared" si="1796"/>
        <v>-21.400000000000084</v>
      </c>
      <c r="AH872" s="1029">
        <f t="shared" si="1796"/>
        <v>0.60000000000015064</v>
      </c>
      <c r="AI872" s="1029">
        <f t="shared" si="1796"/>
        <v>32.999999999999957</v>
      </c>
      <c r="AJ872" s="1029">
        <f t="shared" si="1796"/>
        <v>-0.59999999999999432</v>
      </c>
      <c r="AK872" s="1324">
        <f t="shared" si="1796"/>
        <v>11.600000000000023</v>
      </c>
      <c r="AL872" s="1029">
        <f t="shared" si="1796"/>
        <v>5.0999999999998664</v>
      </c>
      <c r="AM872" s="1029">
        <f t="shared" si="1796"/>
        <v>-4.5999999999999446</v>
      </c>
      <c r="AN872" s="1029">
        <f t="shared" si="1796"/>
        <v>5.6999999999999318</v>
      </c>
      <c r="AO872" s="1029">
        <f t="shared" si="1796"/>
        <v>-40.599999999999916</v>
      </c>
      <c r="AP872" s="1324">
        <f>AP873-AP869-AP870-AP871</f>
        <v>-34.400000000000063</v>
      </c>
      <c r="AQ872" s="1088">
        <f>AQ873-AQ869-AQ870-AQ871</f>
        <v>-8.6999999999999105</v>
      </c>
      <c r="AR872" s="1088">
        <f>AR873-AR869-AR870-AR871</f>
        <v>31.50</v>
      </c>
      <c r="AS872" s="1029">
        <f>AS873-AS869-AS870-AS871</f>
        <v>110.89999999999989</v>
      </c>
      <c r="AT872" s="1088">
        <f>AT873-AT869-AT870-AT871</f>
        <v>0</v>
      </c>
      <c r="AU872" s="1372">
        <f>ROUND(AU873-AU869-IF(ISNUMBER(AU870),AU870,0)-IF(ISNUMBER(AU871),AU871,0),6)</f>
        <v>133.69999999999999</v>
      </c>
      <c r="AV872" s="1088">
        <f>AV873-AV869-AV870-AV871</f>
        <v>-28.299999999999869</v>
      </c>
      <c r="AW872" s="1088">
        <f>AW873-AW869-AW870-AW871</f>
        <v>40.199999999999967</v>
      </c>
      <c r="AX872" s="1029">
        <f>AX873-AX869-AX870-AX871</f>
        <v>-83.600000000000136</v>
      </c>
      <c r="AY872" s="1088">
        <f>AY873-AY869-AY870-AY871</f>
        <v>17.100000000000115</v>
      </c>
      <c r="AZ872" s="1372">
        <f>ROUND(AZ873-AZ869-IF(ISNUMBER(AZ870),AZ870,0)-IF(ISNUMBER(AZ871),AZ871,0),6)</f>
        <v>-54.60</v>
      </c>
      <c r="BA872" s="1088">
        <f>BA873-BA869-BA870-BA871</f>
        <v>-55.900000000000006</v>
      </c>
      <c r="BB872" s="1088">
        <f>BB873-BB869-BB870-BB871</f>
        <v>46.70</v>
      </c>
      <c r="BC872" s="1088">
        <f>BC873-BC869-BC870-BC871</f>
        <v>-27.900000000000052</v>
      </c>
      <c r="BD872" s="1088">
        <f>BD873-BD869-BD870-BD871</f>
        <v>-35.399999999999991</v>
      </c>
      <c r="BE872" s="1372">
        <f>ROUND(BE873-BE869-IF(ISNUMBER(BE870),BE870,0)-IF(ISNUMBER(BE871),BE871,0),6)</f>
        <v>-72.50</v>
      </c>
      <c r="BF872" s="1088">
        <f>BF873-BF869-BF870-BF871</f>
        <v>-101.50</v>
      </c>
      <c r="BG872" s="1088">
        <f>BG873-BG869-BG870-BG871</f>
        <v>-0.59999999999995168</v>
      </c>
      <c r="BH872" s="1156">
        <f>BH873-BH869-BH870-BH871</f>
        <v>7.9999999999999289</v>
      </c>
      <c r="BI872" s="1068">
        <f>ROUND(BI873-BI869-BI870-BI871,6)</f>
        <v>0</v>
      </c>
      <c r="BJ872" s="1371">
        <f>ROUND(BJ873-BJ869-IF(ISNUMBER(BJ870),BJ870,0)-IF(ISNUMBER(BJ871),BJ871,0),6)</f>
        <v>-94.10</v>
      </c>
      <c r="BK872" s="1068">
        <f>ROUND(BK873-BK869-BK870-BK871,6)</f>
        <v>0</v>
      </c>
      <c r="BL872" s="1068">
        <f>ROUND(BL873-BL869-BL870-BL871,6)</f>
        <v>0</v>
      </c>
      <c r="BM872" s="1068">
        <f>ROUND(BM873-BM869-BM870-BM871,6)</f>
        <v>0</v>
      </c>
      <c r="BN872" s="1068">
        <f>ROUND(BN873-BN869-BN870-BN871,6)</f>
        <v>0</v>
      </c>
      <c r="BO872" s="1371">
        <f>ROUND(BO873-BO869-IF(ISNUMBER(BO870),BO870,0)-IF(ISNUMBER(BO871),BO871,0),6)</f>
        <v>0</v>
      </c>
      <c r="BP872" s="1372">
        <f>ROUND(BP873-BP869-BP870-BP871,6)</f>
        <v>0</v>
      </c>
      <c r="BQ872" s="1372">
        <f>ROUND(BQ873-BQ869-BQ870-BQ871,6)</f>
        <v>0</v>
      </c>
      <c r="BR872" s="1371">
        <f>ROUND(BR873-BR869-BR870-BR871,6)</f>
        <v>0</v>
      </c>
      <c r="BS872" s="648"/>
    </row>
    <row r="873" spans="1:71" s="668" customFormat="1" ht="15">
      <c r="A873" s="600" t="s">
        <v>430</v>
      </c>
      <c r="B873" s="367"/>
      <c r="C873" s="1322">
        <f t="shared" si="1797" ref="C873:AO873">C905</f>
        <v>961.30</v>
      </c>
      <c r="D873" s="1322">
        <f t="shared" si="1797"/>
        <v>932.60</v>
      </c>
      <c r="E873" s="1322">
        <f t="shared" si="1797"/>
        <v>911.30</v>
      </c>
      <c r="F873" s="1322">
        <f t="shared" si="1797"/>
        <v>933.70</v>
      </c>
      <c r="G873" s="1322">
        <f t="shared" si="1797"/>
        <v>960.90</v>
      </c>
      <c r="H873" s="1031">
        <f t="shared" si="1797"/>
        <v>950</v>
      </c>
      <c r="I873" s="1031">
        <f t="shared" si="1797"/>
        <v>952.50</v>
      </c>
      <c r="J873" s="1031">
        <f t="shared" si="1797"/>
        <v>954</v>
      </c>
      <c r="K873" s="1031">
        <f t="shared" si="1797"/>
        <v>960.60</v>
      </c>
      <c r="L873" s="1322">
        <f t="shared" si="1797"/>
        <v>960.60</v>
      </c>
      <c r="M873" s="1031">
        <f t="shared" si="1797"/>
        <v>957.50</v>
      </c>
      <c r="N873" s="1031">
        <f t="shared" si="1797"/>
        <v>1018.90</v>
      </c>
      <c r="O873" s="1031">
        <f t="shared" si="1797"/>
        <v>1024.0999999999999</v>
      </c>
      <c r="P873" s="1031">
        <f t="shared" si="1797"/>
        <v>1037.20</v>
      </c>
      <c r="Q873" s="1322">
        <f t="shared" si="1797"/>
        <v>1037.20</v>
      </c>
      <c r="R873" s="1031">
        <f t="shared" si="1797"/>
        <v>1061.9000000000001</v>
      </c>
      <c r="S873" s="1031">
        <f t="shared" si="1797"/>
        <v>1083.70</v>
      </c>
      <c r="T873" s="1031">
        <f t="shared" si="1797"/>
        <v>1115</v>
      </c>
      <c r="U873" s="1031">
        <f t="shared" si="1797"/>
        <v>1177.0999999999999</v>
      </c>
      <c r="V873" s="1322">
        <f t="shared" si="1797"/>
        <v>1177.0999999999999</v>
      </c>
      <c r="W873" s="1031">
        <f t="shared" si="1797"/>
        <v>1166</v>
      </c>
      <c r="X873" s="1031">
        <f t="shared" si="1797"/>
        <v>1152.0999999999999</v>
      </c>
      <c r="Y873" s="1031">
        <f t="shared" si="1797"/>
        <v>1129.4000000000001</v>
      </c>
      <c r="Z873" s="1031">
        <f t="shared" si="1797"/>
        <v>1119.5999999999999</v>
      </c>
      <c r="AA873" s="1322">
        <f t="shared" si="1797"/>
        <v>1119.5999999999999</v>
      </c>
      <c r="AB873" s="1031">
        <f t="shared" si="1797"/>
        <v>1112</v>
      </c>
      <c r="AC873" s="1031">
        <f t="shared" si="1797"/>
        <v>1116.4000000000001</v>
      </c>
      <c r="AD873" s="1031">
        <f t="shared" si="1797"/>
        <v>1139.30</v>
      </c>
      <c r="AE873" s="1031">
        <f t="shared" si="1797"/>
        <v>1131.70</v>
      </c>
      <c r="AF873" s="1322">
        <f t="shared" si="1797"/>
        <v>1131.70</v>
      </c>
      <c r="AG873" s="1031">
        <f t="shared" si="1797"/>
        <v>1127.30</v>
      </c>
      <c r="AH873" s="1031">
        <f t="shared" si="1797"/>
        <v>1174.9000000000001</v>
      </c>
      <c r="AI873" s="1031">
        <f t="shared" si="1797"/>
        <v>1214.20</v>
      </c>
      <c r="AJ873" s="1031">
        <f t="shared" si="1797"/>
        <v>1213.70</v>
      </c>
      <c r="AK873" s="1322">
        <f t="shared" si="1797"/>
        <v>1213.70</v>
      </c>
      <c r="AL873" s="1031">
        <f t="shared" si="1797"/>
        <v>1215.0999999999999</v>
      </c>
      <c r="AM873" s="1031">
        <f t="shared" si="1797"/>
        <v>1189.80</v>
      </c>
      <c r="AN873" s="1031">
        <f t="shared" si="1797"/>
        <v>1181.5999999999999</v>
      </c>
      <c r="AO873" s="1031">
        <f t="shared" si="1797"/>
        <v>1106</v>
      </c>
      <c r="AP873" s="1322">
        <f>AP905</f>
        <v>1106</v>
      </c>
      <c r="AQ873" s="1157">
        <f>AQ905</f>
        <v>1077.4000000000001</v>
      </c>
      <c r="AR873" s="1157">
        <f t="shared" si="1798" ref="AR873:AU873">AR905</f>
        <v>1086.4000000000001</v>
      </c>
      <c r="AS873" s="1031">
        <f>AS905</f>
        <v>1161</v>
      </c>
      <c r="AT873" s="1157">
        <f t="shared" si="1798"/>
        <v>1137.30</v>
      </c>
      <c r="AU873" s="1494">
        <f t="shared" si="1798"/>
        <v>1137.30</v>
      </c>
      <c r="AV873" s="1157">
        <f>AV905</f>
        <v>1104.4000000000001</v>
      </c>
      <c r="AW873" s="1157">
        <f t="shared" si="1799" ref="AW873">AW905</f>
        <v>1124.70</v>
      </c>
      <c r="AX873" s="1031">
        <f>AX905</f>
        <v>1067.0999999999999</v>
      </c>
      <c r="AY873" s="1157">
        <f t="shared" si="1800" ref="AY873:AZ873">AY905</f>
        <v>1034</v>
      </c>
      <c r="AZ873" s="1494">
        <f t="shared" si="1800"/>
        <v>1034</v>
      </c>
      <c r="BA873" s="1157">
        <f>BA905</f>
        <v>949</v>
      </c>
      <c r="BB873" s="1157">
        <f t="shared" si="1801" ref="BB873">BB905</f>
        <v>989</v>
      </c>
      <c r="BC873" s="1157">
        <f>BC905</f>
        <v>919.80</v>
      </c>
      <c r="BD873" s="1157">
        <f t="shared" si="1802" ref="BD873:BE873">BD905</f>
        <v>880.80</v>
      </c>
      <c r="BE873" s="1494">
        <f t="shared" si="1802"/>
        <v>880.80</v>
      </c>
      <c r="BF873" s="1157">
        <f>BF905</f>
        <v>756.30</v>
      </c>
      <c r="BG873" s="1157">
        <f t="shared" si="1803" ref="BG873">BG905</f>
        <v>713.50</v>
      </c>
      <c r="BH873" s="1159">
        <f>BH905</f>
        <v>688.80</v>
      </c>
      <c r="BI873" s="1157">
        <f>BI905</f>
        <v>707.91763934426228</v>
      </c>
      <c r="BJ873" s="1494">
        <f t="shared" si="1804" ref="BJ873">BJ905</f>
        <v>707.91763934426228</v>
      </c>
      <c r="BK873" s="1157">
        <f t="shared" si="1805" ref="BK873:BR873">BK905</f>
        <v>726.66055523916464</v>
      </c>
      <c r="BL873" s="1157">
        <f t="shared" si="1805"/>
        <v>743.65118732247299</v>
      </c>
      <c r="BM873" s="1157">
        <f t="shared" si="1805"/>
        <v>758.97936281035823</v>
      </c>
      <c r="BN873" s="1157">
        <f t="shared" si="1805"/>
        <v>773.28370016565543</v>
      </c>
      <c r="BO873" s="1494">
        <f t="shared" si="1805"/>
        <v>773.28370016565543</v>
      </c>
      <c r="BP873" s="1494">
        <f t="shared" si="1805"/>
        <v>828.36351962175672</v>
      </c>
      <c r="BQ873" s="1494">
        <f t="shared" si="1805"/>
        <v>868.84718692199112</v>
      </c>
      <c r="BR873" s="1494">
        <f t="shared" si="1805"/>
        <v>898.60268238766344</v>
      </c>
      <c r="BS873" s="648"/>
    </row>
    <row r="874" spans="1:71" s="668" customFormat="1" ht="15">
      <c r="A874" s="412"/>
      <c r="B874" s="367"/>
      <c r="C874" s="1322"/>
      <c r="D874" s="1322"/>
      <c r="E874" s="1322"/>
      <c r="F874" s="1322"/>
      <c r="G874" s="1322"/>
      <c r="H874" s="1031"/>
      <c r="I874" s="1031"/>
      <c r="J874" s="1031"/>
      <c r="K874" s="1031"/>
      <c r="L874" s="1322"/>
      <c r="M874" s="1031"/>
      <c r="N874" s="1031"/>
      <c r="O874" s="1031"/>
      <c r="P874" s="1031"/>
      <c r="Q874" s="1322"/>
      <c r="R874" s="1031"/>
      <c r="S874" s="1031"/>
      <c r="T874" s="1031"/>
      <c r="U874" s="1031"/>
      <c r="V874" s="1322"/>
      <c r="W874" s="1031"/>
      <c r="X874" s="1031"/>
      <c r="Y874" s="1031"/>
      <c r="Z874" s="1031"/>
      <c r="AA874" s="1322"/>
      <c r="AB874" s="1031"/>
      <c r="AC874" s="1031"/>
      <c r="AD874" s="1031"/>
      <c r="AE874" s="1031"/>
      <c r="AF874" s="1322"/>
      <c r="AG874" s="1031"/>
      <c r="AH874" s="1031"/>
      <c r="AI874" s="1031"/>
      <c r="AJ874" s="1031"/>
      <c r="AK874" s="1322"/>
      <c r="AL874" s="1031"/>
      <c r="AM874" s="1031"/>
      <c r="AN874" s="1031"/>
      <c r="AO874" s="1031"/>
      <c r="AP874" s="1322"/>
      <c r="AQ874" s="1088"/>
      <c r="AR874" s="1088"/>
      <c r="AS874" s="1031"/>
      <c r="AT874" s="1088"/>
      <c r="AU874" s="1372"/>
      <c r="AV874" s="1088"/>
      <c r="AW874" s="1088"/>
      <c r="AX874" s="1031"/>
      <c r="AY874" s="1088"/>
      <c r="AZ874" s="1372"/>
      <c r="BA874" s="1088"/>
      <c r="BB874" s="1088"/>
      <c r="BC874" s="1088"/>
      <c r="BD874" s="1088"/>
      <c r="BE874" s="1372"/>
      <c r="BF874" s="1088"/>
      <c r="BG874" s="1088"/>
      <c r="BH874" s="1156"/>
      <c r="BI874" s="1068"/>
      <c r="BJ874" s="1371"/>
      <c r="BK874" s="1068"/>
      <c r="BL874" s="1068"/>
      <c r="BM874" s="1068"/>
      <c r="BN874" s="1068"/>
      <c r="BO874" s="1371"/>
      <c r="BP874" s="1372"/>
      <c r="BQ874" s="1372"/>
      <c r="BR874" s="1371"/>
      <c r="BS874" s="648"/>
    </row>
    <row r="875" spans="1:71" s="668" customFormat="1" ht="15">
      <c r="A875" s="904" t="s">
        <v>431</v>
      </c>
      <c r="B875" s="367"/>
      <c r="C875" s="1322"/>
      <c r="D875" s="1322">
        <f t="shared" si="1806" ref="D875:K875">C879</f>
        <v>0</v>
      </c>
      <c r="E875" s="1322">
        <f t="shared" si="1806"/>
        <v>0</v>
      </c>
      <c r="F875" s="1322">
        <f t="shared" si="1806"/>
        <v>0</v>
      </c>
      <c r="G875" s="1322">
        <f t="shared" si="1806"/>
        <v>0</v>
      </c>
      <c r="H875" s="1031">
        <f t="shared" si="1806"/>
        <v>0</v>
      </c>
      <c r="I875" s="1031">
        <f t="shared" si="1806"/>
        <v>0</v>
      </c>
      <c r="J875" s="1031">
        <f t="shared" si="1806"/>
        <v>11.30</v>
      </c>
      <c r="K875" s="1031">
        <f t="shared" si="1806"/>
        <v>11.30</v>
      </c>
      <c r="L875" s="1322">
        <f>G879</f>
        <v>0</v>
      </c>
      <c r="M875" s="1031">
        <f>L879</f>
        <v>11.30</v>
      </c>
      <c r="N875" s="1031">
        <f>M879</f>
        <v>11.30</v>
      </c>
      <c r="O875" s="1031">
        <f>N879</f>
        <v>526</v>
      </c>
      <c r="P875" s="1031">
        <f>O879</f>
        <v>510.50</v>
      </c>
      <c r="Q875" s="1322">
        <f>L879</f>
        <v>11.30</v>
      </c>
      <c r="R875" s="1031">
        <f>Q879</f>
        <v>494.90</v>
      </c>
      <c r="S875" s="1031">
        <f>R879</f>
        <v>479.40</v>
      </c>
      <c r="T875" s="1031">
        <f>S879</f>
        <v>463.80</v>
      </c>
      <c r="U875" s="1031">
        <f>T879</f>
        <v>448.30</v>
      </c>
      <c r="V875" s="1322">
        <f>Q879</f>
        <v>494.90</v>
      </c>
      <c r="W875" s="1031">
        <f>V879</f>
        <v>432.80</v>
      </c>
      <c r="X875" s="1031">
        <f>W879</f>
        <v>417.30</v>
      </c>
      <c r="Y875" s="1031">
        <f>X879</f>
        <v>401.80</v>
      </c>
      <c r="Z875" s="1031">
        <f>Y879</f>
        <v>384.60</v>
      </c>
      <c r="AA875" s="1322">
        <f>V879</f>
        <v>432.80</v>
      </c>
      <c r="AB875" s="1031">
        <f>AA879</f>
        <v>366.60</v>
      </c>
      <c r="AC875" s="1031">
        <f>AB879</f>
        <v>348.60</v>
      </c>
      <c r="AD875" s="1031">
        <f>AC879</f>
        <v>330.60</v>
      </c>
      <c r="AE875" s="1031">
        <f>AD879</f>
        <v>312.60000000000002</v>
      </c>
      <c r="AF875" s="1322">
        <f>AA879</f>
        <v>366.60</v>
      </c>
      <c r="AG875" s="1031">
        <f>AF879</f>
        <v>294.60000000000002</v>
      </c>
      <c r="AH875" s="1031">
        <f>AG879</f>
        <v>276.70</v>
      </c>
      <c r="AI875" s="1031">
        <f>AH879</f>
        <v>258.70</v>
      </c>
      <c r="AJ875" s="1031">
        <f>AI879</f>
        <v>242.90</v>
      </c>
      <c r="AK875" s="1322">
        <f>AF879</f>
        <v>294.60000000000002</v>
      </c>
      <c r="AL875" s="1031">
        <f>AK879</f>
        <v>228.30</v>
      </c>
      <c r="AM875" s="1031">
        <f>AL879</f>
        <v>213.80</v>
      </c>
      <c r="AN875" s="1031">
        <f>AM879</f>
        <v>199.70</v>
      </c>
      <c r="AO875" s="1031">
        <f>AN879</f>
        <v>185.50</v>
      </c>
      <c r="AP875" s="1322">
        <f>AK879</f>
        <v>228.30</v>
      </c>
      <c r="AQ875" s="1062">
        <f>AL879</f>
        <v>213.80</v>
      </c>
      <c r="AR875" s="1062">
        <f>AQ879</f>
        <v>157.19999999999999</v>
      </c>
      <c r="AS875" s="1031">
        <f>AR879</f>
        <v>146.50</v>
      </c>
      <c r="AT875" s="1062">
        <f>AS879</f>
        <v>131.90000000000001</v>
      </c>
      <c r="AU875" s="1363">
        <f>AP879</f>
        <v>171.40</v>
      </c>
      <c r="AV875" s="1062">
        <f>AQ879</f>
        <v>157.19999999999999</v>
      </c>
      <c r="AW875" s="1062">
        <f>AV879</f>
        <v>102.70</v>
      </c>
      <c r="AX875" s="1031">
        <f>AW879</f>
        <v>97.20</v>
      </c>
      <c r="AY875" s="1062">
        <f>AX879</f>
        <v>91.80</v>
      </c>
      <c r="AZ875" s="1363">
        <f>AU879</f>
        <v>117.30</v>
      </c>
      <c r="BA875" s="1062">
        <f>AZ879</f>
        <v>86.299999999999983</v>
      </c>
      <c r="BB875" s="1062">
        <f>BA879</f>
        <v>80.900000000000006</v>
      </c>
      <c r="BC875" s="1062">
        <f>BB879</f>
        <v>77.80</v>
      </c>
      <c r="BD875" s="1062">
        <f>BC879</f>
        <v>74.900000000000006</v>
      </c>
      <c r="BE875" s="1363">
        <f>AZ879</f>
        <v>86.299999999999983</v>
      </c>
      <c r="BF875" s="1062">
        <f>BE879</f>
        <v>74.900000000000006</v>
      </c>
      <c r="BG875" s="1062">
        <f>BF879</f>
        <v>0</v>
      </c>
      <c r="BH875" s="1094">
        <f>BG879</f>
        <v>0</v>
      </c>
      <c r="BI875" s="1092">
        <f>BH879</f>
        <v>0</v>
      </c>
      <c r="BJ875" s="1393">
        <f>BE879</f>
        <v>74.900000000000006</v>
      </c>
      <c r="BK875" s="1092">
        <f>BJ879</f>
        <v>0</v>
      </c>
      <c r="BL875" s="1092">
        <f>BK879</f>
        <v>0</v>
      </c>
      <c r="BM875" s="1092">
        <f>BL879</f>
        <v>0</v>
      </c>
      <c r="BN875" s="1092">
        <f>BM879</f>
        <v>0</v>
      </c>
      <c r="BO875" s="1393">
        <f>BJ879</f>
        <v>0</v>
      </c>
      <c r="BP875" s="1363">
        <f>BO879</f>
        <v>0</v>
      </c>
      <c r="BQ875" s="1363">
        <f>BP879</f>
        <v>0</v>
      </c>
      <c r="BR875" s="1393">
        <f>BQ879</f>
        <v>0</v>
      </c>
      <c r="BS875" s="648"/>
    </row>
    <row r="876" spans="1:71" s="665" customFormat="1" ht="15">
      <c r="A876" s="999" t="s">
        <v>432</v>
      </c>
      <c r="B876" s="321"/>
      <c r="C876" s="1351"/>
      <c r="D876" s="1351">
        <f t="shared" si="1807" ref="D876:AO876">-D804</f>
        <v>0</v>
      </c>
      <c r="E876" s="1351">
        <f t="shared" si="1807"/>
        <v>0</v>
      </c>
      <c r="F876" s="1351">
        <f t="shared" si="1807"/>
        <v>0</v>
      </c>
      <c r="G876" s="1351">
        <f t="shared" si="1807"/>
        <v>0</v>
      </c>
      <c r="H876" s="1047">
        <f t="shared" si="1807"/>
        <v>0</v>
      </c>
      <c r="I876" s="1047">
        <f t="shared" si="1807"/>
        <v>0</v>
      </c>
      <c r="J876" s="1047">
        <f t="shared" si="1807"/>
        <v>0</v>
      </c>
      <c r="K876" s="1047">
        <f t="shared" si="1807"/>
        <v>0</v>
      </c>
      <c r="L876" s="1351">
        <f t="shared" si="1807"/>
        <v>0</v>
      </c>
      <c r="M876" s="1047">
        <f t="shared" si="1807"/>
        <v>0</v>
      </c>
      <c r="N876" s="1047">
        <f t="shared" si="1807"/>
        <v>-15.70</v>
      </c>
      <c r="O876" s="1047">
        <f t="shared" si="1807"/>
        <v>-15.50</v>
      </c>
      <c r="P876" s="1047">
        <f t="shared" si="1807"/>
        <v>-15.599999999999998</v>
      </c>
      <c r="Q876" s="1351">
        <f t="shared" si="1807"/>
        <v>-46.80</v>
      </c>
      <c r="R876" s="1047">
        <f t="shared" si="1807"/>
        <v>-15.50</v>
      </c>
      <c r="S876" s="1047">
        <f t="shared" si="1807"/>
        <v>-15.60</v>
      </c>
      <c r="T876" s="1047">
        <f t="shared" si="1807"/>
        <v>-15.50</v>
      </c>
      <c r="U876" s="1047">
        <f t="shared" si="1807"/>
        <v>-15.50</v>
      </c>
      <c r="V876" s="1351">
        <f t="shared" si="1807"/>
        <v>-62.10</v>
      </c>
      <c r="W876" s="1047">
        <f t="shared" si="1807"/>
        <v>-15.50</v>
      </c>
      <c r="X876" s="1047">
        <f t="shared" si="1807"/>
        <v>-15.50</v>
      </c>
      <c r="Y876" s="1047">
        <f t="shared" si="1807"/>
        <v>-17.200000000000003</v>
      </c>
      <c r="Z876" s="1047">
        <f t="shared" si="1807"/>
        <v>-18</v>
      </c>
      <c r="AA876" s="1351">
        <f t="shared" si="1807"/>
        <v>-66.20</v>
      </c>
      <c r="AB876" s="1047">
        <f t="shared" si="1807"/>
        <v>-18</v>
      </c>
      <c r="AC876" s="1047">
        <f t="shared" si="1807"/>
        <v>-18</v>
      </c>
      <c r="AD876" s="1047">
        <f t="shared" si="1807"/>
        <v>-18</v>
      </c>
      <c r="AE876" s="1047">
        <f t="shared" si="1807"/>
        <v>-18</v>
      </c>
      <c r="AF876" s="1351">
        <f t="shared" si="1807"/>
        <v>-72</v>
      </c>
      <c r="AG876" s="1047">
        <f t="shared" si="1807"/>
        <v>-17.90</v>
      </c>
      <c r="AH876" s="1047">
        <f t="shared" si="1807"/>
        <v>-18</v>
      </c>
      <c r="AI876" s="1047">
        <f t="shared" si="1807"/>
        <v>-15.800000000000004</v>
      </c>
      <c r="AJ876" s="1047">
        <f t="shared" si="1807"/>
        <v>-14.599999999999994</v>
      </c>
      <c r="AK876" s="1351">
        <f t="shared" si="1807"/>
        <v>-66.30</v>
      </c>
      <c r="AL876" s="1047">
        <f t="shared" si="1807"/>
        <v>-14.50</v>
      </c>
      <c r="AM876" s="1047">
        <f t="shared" si="1807"/>
        <v>-14.10</v>
      </c>
      <c r="AN876" s="1047">
        <f t="shared" si="1807"/>
        <v>-14.199999999999996</v>
      </c>
      <c r="AO876" s="1047">
        <f t="shared" si="1807"/>
        <v>-14.10</v>
      </c>
      <c r="AP876" s="1351">
        <f>-AP804</f>
        <v>-56.90</v>
      </c>
      <c r="AQ876" s="1088">
        <f>-AQ804</f>
        <v>-14.20</v>
      </c>
      <c r="AR876" s="1088">
        <f>-AR804</f>
        <v>-14.30</v>
      </c>
      <c r="AS876" s="1047">
        <f>-AS804</f>
        <v>-14.60</v>
      </c>
      <c r="AT876" s="1088">
        <f>-AT804</f>
        <v>-14.60</v>
      </c>
      <c r="AU876" s="1372">
        <f>IF(OR(ISBLANK(AQ876),ISBLANK(AR876),ISBLANK(AS876),ISBLANK(AT876)),"n/a",SUM(AQ876,AR876,AS876,AT876))</f>
        <v>-57.70</v>
      </c>
      <c r="AV876" s="1088">
        <f>-AV804</f>
        <v>-14.60</v>
      </c>
      <c r="AW876" s="1088">
        <f>-AW804</f>
        <v>-5.5000000000000018</v>
      </c>
      <c r="AX876" s="1047">
        <f>-AX804</f>
        <v>-5.3999999999999986</v>
      </c>
      <c r="AY876" s="1088">
        <f>-AY804</f>
        <v>-5.50</v>
      </c>
      <c r="AZ876" s="1372">
        <f>IF(OR(ISBLANK(AV876),ISBLANK(AW876),ISBLANK(AX876),ISBLANK(AY876)),"n/a",SUM(AV876,AW876,AX876,AY876))</f>
        <v>-31</v>
      </c>
      <c r="BA876" s="1088">
        <f>-BA804</f>
        <v>-5.40</v>
      </c>
      <c r="BB876" s="1088">
        <f>-BB804</f>
        <v>-3.0999999999999996</v>
      </c>
      <c r="BC876" s="1088">
        <f>-BC804</f>
        <v>-2.9000000000000004</v>
      </c>
      <c r="BD876" s="1088">
        <f>-BD804</f>
        <v>-2.7999999999999989</v>
      </c>
      <c r="BE876" s="1372">
        <f>IF(OR(ISBLANK(BA876),ISBLANK(BB876),ISBLANK(BC876),ISBLANK(BD876)),"n/a",SUM(BA876,BB876,BC876,BD876))</f>
        <v>-14.20</v>
      </c>
      <c r="BF876" s="1088">
        <f>-BF804</f>
        <v>0</v>
      </c>
      <c r="BG876" s="1088">
        <f>-BG804</f>
        <v>0</v>
      </c>
      <c r="BH876" s="1156">
        <f>-BH804</f>
        <v>0</v>
      </c>
      <c r="BI876" s="1068">
        <f>-BI875*BI882/(BJ3/BI3)</f>
        <v>0</v>
      </c>
      <c r="BJ876" s="1371">
        <f>IF(OR(ISBLANK(BF876),ISBLANK(BG876),ISBLANK(BH876),ISBLANK(BI876)),"n/a",SUM(BF876,BG876,BH876,BI876))</f>
        <v>0</v>
      </c>
      <c r="BK876" s="1068">
        <f>-BK875*BK882/(BO3/BK3)</f>
        <v>0</v>
      </c>
      <c r="BL876" s="1068">
        <f>-BL875*BL882/(BO3/BL3)</f>
        <v>0</v>
      </c>
      <c r="BM876" s="1068">
        <f>-BM875*BM882/(BO3/BM3)</f>
        <v>0</v>
      </c>
      <c r="BN876" s="1068">
        <f>-BN875*BN882/(BO3/BN3)</f>
        <v>0</v>
      </c>
      <c r="BO876" s="1371">
        <f>IF(OR(ISBLANK(BK876),ISBLANK(BL876),ISBLANK(BM876),ISBLANK(BN876)),"n/a",SUM(BK876,BL876,BM876,BN876))</f>
        <v>0</v>
      </c>
      <c r="BP876" s="1372">
        <f>-BP875*BP882</f>
        <v>0</v>
      </c>
      <c r="BQ876" s="1372">
        <f>-BQ875*BQ882</f>
        <v>0</v>
      </c>
      <c r="BR876" s="1371">
        <f>-BR875*BR882</f>
        <v>0</v>
      </c>
      <c r="BS876" s="648"/>
    </row>
    <row r="877" spans="1:71" s="668" customFormat="1" ht="15">
      <c r="A877" s="999" t="s">
        <v>433</v>
      </c>
      <c r="B877" s="367"/>
      <c r="C877" s="1322"/>
      <c r="D877" s="1322"/>
      <c r="E877" s="1322"/>
      <c r="F877" s="1322"/>
      <c r="G877" s="1322"/>
      <c r="H877" s="1031"/>
      <c r="I877" s="1031"/>
      <c r="J877" s="1031"/>
      <c r="K877" s="1031"/>
      <c r="L877" s="1322"/>
      <c r="M877" s="1031"/>
      <c r="N877" s="1031"/>
      <c r="O877" s="1031"/>
      <c r="P877" s="1031"/>
      <c r="Q877" s="1322"/>
      <c r="R877" s="1031"/>
      <c r="S877" s="1031"/>
      <c r="T877" s="1031"/>
      <c r="U877" s="1031"/>
      <c r="V877" s="1322"/>
      <c r="W877" s="1031"/>
      <c r="X877" s="1031"/>
      <c r="Y877" s="1031"/>
      <c r="Z877" s="1031"/>
      <c r="AA877" s="1322"/>
      <c r="AB877" s="1031"/>
      <c r="AC877" s="1031"/>
      <c r="AD877" s="1031"/>
      <c r="AE877" s="1031"/>
      <c r="AF877" s="1322"/>
      <c r="AG877" s="1031"/>
      <c r="AH877" s="1031"/>
      <c r="AI877" s="1031"/>
      <c r="AJ877" s="1031"/>
      <c r="AK877" s="1322"/>
      <c r="AL877" s="1031"/>
      <c r="AM877" s="1031"/>
      <c r="AN877" s="1031"/>
      <c r="AO877" s="1031"/>
      <c r="AP877" s="1322"/>
      <c r="AQ877" s="1088"/>
      <c r="AR877" s="1088"/>
      <c r="AS877" s="1031"/>
      <c r="AT877" s="1088"/>
      <c r="AU877" s="1372" t="str">
        <f>IF(OR(ISBLANK(AQ877),ISBLANK(AR877),ISBLANK(AS877),ISBLANK(AT877)),"n/a",SUM(AQ877,AR877,AS877,AT877))</f>
        <v>n/a</v>
      </c>
      <c r="AV877" s="1088"/>
      <c r="AW877" s="1088"/>
      <c r="AX877" s="1031"/>
      <c r="AY877" s="1088"/>
      <c r="AZ877" s="1372" t="str">
        <f>IF(OR(ISBLANK(AV877),ISBLANK(AW877),ISBLANK(AX877),ISBLANK(AY877)),"n/a",SUM(AV877,AW877,AX877,AY877))</f>
        <v>n/a</v>
      </c>
      <c r="BA877" s="1088"/>
      <c r="BB877" s="1088"/>
      <c r="BC877" s="1088"/>
      <c r="BD877" s="1088"/>
      <c r="BE877" s="1372" t="str">
        <f>IF(OR(ISBLANK(BA877),ISBLANK(BB877),ISBLANK(BC877),ISBLANK(BD877)),"n/a",SUM(BA877,BB877,BC877,BD877))</f>
        <v>n/a</v>
      </c>
      <c r="BF877" s="1088"/>
      <c r="BG877" s="1088"/>
      <c r="BH877" s="1156"/>
      <c r="BI877" s="1068">
        <f>BI887*BI888</f>
        <v>0</v>
      </c>
      <c r="BJ877" s="1371" t="str">
        <f>IF(OR(ISBLANK(BF877),ISBLANK(BG877),ISBLANK(BH877),ISBLANK(BI877)),"n/a",SUM(BF877,BG877,BH877,BI877))</f>
        <v>n/a</v>
      </c>
      <c r="BK877" s="1068">
        <f>BK887*BK888</f>
        <v>0</v>
      </c>
      <c r="BL877" s="1068">
        <f>BL887*BL888</f>
        <v>0</v>
      </c>
      <c r="BM877" s="1068">
        <f>BM887*BM888</f>
        <v>0</v>
      </c>
      <c r="BN877" s="1068">
        <f>BN887*BN888</f>
        <v>0</v>
      </c>
      <c r="BO877" s="1371">
        <f>IF(OR(ISBLANK(BK877),ISBLANK(BL877),ISBLANK(BM877),ISBLANK(BN877)),"n/a",SUM(BK877,BL877,BM877,BN877))</f>
        <v>0</v>
      </c>
      <c r="BP877" s="1372">
        <f>BP887*BP888</f>
        <v>0</v>
      </c>
      <c r="BQ877" s="1372">
        <f>BQ887*BQ888</f>
        <v>0</v>
      </c>
      <c r="BR877" s="1371">
        <f>BR887*BR888</f>
        <v>0</v>
      </c>
      <c r="BS877" s="648"/>
    </row>
    <row r="878" spans="1:71" s="665" customFormat="1" ht="15">
      <c r="A878" s="1001" t="s">
        <v>434</v>
      </c>
      <c r="B878" s="261"/>
      <c r="C878" s="1324"/>
      <c r="D878" s="1324">
        <f t="shared" si="1808" ref="D878:AP878">D879-D875-D876-D877</f>
        <v>0</v>
      </c>
      <c r="E878" s="1324">
        <f t="shared" si="1808"/>
        <v>0</v>
      </c>
      <c r="F878" s="1324">
        <f t="shared" si="1808"/>
        <v>0</v>
      </c>
      <c r="G878" s="1324">
        <f t="shared" si="1808"/>
        <v>0</v>
      </c>
      <c r="H878" s="1029">
        <f t="shared" si="1808"/>
        <v>0</v>
      </c>
      <c r="I878" s="1029">
        <f t="shared" si="1808"/>
        <v>11.30</v>
      </c>
      <c r="J878" s="1029">
        <f t="shared" si="1808"/>
        <v>0</v>
      </c>
      <c r="K878" s="1029">
        <f t="shared" si="1808"/>
        <v>0</v>
      </c>
      <c r="L878" s="1324">
        <f t="shared" si="1808"/>
        <v>11.30</v>
      </c>
      <c r="M878" s="1029">
        <f t="shared" si="1808"/>
        <v>0</v>
      </c>
      <c r="N878" s="1029">
        <f t="shared" si="1808"/>
        <v>530.40000000000009</v>
      </c>
      <c r="O878" s="1029">
        <f t="shared" si="1808"/>
        <v>0</v>
      </c>
      <c r="P878" s="1029">
        <f t="shared" si="1808"/>
        <v>-2.4868995751603507E-14</v>
      </c>
      <c r="Q878" s="1324">
        <f t="shared" si="1808"/>
        <v>530.40</v>
      </c>
      <c r="R878" s="1029">
        <f t="shared" si="1808"/>
        <v>0</v>
      </c>
      <c r="S878" s="1029">
        <f t="shared" si="1808"/>
        <v>3.552713678800501E-14</v>
      </c>
      <c r="T878" s="1029">
        <f t="shared" si="1808"/>
        <v>0</v>
      </c>
      <c r="U878" s="1029">
        <f t="shared" si="1808"/>
        <v>0</v>
      </c>
      <c r="V878" s="1324">
        <f t="shared" si="1808"/>
        <v>3.552713678800501E-14</v>
      </c>
      <c r="W878" s="1029">
        <f t="shared" si="1808"/>
        <v>0</v>
      </c>
      <c r="X878" s="1029">
        <f t="shared" si="1808"/>
        <v>0</v>
      </c>
      <c r="Y878" s="1029">
        <f t="shared" si="1808"/>
        <v>1.4210854715202004E-14</v>
      </c>
      <c r="Z878" s="1029">
        <f t="shared" si="1808"/>
        <v>0</v>
      </c>
      <c r="AA878" s="1324">
        <f t="shared" si="1808"/>
        <v>1.4210854715202004E-14</v>
      </c>
      <c r="AB878" s="1029">
        <f t="shared" si="1808"/>
        <v>0</v>
      </c>
      <c r="AC878" s="1029">
        <f t="shared" si="1808"/>
        <v>0</v>
      </c>
      <c r="AD878" s="1029">
        <f t="shared" si="1808"/>
        <v>0</v>
      </c>
      <c r="AE878" s="1029">
        <f t="shared" si="1808"/>
        <v>0</v>
      </c>
      <c r="AF878" s="1324">
        <f t="shared" si="1808"/>
        <v>0</v>
      </c>
      <c r="AG878" s="1029">
        <f t="shared" si="1808"/>
        <v>-3.552713678800501E-14</v>
      </c>
      <c r="AH878" s="1029">
        <f t="shared" si="1808"/>
        <v>0</v>
      </c>
      <c r="AI878" s="1029">
        <f t="shared" si="1808"/>
        <v>2.1316282072803006E-14</v>
      </c>
      <c r="AJ878" s="1029">
        <f t="shared" si="1808"/>
        <v>0</v>
      </c>
      <c r="AK878" s="1324">
        <f t="shared" si="1808"/>
        <v>-1.4210854715202004E-14</v>
      </c>
      <c r="AL878" s="1029">
        <f t="shared" si="1808"/>
        <v>0</v>
      </c>
      <c r="AM878" s="1029">
        <f t="shared" si="1808"/>
        <v>-2.1316282072803006E-14</v>
      </c>
      <c r="AN878" s="1029">
        <f t="shared" si="1808"/>
        <v>7.105427357601002E-15</v>
      </c>
      <c r="AO878" s="1029">
        <f t="shared" si="1808"/>
        <v>7.105427357601002E-15</v>
      </c>
      <c r="AP878" s="1324">
        <f t="shared" si="1808"/>
        <v>-7.105427357601002E-15</v>
      </c>
      <c r="AQ878" s="1088">
        <f>AQ879-AQ875-AQ876-AQ877</f>
        <v>-42.40000000000002</v>
      </c>
      <c r="AR878" s="1088">
        <f>AR879-AR875-AR876-AR877</f>
        <v>3.6000000000000121</v>
      </c>
      <c r="AS878" s="1029">
        <f>AS879-AS875-AS876-AS877</f>
        <v>7.105427357601002E-15</v>
      </c>
      <c r="AT878" s="1088">
        <f>AT879-AT875-AT876-AT877</f>
        <v>-7.105427357601002E-15</v>
      </c>
      <c r="AU878" s="1372">
        <f>ROUND(AU879-AU875-IF(ISNUMBER(AU876),AU876,0)-IF(ISNUMBER(AU877),AU877,0),6)</f>
        <v>3.60</v>
      </c>
      <c r="AV878" s="1088">
        <f>AV879-AV875-AV876-AV877</f>
        <v>-39.899999999999984</v>
      </c>
      <c r="AW878" s="1088">
        <f>AW879-AW875-AW876-AW877</f>
        <v>1.7763568394002505E-15</v>
      </c>
      <c r="AX878" s="1029">
        <f>AX879-AX875-AX876-AX877</f>
        <v>-7.105427357601002E-15</v>
      </c>
      <c r="AY878" s="1088">
        <f>AY879-AY875-AY876-AY877</f>
        <v>-1.4210854715202004E-14</v>
      </c>
      <c r="AZ878" s="1372">
        <f>ROUND(AZ879-AZ875-IF(ISNUMBER(AZ876),AZ876,0)-IF(ISNUMBER(AZ877),AZ877,0),6)</f>
        <v>0</v>
      </c>
      <c r="BA878" s="1088">
        <f>ROUND(BA879-BA875-BA876-BA877,6)</f>
        <v>0</v>
      </c>
      <c r="BB878" s="1088">
        <f>BB879-BB875-BB876-BB877</f>
        <v>-8.881784197001252E-15</v>
      </c>
      <c r="BC878" s="1088">
        <f>BC879-BC875-BC876-BC877</f>
        <v>8.881784197001252E-15</v>
      </c>
      <c r="BD878" s="1088">
        <f>BD879-BD875-BD876-BD877</f>
        <v>2.7999999999999989</v>
      </c>
      <c r="BE878" s="1372">
        <f>ROUND(BE879-BE875-IF(ISNUMBER(BE876),BE876,0)-IF(ISNUMBER(BE877),BE877,0),6)</f>
        <v>2.80</v>
      </c>
      <c r="BF878" s="1088">
        <f>ROUND(BF879-BF875-BF876-BF877,6)</f>
        <v>-74.900000000000006</v>
      </c>
      <c r="BG878" s="1088">
        <f>BG879-BG875-BG876-BG877</f>
        <v>0</v>
      </c>
      <c r="BH878" s="1156">
        <f>BH879-BH875-BH876-BH877</f>
        <v>0</v>
      </c>
      <c r="BI878" s="1068">
        <f>ROUND(BI879-BI875-BI876-BI877,6)</f>
        <v>0</v>
      </c>
      <c r="BJ878" s="1371">
        <f>ROUND(BJ879-BJ875-IF(ISNUMBER(BJ876),BJ876,0)-IF(ISNUMBER(BJ877),BJ877,0),6)</f>
        <v>-74.900000000000006</v>
      </c>
      <c r="BK878" s="1068">
        <f>ROUND(BK879-BK875-BK876-BK877,6)</f>
        <v>0</v>
      </c>
      <c r="BL878" s="1068">
        <f>ROUND(BL879-BL875-BL876-BL877,6)</f>
        <v>0</v>
      </c>
      <c r="BM878" s="1068">
        <f>ROUND(BM879-BM875-BM876-BM877,6)</f>
        <v>0</v>
      </c>
      <c r="BN878" s="1068">
        <f>ROUND(BN879-BN875-BN876-BN877,6)</f>
        <v>0</v>
      </c>
      <c r="BO878" s="1371">
        <f>ROUND(BO879-BO875-IF(ISNUMBER(BO876),BO876,0)-IF(ISNUMBER(BO877),BO877,0),6)</f>
        <v>0</v>
      </c>
      <c r="BP878" s="1372">
        <f>ROUND(BP879-BP875-BP876-BP877,6)</f>
        <v>0</v>
      </c>
      <c r="BQ878" s="1372">
        <f>ROUND(BQ879-BQ875-BQ876-BQ877,6)</f>
        <v>0</v>
      </c>
      <c r="BR878" s="1371">
        <f>ROUND(BR879-BR875-BR876-BR877,6)</f>
        <v>0</v>
      </c>
      <c r="BS878" s="648"/>
    </row>
    <row r="879" spans="1:71" s="668" customFormat="1" ht="15">
      <c r="A879" s="600" t="s">
        <v>435</v>
      </c>
      <c r="B879" s="367"/>
      <c r="C879" s="1322">
        <f t="shared" si="1809" ref="C879:AO879">C907</f>
        <v>0</v>
      </c>
      <c r="D879" s="1322">
        <f t="shared" si="1809"/>
        <v>0</v>
      </c>
      <c r="E879" s="1322">
        <f t="shared" si="1809"/>
        <v>0</v>
      </c>
      <c r="F879" s="1322">
        <f t="shared" si="1809"/>
        <v>0</v>
      </c>
      <c r="G879" s="1322">
        <f t="shared" si="1809"/>
        <v>0</v>
      </c>
      <c r="H879" s="1031">
        <f t="shared" si="1809"/>
        <v>0</v>
      </c>
      <c r="I879" s="1031">
        <f t="shared" si="1809"/>
        <v>11.30</v>
      </c>
      <c r="J879" s="1031">
        <f t="shared" si="1809"/>
        <v>11.30</v>
      </c>
      <c r="K879" s="1031">
        <f t="shared" si="1809"/>
        <v>11.30</v>
      </c>
      <c r="L879" s="1322">
        <f t="shared" si="1809"/>
        <v>11.30</v>
      </c>
      <c r="M879" s="1031">
        <f t="shared" si="1809"/>
        <v>11.30</v>
      </c>
      <c r="N879" s="1031">
        <f t="shared" si="1809"/>
        <v>526</v>
      </c>
      <c r="O879" s="1031">
        <f t="shared" si="1809"/>
        <v>510.50</v>
      </c>
      <c r="P879" s="1031">
        <f t="shared" si="1809"/>
        <v>494.90</v>
      </c>
      <c r="Q879" s="1322">
        <f t="shared" si="1809"/>
        <v>494.90</v>
      </c>
      <c r="R879" s="1031">
        <f t="shared" si="1809"/>
        <v>479.40</v>
      </c>
      <c r="S879" s="1031">
        <f t="shared" si="1809"/>
        <v>463.80</v>
      </c>
      <c r="T879" s="1031">
        <f t="shared" si="1809"/>
        <v>448.30</v>
      </c>
      <c r="U879" s="1031">
        <f t="shared" si="1809"/>
        <v>432.80</v>
      </c>
      <c r="V879" s="1322">
        <f t="shared" si="1809"/>
        <v>432.80</v>
      </c>
      <c r="W879" s="1031">
        <f t="shared" si="1809"/>
        <v>417.30</v>
      </c>
      <c r="X879" s="1031">
        <f t="shared" si="1809"/>
        <v>401.80</v>
      </c>
      <c r="Y879" s="1031">
        <f t="shared" si="1809"/>
        <v>384.60</v>
      </c>
      <c r="Z879" s="1031">
        <f t="shared" si="1809"/>
        <v>366.60</v>
      </c>
      <c r="AA879" s="1322">
        <f t="shared" si="1809"/>
        <v>366.60</v>
      </c>
      <c r="AB879" s="1031">
        <f t="shared" si="1809"/>
        <v>348.60</v>
      </c>
      <c r="AC879" s="1031">
        <f t="shared" si="1809"/>
        <v>330.60</v>
      </c>
      <c r="AD879" s="1031">
        <f t="shared" si="1809"/>
        <v>312.60000000000002</v>
      </c>
      <c r="AE879" s="1031">
        <f t="shared" si="1809"/>
        <v>294.60000000000002</v>
      </c>
      <c r="AF879" s="1322">
        <f t="shared" si="1809"/>
        <v>294.60000000000002</v>
      </c>
      <c r="AG879" s="1031">
        <f t="shared" si="1809"/>
        <v>276.70</v>
      </c>
      <c r="AH879" s="1031">
        <f t="shared" si="1809"/>
        <v>258.70</v>
      </c>
      <c r="AI879" s="1031">
        <f t="shared" si="1809"/>
        <v>242.90</v>
      </c>
      <c r="AJ879" s="1031">
        <f t="shared" si="1809"/>
        <v>228.30</v>
      </c>
      <c r="AK879" s="1322">
        <f t="shared" si="1809"/>
        <v>228.30</v>
      </c>
      <c r="AL879" s="1031">
        <f t="shared" si="1809"/>
        <v>213.80</v>
      </c>
      <c r="AM879" s="1031">
        <f t="shared" si="1809"/>
        <v>199.70</v>
      </c>
      <c r="AN879" s="1031">
        <f t="shared" si="1809"/>
        <v>185.50</v>
      </c>
      <c r="AO879" s="1031">
        <f t="shared" si="1809"/>
        <v>171.40</v>
      </c>
      <c r="AP879" s="1322">
        <f>AP907</f>
        <v>171.40</v>
      </c>
      <c r="AQ879" s="1157">
        <f>AQ907</f>
        <v>157.19999999999999</v>
      </c>
      <c r="AR879" s="1157">
        <f t="shared" si="1810" ref="AR879:AU879">AR907</f>
        <v>146.50</v>
      </c>
      <c r="AS879" s="1031">
        <f>AS907</f>
        <v>131.90000000000001</v>
      </c>
      <c r="AT879" s="1157">
        <f t="shared" si="1810"/>
        <v>117.30</v>
      </c>
      <c r="AU879" s="1494">
        <f t="shared" si="1810"/>
        <v>117.30</v>
      </c>
      <c r="AV879" s="1157">
        <f>AV907</f>
        <v>102.70</v>
      </c>
      <c r="AW879" s="1157">
        <f t="shared" si="1811" ref="AW879">AW907</f>
        <v>97.20</v>
      </c>
      <c r="AX879" s="1031">
        <f>AX907</f>
        <v>91.80</v>
      </c>
      <c r="AY879" s="1157">
        <f t="shared" si="1812" ref="AY879:AZ879">AY907</f>
        <v>86.299999999999983</v>
      </c>
      <c r="AZ879" s="1494">
        <f t="shared" si="1812"/>
        <v>86.299999999999983</v>
      </c>
      <c r="BA879" s="1157">
        <f t="shared" si="1813" ref="BA879:BJ879">BA907</f>
        <v>80.900000000000006</v>
      </c>
      <c r="BB879" s="1157">
        <f t="shared" si="1813"/>
        <v>77.80</v>
      </c>
      <c r="BC879" s="1157">
        <f>BC907</f>
        <v>74.900000000000006</v>
      </c>
      <c r="BD879" s="1157">
        <f t="shared" si="1813"/>
        <v>74.900000000000006</v>
      </c>
      <c r="BE879" s="1494">
        <f t="shared" si="1813"/>
        <v>74.900000000000006</v>
      </c>
      <c r="BF879" s="1157">
        <f t="shared" si="1814" ref="BF879:BG879">BF907</f>
        <v>0</v>
      </c>
      <c r="BG879" s="1157">
        <f t="shared" si="1814"/>
        <v>0</v>
      </c>
      <c r="BH879" s="1159">
        <f>BH907</f>
        <v>0</v>
      </c>
      <c r="BI879" s="1157">
        <f>BI907</f>
        <v>0</v>
      </c>
      <c r="BJ879" s="1494">
        <f t="shared" si="1813"/>
        <v>0</v>
      </c>
      <c r="BK879" s="1157">
        <f t="shared" si="1815" ref="BK879:BR879">BK907</f>
        <v>0</v>
      </c>
      <c r="BL879" s="1157">
        <f t="shared" si="1815"/>
        <v>0</v>
      </c>
      <c r="BM879" s="1157">
        <f t="shared" si="1815"/>
        <v>0</v>
      </c>
      <c r="BN879" s="1157">
        <f t="shared" si="1815"/>
        <v>0</v>
      </c>
      <c r="BO879" s="1494">
        <f t="shared" si="1815"/>
        <v>0</v>
      </c>
      <c r="BP879" s="1494">
        <f t="shared" si="1815"/>
        <v>0</v>
      </c>
      <c r="BQ879" s="1494">
        <f t="shared" si="1815"/>
        <v>0</v>
      </c>
      <c r="BR879" s="1494">
        <f t="shared" si="1815"/>
        <v>0</v>
      </c>
      <c r="BS879" s="648"/>
    </row>
    <row r="880" spans="1:71" s="668" customFormat="1" ht="15">
      <c r="A880" s="412"/>
      <c r="B880" s="367"/>
      <c r="C880" s="1322"/>
      <c r="D880" s="1322"/>
      <c r="E880" s="1322"/>
      <c r="F880" s="1322"/>
      <c r="G880" s="1322"/>
      <c r="H880" s="1031"/>
      <c r="I880" s="1031"/>
      <c r="J880" s="1031"/>
      <c r="K880" s="1031"/>
      <c r="L880" s="1322"/>
      <c r="M880" s="1031"/>
      <c r="N880" s="1031"/>
      <c r="O880" s="1031"/>
      <c r="P880" s="1031"/>
      <c r="Q880" s="1322"/>
      <c r="R880" s="1031"/>
      <c r="S880" s="1031"/>
      <c r="T880" s="1031"/>
      <c r="U880" s="1031"/>
      <c r="V880" s="1322"/>
      <c r="W880" s="1031"/>
      <c r="X880" s="1031"/>
      <c r="Y880" s="1031"/>
      <c r="Z880" s="1031"/>
      <c r="AA880" s="1322"/>
      <c r="AB880" s="1031"/>
      <c r="AC880" s="1031"/>
      <c r="AD880" s="1031"/>
      <c r="AE880" s="1031"/>
      <c r="AF880" s="1322"/>
      <c r="AG880" s="1031"/>
      <c r="AH880" s="1031"/>
      <c r="AI880" s="1031"/>
      <c r="AJ880" s="1031"/>
      <c r="AK880" s="1322"/>
      <c r="AL880" s="1031"/>
      <c r="AM880" s="1031"/>
      <c r="AN880" s="1031"/>
      <c r="AO880" s="1031"/>
      <c r="AP880" s="1322"/>
      <c r="AQ880" s="1088"/>
      <c r="AR880" s="1088"/>
      <c r="AS880" s="1031"/>
      <c r="AT880" s="1088"/>
      <c r="AU880" s="1372"/>
      <c r="AV880" s="1088"/>
      <c r="AW880" s="1088"/>
      <c r="AX880" s="1031"/>
      <c r="AY880" s="1088"/>
      <c r="AZ880" s="1372"/>
      <c r="BA880" s="1088"/>
      <c r="BB880" s="1088"/>
      <c r="BC880" s="1088"/>
      <c r="BD880" s="1088"/>
      <c r="BE880" s="1372"/>
      <c r="BF880" s="1088"/>
      <c r="BG880" s="1088"/>
      <c r="BH880" s="1156"/>
      <c r="BI880" s="1068"/>
      <c r="BJ880" s="1371"/>
      <c r="BK880" s="1068"/>
      <c r="BL880" s="1068"/>
      <c r="BM880" s="1068"/>
      <c r="BN880" s="1068"/>
      <c r="BO880" s="1371"/>
      <c r="BP880" s="1372"/>
      <c r="BQ880" s="1372"/>
      <c r="BR880" s="1371"/>
      <c r="BS880" s="648"/>
    </row>
    <row r="881" spans="1:71" s="671" customFormat="1" ht="15">
      <c r="A881" s="427" t="s">
        <v>436</v>
      </c>
      <c r="B881" s="322"/>
      <c r="C881" s="1331"/>
      <c r="D881" s="1333">
        <f>IFERROR(-D870/D869,"n/a")</f>
        <v>0.086445438468740241</v>
      </c>
      <c r="E881" s="1333">
        <f>IFERROR(-E870/E869,"n/a")</f>
        <v>0.094895989706197725</v>
      </c>
      <c r="F881" s="1333">
        <f>IFERROR(-F870/F869,"n/a")</f>
        <v>0.10358828047843741</v>
      </c>
      <c r="G881" s="1333">
        <f>IFERROR(-G870/G869,"n/a")</f>
        <v>0.10849309199957159</v>
      </c>
      <c r="H881" s="201">
        <f>IFERROR(-H870/H869*L3/H3,"n/a")</f>
        <v>0.096229229541749062</v>
      </c>
      <c r="I881" s="201">
        <f>IFERROR(-I870/I869*L3/I3,"n/a")</f>
        <v>0.10090803932909197</v>
      </c>
      <c r="J881" s="201">
        <f>IFERROR(-J870/J869*L3/J3,"n/a")</f>
        <v>0.10454752938491381</v>
      </c>
      <c r="K881" s="201">
        <f>IFERROR(-K870/K869*L3/K3,"n/a")</f>
        <v>0.10521488469601677</v>
      </c>
      <c r="L881" s="1333">
        <f>IFERROR(-L870/L869,"n/a")</f>
        <v>0.10105109792902486</v>
      </c>
      <c r="M881" s="201">
        <f>IFERROR(-M870/M869*Q3/M3,"n/a")</f>
        <v>0.10048118074351679</v>
      </c>
      <c r="N881" s="201">
        <f>IFERROR(-N870/N869*Q3/N3,"n/a")</f>
        <v>0.10849568186382809</v>
      </c>
      <c r="O881" s="201">
        <f>IFERROR(-O870/O869*Q3/O3,"n/a")</f>
        <v>0.10279628072900439</v>
      </c>
      <c r="P881" s="201">
        <f>IFERROR(-P870/P869*Q3/P3,"n/a")</f>
        <v>0.10692315203593403</v>
      </c>
      <c r="Q881" s="1333">
        <f>IFERROR(-Q870/Q869,"n/a")</f>
        <v>0.10795336248178222</v>
      </c>
      <c r="R881" s="201">
        <f>IFERROR(-R870/R869*V3/R3,"n/a")</f>
        <v>0.10663748130003432</v>
      </c>
      <c r="S881" s="201">
        <f>IFERROR(-S870/S869*V3/S3,"n/a")</f>
        <v>0.11589841554998348</v>
      </c>
      <c r="T881" s="201">
        <f>IFERROR(-T870/T869*V3/T3,"n/a")</f>
        <v>0.13399143834929444</v>
      </c>
      <c r="U881" s="201">
        <f>IFERROR(-U870/U869*V3/U3,"n/a")</f>
        <v>0.15270813023981286</v>
      </c>
      <c r="V881" s="1333">
        <f>IFERROR(-V870/V869,"n/a")</f>
        <v>0.13247204010798302</v>
      </c>
      <c r="W881" s="201">
        <f>IFERROR(-W870/W869*AA3/W3,"n/a")</f>
        <v>0.14126053672396383</v>
      </c>
      <c r="X881" s="201">
        <f>IFERROR(-X870/X869*AA3/X3,"n/a")</f>
        <v>0.1479181196162328</v>
      </c>
      <c r="Y881" s="201">
        <f>IFERROR(-Y870/Y869*AA3/Y3,"n/a")</f>
        <v>0.14704245177992553</v>
      </c>
      <c r="Z881" s="201">
        <f>IFERROR(-Z870/Z869*AA3/Z3,"n/a")</f>
        <v>0.15175429816524358</v>
      </c>
      <c r="AA881" s="1333">
        <f>IFERROR(-AA870/AA869,"n/a")</f>
        <v>0.14433777928808089</v>
      </c>
      <c r="AB881" s="201">
        <f>IFERROR(-AB870/AB869*AF3/AB3,"n/a")</f>
        <v>0.14815311023778335</v>
      </c>
      <c r="AC881" s="201">
        <f>IFERROR(-AC870/AC869*AF3/AC3,"n/a")</f>
        <v>0.16484010593722823</v>
      </c>
      <c r="AD881" s="201">
        <f>IFERROR(-AD870/AD869*AF3/AD3,"n/a")</f>
        <v>0.18195130310158431</v>
      </c>
      <c r="AE881" s="201">
        <f>IFERROR(-AE870/AE869*AF3/AE3,"n/a")</f>
        <v>0.183169299226451</v>
      </c>
      <c r="AF881" s="1333">
        <f>IFERROR(-AF870/AF869,"n/a")</f>
        <v>0.1700607359771347</v>
      </c>
      <c r="AG881" s="201">
        <f>IFERROR(-AG870/AG869*AK3/AG3,"n/a")</f>
        <v>0.18849714785033328</v>
      </c>
      <c r="AH881" s="201">
        <f>IFERROR(-AH870/AH869*AK3/AH3,"n/a")</f>
        <v>0.22059905853039891</v>
      </c>
      <c r="AI881" s="201">
        <f>IFERROR(-AI870/AI869*AK3/AI3,"n/a")</f>
        <v>0.19045099120369172</v>
      </c>
      <c r="AJ881" s="201">
        <f>IFERROR(-AJ870/AJ869*AK3/AJ3,"n/a")</f>
        <v>0.22480359227403265</v>
      </c>
      <c r="AK881" s="1333">
        <f>IFERROR(-AK870/AK869,"n/a")</f>
        <v>0.21189361138110807</v>
      </c>
      <c r="AL881" s="201">
        <f>IFERROR(-AL870/AL869*AP3/AL3,"n/a")</f>
        <v>0.20744485801748716</v>
      </c>
      <c r="AM881" s="201">
        <f>IFERROR(-AM870/AM869*AP3/AM3,"n/a")</f>
        <v>0.2240868340777814</v>
      </c>
      <c r="AN881" s="201">
        <f>IFERROR(-AN870/AN869*AP3/AN3,"n/a")</f>
        <v>0.23706395667521751</v>
      </c>
      <c r="AO881" s="201">
        <f>IFERROR(-AO870/AO869*AP3/AO3,"n/a")</f>
        <v>0.24813627800182508</v>
      </c>
      <c r="AP881" s="1333">
        <f>IFERROR(-AP870/AP869,"n/a")</f>
        <v>0.22649748702315231</v>
      </c>
      <c r="AQ881" s="201">
        <f>IFERROR(-AQ870/AQ869*AU3/AQ3,"n/a")</f>
        <v>0.23064597146875626</v>
      </c>
      <c r="AR881" s="201">
        <f>IFERROR(-AR870/AR869,"n/a")*(AU3/AR3)</f>
        <v>0.2475689337579072</v>
      </c>
      <c r="AS881" s="201">
        <f>IFERROR(-AS870/AS869*AU3/AS3,"n/a")</f>
        <v>0.27206429692002304</v>
      </c>
      <c r="AT881" s="201">
        <f>IFERROR(-AT870/AT869*AU3/AT3,"n/a")</f>
        <v>0.2590252031606935</v>
      </c>
      <c r="AU881" s="1333">
        <f>AVERAGE(AQ881,AR881,AS881,AT881)</f>
        <v>0.25232610132684496</v>
      </c>
      <c r="AV881" s="201">
        <f>IFERROR(-AV870/AV869*AZ3/AV3,"n/a")</f>
        <v>0.25353908379495294</v>
      </c>
      <c r="AW881" s="201">
        <f>IFERROR(-AW870/AW869,"n/a")*(AZ3/AW3)</f>
        <v>0.28509836776769043</v>
      </c>
      <c r="AX881" s="201">
        <f>IFERROR(-AX870/AX869*AZ3/AX3,"n/a")</f>
        <v>0.27479308491926352</v>
      </c>
      <c r="AY881" s="201">
        <f>IFERROR(-AY870/AY869*AZ3/AY3,"n/a")</f>
        <v>0.29036946946824604</v>
      </c>
      <c r="AZ881" s="1333">
        <f>AVERAGE(AV881,AW881,AX881,AY881)</f>
        <v>0.27595000148753823</v>
      </c>
      <c r="BA881" s="201">
        <f>IFERROR(-BA870/BA869*BE3/BA3,"n/a")</f>
        <v>0.26670964968837307</v>
      </c>
      <c r="BB881" s="201">
        <f>IFERROR(-BB870/BB869,"n/a")*(BE3/BB3)</f>
        <v>0.30684699915469144</v>
      </c>
      <c r="BC881" s="201">
        <f>IFERROR(-BC870/BC869*BE3/BC3,"n/a")</f>
        <v>0.28642238536949927</v>
      </c>
      <c r="BD881" s="201">
        <f>IFERROR(-BD870/BD869*BE3/BD3,"n/a")</f>
        <v>0.31702898550724645</v>
      </c>
      <c r="BE881" s="1333">
        <f>AVERAGE(BA881,BB881,BC881,BD881)</f>
        <v>0.29425200492995257</v>
      </c>
      <c r="BF881" s="201">
        <f>IFERROR(-BF870/BF869*BJ3/BF3,"n/a")</f>
        <v>0.31826960505434621</v>
      </c>
      <c r="BG881" s="201">
        <f>IFERROR(-BG870/BG869,"n/a")*(BJ3/BG3)</f>
        <v>0.36055812493733952</v>
      </c>
      <c r="BH881" s="824">
        <f>IFERROR(-BH870/BH869*BJ3/BH3,"n/a")</f>
        <v>0.39420188294080005</v>
      </c>
      <c r="BI881" s="1291">
        <v>0.265</v>
      </c>
      <c r="BJ881" s="1332">
        <f>AVERAGE(BF881,BG881,BH881,BI881)</f>
        <v>0.33450740323312145</v>
      </c>
      <c r="BK881" s="1291">
        <v>0.265</v>
      </c>
      <c r="BL881" s="1291">
        <v>0.265</v>
      </c>
      <c r="BM881" s="1291">
        <v>0.265</v>
      </c>
      <c r="BN881" s="1291">
        <v>0.265</v>
      </c>
      <c r="BO881" s="1332">
        <f>AVERAGE(BK881,BL881,BM881,BN881)</f>
        <v>0.265</v>
      </c>
      <c r="BP881" s="1423">
        <v>0.265</v>
      </c>
      <c r="BQ881" s="1423">
        <v>0.265</v>
      </c>
      <c r="BR881" s="1424">
        <v>0.265</v>
      </c>
      <c r="BS881" s="648"/>
    </row>
    <row r="882" spans="1:71" s="671" customFormat="1" ht="15">
      <c r="A882" s="427" t="s">
        <v>437</v>
      </c>
      <c r="B882" s="322"/>
      <c r="C882" s="1331"/>
      <c r="D882" s="1333" t="str">
        <f>IFERROR(-D876/D875,"n/a")</f>
        <v>n/a</v>
      </c>
      <c r="E882" s="1333" t="str">
        <f>IFERROR(-E876/E875,"n/a")</f>
        <v>n/a</v>
      </c>
      <c r="F882" s="1333" t="str">
        <f>IFERROR(-F876/F875,"n/a")</f>
        <v>n/a</v>
      </c>
      <c r="G882" s="1333" t="str">
        <f>IFERROR(-G876/G875,"n/a")</f>
        <v>n/a</v>
      </c>
      <c r="H882" s="201" t="str">
        <f>IFERROR(-H876/H875*L3/H3,"n/a")</f>
        <v>n/a</v>
      </c>
      <c r="I882" s="201" t="str">
        <f>IFERROR(-I876/I875*L3/I3,"n/a")</f>
        <v>n/a</v>
      </c>
      <c r="J882" s="201">
        <f>IFERROR(-J876/J875*L3/J3,"n/a")</f>
        <v>0</v>
      </c>
      <c r="K882" s="201">
        <f>IFERROR(-K876/K875*L3/K3,"n/a")</f>
        <v>0</v>
      </c>
      <c r="L882" s="1333" t="str">
        <f>IFERROR(-L876/L875,"n/a")</f>
        <v>n/a</v>
      </c>
      <c r="M882" s="201">
        <f>IFERROR(-M876/M875*Q3/M3,"n/a")</f>
        <v>0</v>
      </c>
      <c r="N882" s="201">
        <f>IFERROR(-N876/N875*Q3/N3,"n/a")</f>
        <v>5.5727900418165905</v>
      </c>
      <c r="O882" s="201">
        <f>IFERROR(-O876/O875*Q3/O3,"n/a")</f>
        <v>0.11690981980492643</v>
      </c>
      <c r="P882" s="201">
        <f>IFERROR(-P876/P875*Q3/P3,"n/a")</f>
        <v>0.12123663927096195</v>
      </c>
      <c r="Q882" s="1333">
        <f>IFERROR(-Q876/Q875,"n/a")</f>
        <v>4.1415929203539816</v>
      </c>
      <c r="R882" s="201">
        <f>IFERROR(-R876/R875*V3/R3,"n/a")</f>
        <v>0.12596617365257495</v>
      </c>
      <c r="S882" s="201">
        <f>IFERROR(-S876/S875*V3/S3,"n/a")</f>
        <v>0.1308778830681209</v>
      </c>
      <c r="T882" s="201">
        <f>IFERROR(-T876/T875*V3/T3,"n/a")</f>
        <v>0.13295179706395185</v>
      </c>
      <c r="U882" s="201">
        <f>IFERROR(-U876/U875*V3/U3,"n/a")</f>
        <v>0.13754861360308021</v>
      </c>
      <c r="V882" s="1333">
        <f>IFERROR(-V876/V875,"n/a")</f>
        <v>0.12547989492826833</v>
      </c>
      <c r="W882" s="201">
        <f>IFERROR(-W876/W875*AA3/W3,"n/a")</f>
        <v>0.14524286301088521</v>
      </c>
      <c r="X882" s="201">
        <f>IFERROR(-X876/X875*AA3/X3,"n/a")</f>
        <v>0.14898233805494768</v>
      </c>
      <c r="Y882" s="201">
        <f>IFERROR(-Y876/Y875*AA3/Y3,"n/a")</f>
        <v>0.16983357499945897</v>
      </c>
      <c r="Z882" s="201">
        <f>IFERROR(-Z876/Z875*AA3/Z3,"n/a")</f>
        <v>0.18568134029709013</v>
      </c>
      <c r="AA882" s="1333">
        <f>IFERROR(-AA876/AA875,"n/a")</f>
        <v>0.15295748613678373</v>
      </c>
      <c r="AB882" s="201">
        <f>IFERROR(-AB876/AB875*AF3/AB3,"n/a")</f>
        <v>0.19912711402073105</v>
      </c>
      <c r="AC882" s="201">
        <f>IFERROR(-AC876/AC875*AF3/AC3,"n/a")</f>
        <v>0.20710786631612793</v>
      </c>
      <c r="AD882" s="201">
        <f>IFERROR(-AD876/AD875*AF3/AD3,"n/a")</f>
        <v>0.2160104158447092</v>
      </c>
      <c r="AE882" s="201">
        <f>IFERROR(-AE876/AE875*AF3/AE3,"n/a")</f>
        <v>0.2284486355670533</v>
      </c>
      <c r="AF882" s="1333">
        <f>IFERROR(-AF876/AF875,"n/a")</f>
        <v>0.19639934533551553</v>
      </c>
      <c r="AG882" s="201">
        <f>IFERROR(-AG876/AG875*AK3/AG3,"n/a")</f>
        <v>0.24641698725201774</v>
      </c>
      <c r="AH882" s="201">
        <f>IFERROR(-AH876/AH875*AK3/AH3,"n/a")</f>
        <v>0.26092447487460141</v>
      </c>
      <c r="AI882" s="201">
        <f>IFERROR(-AI876/AI875*AK3/AI3,"n/a")</f>
        <v>0.24230685198568097</v>
      </c>
      <c r="AJ882" s="201">
        <f>IFERROR(-AJ876/AJ875*AK3/AJ3,"n/a")</f>
        <v>0.23846814756475193</v>
      </c>
      <c r="AK882" s="1333">
        <f>IFERROR(-AK876/AK875,"n/a")</f>
        <v>0.22505091649694497</v>
      </c>
      <c r="AL882" s="201">
        <f>IFERROR(-AL876/AL875*AP3/AL3,"n/a")</f>
        <v>0.25544757476426333</v>
      </c>
      <c r="AM882" s="201">
        <f>IFERROR(-AM876/AM875*AP3/AM3,"n/a")</f>
        <v>0.26524738124363945</v>
      </c>
      <c r="AN882" s="201">
        <f>IFERROR(-AN876/AN875*AP3/AN3,"n/a")</f>
        <v>0.28288084300363581</v>
      </c>
      <c r="AO882" s="201">
        <f>IFERROR(-AO876/AO875*AP3/AO3,"n/a")</f>
        <v>0.30239071838743703</v>
      </c>
      <c r="AP882" s="1333">
        <f>IFERROR(-AP876/AP875,"n/a")</f>
        <v>0.24923346473937799</v>
      </c>
      <c r="AQ882" s="201">
        <f>IFERROR(-AQ876/AQ875*AU3/AQ3,"n/a")</f>
        <v>0.26935869452239891</v>
      </c>
      <c r="AR882" s="201">
        <f>IFERROR(-AR876/AR875*AU3/AR3,"n/a")</f>
        <v>0.36486732097419128</v>
      </c>
      <c r="AS882" s="201">
        <f>IFERROR(-AS876/AS875*AU3/AS3,"n/a")</f>
        <v>0.39538507196913492</v>
      </c>
      <c r="AT882" s="201">
        <f>IFERROR(-AT876/AT875*AU3/AT3,"n/a")</f>
        <v>0.43915021261166232</v>
      </c>
      <c r="AU882" s="1333">
        <f>AVERAGE(AQ882,AR882,AS882,AT882)</f>
        <v>0.3671903250193469</v>
      </c>
      <c r="AV882" s="201">
        <f>IFERROR(-AV876/AV875*AZ3/AV3,"n/a")</f>
        <v>0.37666101215719539</v>
      </c>
      <c r="AW882" s="201">
        <f>IFERROR(-AW876/AW875*AZ3/AW3,"n/a")</f>
        <v>0.21480466952716229</v>
      </c>
      <c r="AX882" s="201">
        <f>IFERROR(-AX876/AX875*AZ3/AX3,"n/a")</f>
        <v>0.2204106280193236</v>
      </c>
      <c r="AY882" s="201">
        <f>IFERROR(-AY876/AY875*AZ3/AY3,"n/a")</f>
        <v>0.23769773609927064</v>
      </c>
      <c r="AZ882" s="1333">
        <f>AVERAGE(AV882,AW882,AX882,AY882)</f>
        <v>0.26239351145073797</v>
      </c>
      <c r="BA882" s="201">
        <f>IFERROR(-BA876/BA875*BE3/BA3,"n/a")</f>
        <v>0.25376593279258403</v>
      </c>
      <c r="BB882" s="201">
        <f>IFERROR(-BB876/BB875*BE3/BB3,"n/a")</f>
        <v>0.15369673589698307</v>
      </c>
      <c r="BC882" s="201">
        <f>IFERROR(-BC876/BC875*BE3/BC3,"n/a")</f>
        <v>0.14788476584329946</v>
      </c>
      <c r="BD882" s="201">
        <f>IFERROR(-BD876/BD875*BE3/BD3,"n/a")</f>
        <v>0.14831369362047941</v>
      </c>
      <c r="BE882" s="1333">
        <f>AVERAGE(BA882,BB882,BC882,BD882)</f>
        <v>0.17591528203833651</v>
      </c>
      <c r="BF882" s="201">
        <f>IFERROR(-BF876/BF875*BJ3/BF3,"n/a")</f>
        <v>0</v>
      </c>
      <c r="BG882" s="201" t="str">
        <f>IFERROR(-BG876/BG875*BJ3/BG3,"n/a")</f>
        <v>n/a</v>
      </c>
      <c r="BH882" s="824" t="str">
        <f>IFERROR(-BH876/BH875*BJ3/BH3,"n/a")</f>
        <v>n/a</v>
      </c>
      <c r="BI882" s="1291">
        <v>0.70</v>
      </c>
      <c r="BJ882" s="1332">
        <f>AVERAGE(BF882,BG882,BH882,BI882)</f>
        <v>0.35</v>
      </c>
      <c r="BK882" s="1291">
        <v>0.49099999999999999</v>
      </c>
      <c r="BL882" s="1291">
        <v>0.55000000000000004</v>
      </c>
      <c r="BM882" s="1291">
        <v>0.60</v>
      </c>
      <c r="BN882" s="1291">
        <v>0.70</v>
      </c>
      <c r="BO882" s="1332">
        <f>AVERAGE(BK882,BL882,BM882,BN882)</f>
        <v>0.58525000000000005</v>
      </c>
      <c r="BP882" s="1423">
        <v>0.65</v>
      </c>
      <c r="BQ882" s="1423">
        <v>0.65</v>
      </c>
      <c r="BR882" s="1424">
        <v>0.65</v>
      </c>
      <c r="BS882" s="648"/>
    </row>
    <row r="883" spans="1:71" s="697" customFormat="1" ht="15">
      <c r="A883" s="906" t="s">
        <v>438</v>
      </c>
      <c r="B883" s="438"/>
      <c r="C883" s="1495"/>
      <c r="D883" s="1496">
        <f>IFERROR(-D869/D870,"n/a")</f>
        <v>11.567990373044525</v>
      </c>
      <c r="E883" s="1496">
        <f>IFERROR(-E869/E870,"n/a")</f>
        <v>10.537853107344633</v>
      </c>
      <c r="F883" s="1496">
        <f>IFERROR(-F869/F870,"n/a")</f>
        <v>9.6536016949152526</v>
      </c>
      <c r="G883" s="1496">
        <f>IFERROR(-G869/G870,"n/a")</f>
        <v>9.2171767028627851</v>
      </c>
      <c r="H883" s="368">
        <f>IFERROR(-H869/H870*H3/L3,"n/a")</f>
        <v>10.391852919971159</v>
      </c>
      <c r="I883" s="368">
        <f>IFERROR(-I869/I870*I3/L3,"n/a")</f>
        <v>9.9100131827821389</v>
      </c>
      <c r="J883" s="368">
        <f>IFERROR(-J869/J870*J3/L3,"n/a")</f>
        <v>9.5650275609889235</v>
      </c>
      <c r="K883" s="368">
        <f>IFERROR(-K869/K870*K3/L3,"n/a")</f>
        <v>9.5043586550435872</v>
      </c>
      <c r="L883" s="1496">
        <f>IFERROR(-L869/L870,"n/a")</f>
        <v>9.8959835221421226</v>
      </c>
      <c r="M883" s="368">
        <f>IFERROR(-M869/M870*M3/Q3,"n/a")</f>
        <v>9.9521123517900314</v>
      </c>
      <c r="N883" s="368">
        <f>IFERROR(-N869/N870*N3/Q3,"n/a")</f>
        <v>9.2169566827101068</v>
      </c>
      <c r="O883" s="368">
        <f>IFERROR(-O869/O870*O3/Q3,"n/a")</f>
        <v>9.7279784142797876</v>
      </c>
      <c r="P883" s="368">
        <f>IFERROR(-P869/P870*P3/Q3,"n/a")</f>
        <v>9.352511415525111</v>
      </c>
      <c r="Q883" s="1496">
        <f>IFERROR(-Q869/Q870,"n/a")</f>
        <v>9.2632594021215038</v>
      </c>
      <c r="R883" s="368">
        <f>IFERROR(-R869/R870*R3/V3,"n/a")</f>
        <v>9.3775658221559866</v>
      </c>
      <c r="S883" s="368">
        <f>IFERROR(-S869/S870*S3/V3,"n/a")</f>
        <v>8.6282456516304151</v>
      </c>
      <c r="T883" s="368">
        <f>IFERROR(-T869/T870*T3/V3,"n/a")</f>
        <v>7.4631634104349143</v>
      </c>
      <c r="U883" s="368">
        <f>IFERROR(-U869/U870*U3/V3,"n/a")</f>
        <v>6.5484398141055093</v>
      </c>
      <c r="V883" s="1496">
        <f>IFERROR(-V869/V870,"n/a")</f>
        <v>7.5487627365356627</v>
      </c>
      <c r="W883" s="368">
        <f>IFERROR(-W869/W870*W3/AA3,"n/a")</f>
        <v>7.0791179418643493</v>
      </c>
      <c r="X883" s="368">
        <f>IFERROR(-X869/X870*X3/AA3,"n/a")</f>
        <v>6.7604969735584568</v>
      </c>
      <c r="Y883" s="368">
        <f>IFERROR(-Y869/Y870*Y3/AA3,"n/a")</f>
        <v>6.8007571139841509</v>
      </c>
      <c r="Z883" s="368">
        <f>IFERROR(-Z869/Z870*Z3/AA3,"n/a")</f>
        <v>6.5895991882293261</v>
      </c>
      <c r="AA883" s="1496">
        <f>IFERROR(-AA869/AA870,"n/a")</f>
        <v>6.9281930547380801</v>
      </c>
      <c r="AB883" s="368">
        <f>IFERROR(-AB869/AB870*AB3/AF3,"n/a")</f>
        <v>6.7497739223632642</v>
      </c>
      <c r="AC883" s="368">
        <f>IFERROR(-AC869/AC870*AC3/AF3,"n/a")</f>
        <v>6.066484817601391</v>
      </c>
      <c r="AD883" s="368">
        <f>IFERROR(-AD869/AD870*AD3/AF3,"n/a")</f>
        <v>5.4959760273972584</v>
      </c>
      <c r="AE883" s="368">
        <f>IFERROR(-AE869/AE870*AE3/AF3,"n/a")</f>
        <v>5.459430178655138</v>
      </c>
      <c r="AF883" s="1496">
        <f>IFERROR(-AF869/AF870,"n/a")</f>
        <v>5.8802521008403357</v>
      </c>
      <c r="AG883" s="368">
        <f>IFERROR(-AG869/AG870*AG3/AK3,"n/a")</f>
        <v>5.3051200583363709</v>
      </c>
      <c r="AH883" s="368">
        <f>IFERROR(-AH869/AH870*AH3/AK3,"n/a")</f>
        <v>4.5331109147149808</v>
      </c>
      <c r="AI883" s="368">
        <f>IFERROR(-AI869/AI870*AI3/AK3,"n/a")</f>
        <v>5.2506946468473714</v>
      </c>
      <c r="AJ883" s="368">
        <f>IFERROR(-AJ869/AJ870*AJ3/AK3,"n/a")</f>
        <v>4.448327492832111</v>
      </c>
      <c r="AK883" s="1496">
        <f>IFERROR(-AK869/AK870,"n/a")</f>
        <v>4.7193494578815676</v>
      </c>
      <c r="AL883" s="368">
        <f>IFERROR(-AL869/AL870*AL3/AP3,"n/a")</f>
        <v>4.8205581452190156</v>
      </c>
      <c r="AM883" s="368">
        <f>IFERROR(-AM869/AM870*AM3/AP3,"n/a")</f>
        <v>4.4625557950133574</v>
      </c>
      <c r="AN883" s="368">
        <f>IFERROR(-AN869/AN870*AN3/AP3,"n/a")</f>
        <v>4.218270942680757</v>
      </c>
      <c r="AO883" s="368">
        <f>IFERROR(-AO869/AO870*AO3/AP3,"n/a")</f>
        <v>4.0300435230701934</v>
      </c>
      <c r="AP883" s="1496">
        <f>IFERROR(-AP869/AP870,"n/a")</f>
        <v>4.4150600218261191</v>
      </c>
      <c r="AQ883" s="368">
        <f>IFERROR(-AQ869/AQ870*AQ3/AU3,"n/a")</f>
        <v>4.3356491059956008</v>
      </c>
      <c r="AR883" s="368">
        <f>IFERROR(-AR869/AR870*AR3/AU3,"n/a")</f>
        <v>4.0392790194664743</v>
      </c>
      <c r="AS883" s="368">
        <f>IFERROR(-AS869/AS870*AS3/AU3,"n/a")</f>
        <v>3.6756017284177624</v>
      </c>
      <c r="AT883" s="368">
        <f>IFERROR(-AT869/AT870*AT3/AU3,"n/a")</f>
        <v>3.860628185202589</v>
      </c>
      <c r="AU883" s="1496">
        <f>IFERROR(-AU869/AU870,"n/a")</f>
        <v>3.9542366821594568</v>
      </c>
      <c r="AV883" s="368">
        <f>IFERROR(-AV869/AV870*AV3/AZ3,"n/a")</f>
        <v>3.94416507716317</v>
      </c>
      <c r="AW883" s="368">
        <f>IFERROR(-AW869/AW870*AW3/AZ3,"n/a")</f>
        <v>3.507561294825932</v>
      </c>
      <c r="AX883" s="368">
        <f>IFERROR(-AX869/AX870*AX3/AZ3,"n/a")</f>
        <v>3.6391017637645735</v>
      </c>
      <c r="AY883" s="368">
        <f>IFERROR(-AY869/AY870*AY3/AZ3,"n/a")</f>
        <v>3.4438882360163463</v>
      </c>
      <c r="AZ883" s="1496">
        <f>IFERROR(-AZ869/AZ870,"n/a")</f>
        <v>3.7215314136125652</v>
      </c>
      <c r="BA883" s="368">
        <f>IFERROR(-BA869/BA870*BA3/BE3,"n/a")</f>
        <v>3.749395648670427</v>
      </c>
      <c r="BB883" s="368">
        <f>IFERROR(-BB869/BB870*BB3/BE3,"n/a")</f>
        <v>3.2589531680440778</v>
      </c>
      <c r="BC883" s="368">
        <f>IFERROR(-BC869/BC870*BC3/BE3,"n/a")</f>
        <v>3.4913472238210352</v>
      </c>
      <c r="BD883" s="368">
        <f>IFERROR(-BD869/BD870*BD3/BE3,"n/a")</f>
        <v>3.1542857142857144</v>
      </c>
      <c r="BE883" s="1496">
        <f>IFERROR(-BE869/BE870,"n/a")</f>
        <v>3.6217162872154116</v>
      </c>
      <c r="BF883" s="368">
        <f>IFERROR(-BF869/BF870*BF3/BJ3,"n/a")</f>
        <v>3.1419902627184415</v>
      </c>
      <c r="BG883" s="368">
        <f>IFERROR(-BG869/BG870*BG3/BJ3,"n/a")</f>
        <v>2.7734779244644328</v>
      </c>
      <c r="BH883" s="866">
        <f>IFERROR(-BH869/BH870*BH3/BJ3,"n/a")</f>
        <v>2.5367712415269636</v>
      </c>
      <c r="BI883" s="365">
        <f>IFERROR(-BI869/BI870*BI3/BJ3,"n/a")</f>
        <v>3.773584905660377</v>
      </c>
      <c r="BJ883" s="1497">
        <f>IFERROR(-BJ869/BJ870,"n/a")</f>
        <v>3.4665924770488776</v>
      </c>
      <c r="BK883" s="365">
        <f>IFERROR(-BK869/BK870*BK3/BO3,"n/a")</f>
        <v>3.773584905660377</v>
      </c>
      <c r="BL883" s="365">
        <f>IFERROR(-BL869/BL870*BL3/BO3,"n/a")</f>
        <v>3.773584905660377</v>
      </c>
      <c r="BM883" s="365">
        <f>IFERROR(-BM869/BM870*BM3/BO3,"n/a")</f>
        <v>3.7735849056603774</v>
      </c>
      <c r="BN883" s="365">
        <f>IFERROR(-BN869/BN870*BN3/BO3,"n/a")</f>
        <v>3.7735849056603774</v>
      </c>
      <c r="BO883" s="1497">
        <f>IFERROR(-BO869/BO870,"n/a")</f>
        <v>3.6371747000128156</v>
      </c>
      <c r="BP883" s="1496">
        <f>IFERROR(-BP869/BP870,"n/a")</f>
        <v>3.773584905660377</v>
      </c>
      <c r="BQ883" s="1496">
        <f>IFERROR(-BQ869/BQ870,"n/a")</f>
        <v>3.773584905660377</v>
      </c>
      <c r="BR883" s="1497">
        <f>IFERROR(-BR869/BR870,"n/a")</f>
        <v>3.773584905660377</v>
      </c>
      <c r="BS883" s="648"/>
    </row>
    <row r="884" spans="1:71" s="697" customFormat="1" ht="15">
      <c r="A884" s="906" t="s">
        <v>439</v>
      </c>
      <c r="B884" s="438"/>
      <c r="C884" s="1495"/>
      <c r="D884" s="1496" t="str">
        <f>IFERROR(-D875/D876,"n/a")</f>
        <v>n/a</v>
      </c>
      <c r="E884" s="1496" t="str">
        <f>IFERROR(-E875/E876,"n/a")</f>
        <v>n/a</v>
      </c>
      <c r="F884" s="1496" t="str">
        <f>IFERROR(-F875/F876,"n/a")</f>
        <v>n/a</v>
      </c>
      <c r="G884" s="1496" t="str">
        <f>IFERROR(-G875/G876,"n/a")</f>
        <v>n/a</v>
      </c>
      <c r="H884" s="368" t="str">
        <f>IFERROR(-H875/H876*H3/L3,"n/a")</f>
        <v>n/a</v>
      </c>
      <c r="I884" s="368" t="str">
        <f>IFERROR(-I875/I876*I3/L3,"n/a")</f>
        <v>n/a</v>
      </c>
      <c r="J884" s="368" t="str">
        <f>IFERROR(-J875/J876*J3/L3,"n/a")</f>
        <v>n/a</v>
      </c>
      <c r="K884" s="368" t="str">
        <f>IFERROR(-K875/K876*K3/L3,"n/a")</f>
        <v>n/a</v>
      </c>
      <c r="L884" s="1496" t="str">
        <f>IFERROR(-L875/L876,"n/a")</f>
        <v>n/a</v>
      </c>
      <c r="M884" s="368" t="str">
        <f>IFERROR(-M875/M876*M3/Q3,"n/a")</f>
        <v>n/a</v>
      </c>
      <c r="N884" s="368">
        <f>IFERROR(-N875/N876*N3/Q3,"n/a")</f>
        <v>0.17944332955239511</v>
      </c>
      <c r="O884" s="368">
        <f>IFERROR(-O875/O876*O3/Q3,"n/a")</f>
        <v>8.5536014140521424</v>
      </c>
      <c r="P884" s="368">
        <f>IFERROR(-P875/P876*P3/Q3,"n/a")</f>
        <v>8.2483315770987016</v>
      </c>
      <c r="Q884" s="1496">
        <f>IFERROR(-Q875/Q876,"n/a")</f>
        <v>0.24145299145299148</v>
      </c>
      <c r="R884" s="368">
        <f>IFERROR(-R875/R876*R3/V3,"n/a")</f>
        <v>7.9386391679887174</v>
      </c>
      <c r="S884" s="368">
        <f>IFERROR(-S875/S876*S3/V3,"n/a")</f>
        <v>7.6407103825136602</v>
      </c>
      <c r="T884" s="368">
        <f>IFERROR(-T875/T876*T3/V3,"n/a")</f>
        <v>7.5215230037017458</v>
      </c>
      <c r="U884" s="368">
        <f>IFERROR(-U875/U876*U3/V3,"n/a")</f>
        <v>7.2701568834831658</v>
      </c>
      <c r="V884" s="1496">
        <f>IFERROR(-V875/V876,"n/a")</f>
        <v>7.969404186795491</v>
      </c>
      <c r="W884" s="368">
        <f>IFERROR(-W875/W876*W3/AA3,"n/a")</f>
        <v>6.8850198851082629</v>
      </c>
      <c r="X884" s="368">
        <f>IFERROR(-X875/X876*X3/AA3,"n/a")</f>
        <v>6.7122050375607598</v>
      </c>
      <c r="Y884" s="368">
        <f>IFERROR(-Y875/Y876*Y3/AA3,"n/a")</f>
        <v>5.8881172347881483</v>
      </c>
      <c r="Z884" s="368">
        <f>IFERROR(-Z875/Z876*Z3/AA3,"n/a")</f>
        <v>5.3855707762557081</v>
      </c>
      <c r="AA884" s="1496">
        <f>IFERROR(-AA875/AA876,"n/a")</f>
        <v>6.5377643504531724</v>
      </c>
      <c r="AB884" s="368">
        <f>IFERROR(-AB875/AB876*AB3/AF3,"n/a")</f>
        <v>5.021917808219178</v>
      </c>
      <c r="AC884" s="368">
        <f>IFERROR(-AC875/AC876*AC3/AF3,"n/a")</f>
        <v>4.8284018264840185</v>
      </c>
      <c r="AD884" s="368">
        <f>IFERROR(-AD875/AD876*AD3/AF3,"n/a")</f>
        <v>4.6294063926940643</v>
      </c>
      <c r="AE884" s="368">
        <f>IFERROR(-AE875/AE876*AE3/AF3,"n/a")</f>
        <v>4.377351598173516</v>
      </c>
      <c r="AF884" s="1496">
        <f>IFERROR(-AF875/AF876,"n/a")</f>
        <v>5.0916666666666668</v>
      </c>
      <c r="AG884" s="368">
        <f>IFERROR(-AG875/AG876*AG3/AK3,"n/a")</f>
        <v>4.0581617815872058</v>
      </c>
      <c r="AH884" s="368">
        <f>IFERROR(-AH875/AH876*AH3/AK3,"n/a")</f>
        <v>3.8325266362252663</v>
      </c>
      <c r="AI884" s="368">
        <f>IFERROR(-AI875/AI876*AI3/AK3,"n/a")</f>
        <v>4.1269984393965657</v>
      </c>
      <c r="AJ884" s="368">
        <f>IFERROR(-AJ875/AJ876*AJ3/AK3,"n/a")</f>
        <v>4.193432163632953</v>
      </c>
      <c r="AK884" s="1496">
        <f>IFERROR(-AK875/AK876,"n/a")</f>
        <v>4.4434389140271495</v>
      </c>
      <c r="AL884" s="368">
        <f>IFERROR(-AL875/AL876*AL3/AP3,"n/a")</f>
        <v>3.9146975692481627</v>
      </c>
      <c r="AM884" s="368">
        <f>IFERROR(-AM875/AM876*AM3/AP3,"n/a")</f>
        <v>3.7700654962601248</v>
      </c>
      <c r="AN884" s="368">
        <f>IFERROR(-AN875/AN876*AN3/AP3,"n/a")</f>
        <v>3.5350573385669217</v>
      </c>
      <c r="AO884" s="368">
        <f>IFERROR(-AO875/AO876*AO3/AP3,"n/a")</f>
        <v>3.3069798085493933</v>
      </c>
      <c r="AP884" s="1496">
        <f>IFERROR(-AP875/AP876,"n/a")</f>
        <v>4.0123022847100183</v>
      </c>
      <c r="AQ884" s="368">
        <f>IFERROR(-AQ875/AQ876*AQ3/AU3,"n/a")</f>
        <v>3.7125217055759219</v>
      </c>
      <c r="AR884" s="368">
        <f>IFERROR(-AR875/AR876*AR3/AU3,"n/a")</f>
        <v>2.7407222914072227</v>
      </c>
      <c r="AS884" s="368">
        <f>IFERROR(-AS875/AS876*AS3/AU3,"n/a")</f>
        <v>2.5291799587164565</v>
      </c>
      <c r="AT884" s="368">
        <f>IFERROR(-AT875/AT876*AT3/AU3,"n/a")</f>
        <v>2.2771251641959087</v>
      </c>
      <c r="AU884" s="1496">
        <f>IFERROR(-AU875/AU876,"n/a")</f>
        <v>2.97053726169844</v>
      </c>
      <c r="AV884" s="368">
        <f>IFERROR(-AV875/AV876*AV3/AZ3,"n/a")</f>
        <v>2.654907112028523</v>
      </c>
      <c r="AW884" s="368">
        <f>IFERROR(-AW875/AW876*AW3/AZ3,"n/a")</f>
        <v>4.6553922789539213</v>
      </c>
      <c r="AX884" s="368">
        <f>IFERROR(-AX875/AX876*AX3/AZ3,"n/a")</f>
        <v>4.5369863013698639</v>
      </c>
      <c r="AY884" s="368">
        <f>IFERROR(-AY875/AY876*AY3/AZ3,"n/a")</f>
        <v>4.2070236612702363</v>
      </c>
      <c r="AZ884" s="1496">
        <f>IFERROR(-AZ875/AZ876,"n/a")</f>
        <v>3.7838709677419353</v>
      </c>
      <c r="BA884" s="368">
        <f>IFERROR(-BA875/BA876*BA3/BE3,"n/a")</f>
        <v>3.9406392694063919</v>
      </c>
      <c r="BB884" s="368">
        <f>IFERROR(-BB875/BB876*BB3/BE3,"n/a")</f>
        <v>6.5063190455148039</v>
      </c>
      <c r="BC884" s="368">
        <f>IFERROR(-BC875/BC876*BC3/BE3,"n/a")</f>
        <v>6.7620217288615958</v>
      </c>
      <c r="BD884" s="368">
        <f>IFERROR(-BD875/BD876*BD3/BE3,"n/a")</f>
        <v>6.7424657534246597</v>
      </c>
      <c r="BE884" s="1496">
        <f>IFERROR(-BE875/BE876,"n/a")</f>
        <v>6.0774647887323932</v>
      </c>
      <c r="BF884" s="368" t="str">
        <f>IFERROR(-BF875/BF876*BF3/BJ3,"n/a")</f>
        <v>n/a</v>
      </c>
      <c r="BG884" s="368" t="str">
        <f>IFERROR(-BG875/BG876*BG3/BJ3,"n/a")</f>
        <v>n/a</v>
      </c>
      <c r="BH884" s="866" t="str">
        <f>IFERROR(-BH875/BH876*BH3/BJ3,"n/a")</f>
        <v>n/a</v>
      </c>
      <c r="BI884" s="365" t="str">
        <f>IFERROR(-BI875/BI876*BI3/BJ3,"n/a")</f>
        <v>n/a</v>
      </c>
      <c r="BJ884" s="1497" t="str">
        <f>IFERROR(-BJ875/BJ876,"n/a")</f>
        <v>n/a</v>
      </c>
      <c r="BK884" s="365" t="str">
        <f>IFERROR(-BK875/BK876*BK3/BO3,"n/a")</f>
        <v>n/a</v>
      </c>
      <c r="BL884" s="365" t="str">
        <f>IFERROR(-BL875/BL876*BL3/BO3,"n/a")</f>
        <v>n/a</v>
      </c>
      <c r="BM884" s="365" t="str">
        <f>IFERROR(-BM875/BM876*BM3/BO3,"n/a")</f>
        <v>n/a</v>
      </c>
      <c r="BN884" s="365" t="str">
        <f>IFERROR(-BN875/BN876*BN3/BO3,"n/a")</f>
        <v>n/a</v>
      </c>
      <c r="BO884" s="1497" t="str">
        <f>IFERROR(-BO875/BO876,"n/a")</f>
        <v>n/a</v>
      </c>
      <c r="BP884" s="1496" t="str">
        <f>IFERROR(-BP875/BP876,"n/a")</f>
        <v>n/a</v>
      </c>
      <c r="BQ884" s="1496" t="str">
        <f>IFERROR(-BQ875/BQ876,"n/a")</f>
        <v>n/a</v>
      </c>
      <c r="BR884" s="1497" t="str">
        <f>IFERROR(-BR875/BR876,"n/a")</f>
        <v>n/a</v>
      </c>
      <c r="BS884" s="648"/>
    </row>
    <row r="885" spans="1:71" s="668" customFormat="1" ht="15">
      <c r="A885" s="412"/>
      <c r="B885" s="367"/>
      <c r="C885" s="1322"/>
      <c r="D885" s="1322"/>
      <c r="E885" s="1322"/>
      <c r="F885" s="1322"/>
      <c r="G885" s="1322"/>
      <c r="H885" s="1031"/>
      <c r="I885" s="1031"/>
      <c r="J885" s="1031"/>
      <c r="K885" s="1031"/>
      <c r="L885" s="1322"/>
      <c r="M885" s="1031"/>
      <c r="N885" s="1031"/>
      <c r="O885" s="1031"/>
      <c r="P885" s="1031"/>
      <c r="Q885" s="1322"/>
      <c r="R885" s="1031"/>
      <c r="S885" s="1031"/>
      <c r="T885" s="1031"/>
      <c r="U885" s="1031"/>
      <c r="V885" s="1322"/>
      <c r="W885" s="1031"/>
      <c r="X885" s="1031"/>
      <c r="Y885" s="1031"/>
      <c r="Z885" s="1031"/>
      <c r="AA885" s="1322"/>
      <c r="AB885" s="1031"/>
      <c r="AC885" s="1031"/>
      <c r="AD885" s="1031"/>
      <c r="AE885" s="1031"/>
      <c r="AF885" s="1322"/>
      <c r="AG885" s="1031"/>
      <c r="AH885" s="1031"/>
      <c r="AI885" s="1031"/>
      <c r="AJ885" s="1031"/>
      <c r="AK885" s="1322"/>
      <c r="AL885" s="1031"/>
      <c r="AM885" s="1031"/>
      <c r="AN885" s="1031"/>
      <c r="AO885" s="1031"/>
      <c r="AP885" s="1322"/>
      <c r="AQ885" s="1088"/>
      <c r="AR885" s="1088"/>
      <c r="AS885" s="1031"/>
      <c r="AT885" s="1088"/>
      <c r="AU885" s="1372"/>
      <c r="AV885" s="1088"/>
      <c r="AW885" s="1088"/>
      <c r="AX885" s="1031"/>
      <c r="AY885" s="1088"/>
      <c r="AZ885" s="1372"/>
      <c r="BA885" s="1088"/>
      <c r="BB885" s="1088"/>
      <c r="BC885" s="1088"/>
      <c r="BD885" s="1088"/>
      <c r="BE885" s="1372"/>
      <c r="BF885" s="1088"/>
      <c r="BG885" s="1088"/>
      <c r="BH885" s="1156"/>
      <c r="BI885" s="1068"/>
      <c r="BJ885" s="1371"/>
      <c r="BK885" s="1068"/>
      <c r="BL885" s="1068"/>
      <c r="BM885" s="1068"/>
      <c r="BN885" s="1068"/>
      <c r="BO885" s="1371"/>
      <c r="BP885" s="1372"/>
      <c r="BQ885" s="1372"/>
      <c r="BR885" s="1371"/>
      <c r="BS885" s="648"/>
    </row>
    <row r="886" spans="1:71" s="668" customFormat="1" ht="15">
      <c r="A886" s="904" t="s">
        <v>440</v>
      </c>
      <c r="B886" s="367"/>
      <c r="C886" s="1322">
        <f t="shared" si="1816" ref="C886:BG886">C803+C804</f>
        <v>87.30</v>
      </c>
      <c r="D886" s="1322">
        <f t="shared" si="1816"/>
        <v>83.10</v>
      </c>
      <c r="E886" s="1322">
        <f t="shared" si="1816"/>
        <v>88.50</v>
      </c>
      <c r="F886" s="1322">
        <f t="shared" si="1816"/>
        <v>94.40</v>
      </c>
      <c r="G886" s="1322">
        <f t="shared" si="1816"/>
        <v>101.30</v>
      </c>
      <c r="H886" s="1031">
        <f t="shared" si="1816"/>
        <v>22.80</v>
      </c>
      <c r="I886" s="1031">
        <f t="shared" si="1816"/>
        <v>23.90</v>
      </c>
      <c r="J886" s="1031">
        <f t="shared" si="1816"/>
        <v>25.099999999999994</v>
      </c>
      <c r="K886" s="1031">
        <f t="shared" si="1816"/>
        <v>25.299999999999997</v>
      </c>
      <c r="L886" s="1322">
        <f t="shared" si="1816"/>
        <v>97.10</v>
      </c>
      <c r="M886" s="1031">
        <f t="shared" si="1816"/>
        <v>23.80</v>
      </c>
      <c r="N886" s="1031">
        <f t="shared" si="1816"/>
        <v>41.60</v>
      </c>
      <c r="O886" s="1031">
        <f t="shared" si="1816"/>
        <v>41.899999999999991</v>
      </c>
      <c r="P886" s="1031">
        <f t="shared" si="1816"/>
        <v>43.20</v>
      </c>
      <c r="Q886" s="1322">
        <f t="shared" si="1816"/>
        <v>150.50</v>
      </c>
      <c r="R886" s="1031">
        <f t="shared" si="1816"/>
        <v>43</v>
      </c>
      <c r="S886" s="1031">
        <f t="shared" si="1816"/>
        <v>46.20</v>
      </c>
      <c r="T886" s="1031">
        <f t="shared" si="1816"/>
        <v>51.999999999999993</v>
      </c>
      <c r="U886" s="1031">
        <f t="shared" si="1816"/>
        <v>58.300000000000011</v>
      </c>
      <c r="V886" s="1322">
        <f t="shared" si="1816"/>
        <v>199.50</v>
      </c>
      <c r="W886" s="1031">
        <f t="shared" si="1816"/>
        <v>56.50</v>
      </c>
      <c r="X886" s="1031">
        <f t="shared" si="1816"/>
        <v>58.50</v>
      </c>
      <c r="Y886" s="1031">
        <f t="shared" si="1816"/>
        <v>59.900000000000006</v>
      </c>
      <c r="Z886" s="1031">
        <f t="shared" si="1816"/>
        <v>61.20</v>
      </c>
      <c r="AA886" s="1322">
        <f t="shared" si="1816"/>
        <v>236.10000000000002</v>
      </c>
      <c r="AB886" s="1031">
        <f t="shared" si="1816"/>
        <v>58.90</v>
      </c>
      <c r="AC886" s="1031">
        <f t="shared" si="1816"/>
        <v>63.70</v>
      </c>
      <c r="AD886" s="1031">
        <f t="shared" si="1816"/>
        <v>69.200000000000017</v>
      </c>
      <c r="AE886" s="1031">
        <f t="shared" si="1816"/>
        <v>70.599999999999994</v>
      </c>
      <c r="AF886" s="1322">
        <f t="shared" si="1816"/>
        <v>262.39999999999998</v>
      </c>
      <c r="AG886" s="1031">
        <f t="shared" si="1816"/>
        <v>70.50</v>
      </c>
      <c r="AH886" s="1031">
        <f t="shared" si="1816"/>
        <v>80</v>
      </c>
      <c r="AI886" s="1031">
        <f t="shared" si="1816"/>
        <v>72.200000000000017</v>
      </c>
      <c r="AJ886" s="1031">
        <f t="shared" si="1816"/>
        <v>83.40</v>
      </c>
      <c r="AK886" s="1322">
        <f t="shared" si="1816"/>
        <v>306.10000000000002</v>
      </c>
      <c r="AL886" s="1031">
        <f t="shared" si="1816"/>
        <v>77.099999999999994</v>
      </c>
      <c r="AM886" s="1031">
        <f t="shared" si="1816"/>
        <v>81.800000000000011</v>
      </c>
      <c r="AN886" s="1031">
        <f t="shared" si="1816"/>
        <v>85.099999999999966</v>
      </c>
      <c r="AO886" s="1031">
        <f t="shared" si="1816"/>
        <v>87.799999999999983</v>
      </c>
      <c r="AP886" s="1322">
        <f t="shared" si="1816"/>
        <v>331.79999999999995</v>
      </c>
      <c r="AQ886" s="1062">
        <f t="shared" si="1816"/>
        <v>77.099999999999994</v>
      </c>
      <c r="AR886" s="1062">
        <f t="shared" si="1816"/>
        <v>80.80</v>
      </c>
      <c r="AS886" s="1031">
        <f t="shared" si="1816"/>
        <v>89.10</v>
      </c>
      <c r="AT886" s="1062">
        <f t="shared" si="1816"/>
        <v>90.399999999999977</v>
      </c>
      <c r="AU886" s="1363">
        <f t="shared" si="1816"/>
        <v>337.40</v>
      </c>
      <c r="AV886" s="1062">
        <f t="shared" si="1816"/>
        <v>85.699999999999989</v>
      </c>
      <c r="AW886" s="1062">
        <f t="shared" si="1816"/>
        <v>84</v>
      </c>
      <c r="AX886" s="1031">
        <f t="shared" si="1816"/>
        <v>83.300000000000011</v>
      </c>
      <c r="AY886" s="1062">
        <f t="shared" si="1816"/>
        <v>83.600000000000023</v>
      </c>
      <c r="AZ886" s="1363">
        <f t="shared" si="1816"/>
        <v>336.60</v>
      </c>
      <c r="BA886" s="1062">
        <f t="shared" si="1816"/>
        <v>73.400000000000006</v>
      </c>
      <c r="BB886" s="1062">
        <f t="shared" si="1816"/>
        <v>75.699999999999989</v>
      </c>
      <c r="BC886" s="1062">
        <f t="shared" si="1816"/>
        <v>74.300000000000011</v>
      </c>
      <c r="BD886" s="1062">
        <f t="shared" si="1816"/>
        <v>76.30</v>
      </c>
      <c r="BE886" s="1363">
        <f t="shared" si="1816"/>
        <v>299.70</v>
      </c>
      <c r="BF886" s="1062">
        <f t="shared" si="1816"/>
        <v>69.70</v>
      </c>
      <c r="BG886" s="1062">
        <f t="shared" si="1816"/>
        <v>67.80</v>
      </c>
      <c r="BH886" s="1094">
        <f>BH803+BH804</f>
        <v>70.699999999999989</v>
      </c>
      <c r="BI886" s="1092">
        <f>-BI870-BI876</f>
        <v>45.882360655737706</v>
      </c>
      <c r="BJ886" s="1393">
        <f t="shared" si="1817" ref="BJ886">-BJ870-BJ876</f>
        <v>254.08236065573769</v>
      </c>
      <c r="BK886" s="1092">
        <f t="shared" si="1818" ref="BK886:BR886">-BK870-BK876</f>
        <v>46.25708410509769</v>
      </c>
      <c r="BL886" s="1092">
        <f t="shared" si="1818"/>
        <v>48.009367916691666</v>
      </c>
      <c r="BM886" s="1092">
        <f t="shared" si="1818"/>
        <v>49.671824512114767</v>
      </c>
      <c r="BN886" s="1092">
        <f t="shared" si="1818"/>
        <v>50.695662644702828</v>
      </c>
      <c r="BO886" s="1393">
        <f t="shared" si="1818"/>
        <v>194.63393917860694</v>
      </c>
      <c r="BP886" s="1363">
        <f t="shared" si="1818"/>
        <v>204.92018054389871</v>
      </c>
      <c r="BQ886" s="1363">
        <f t="shared" si="1818"/>
        <v>219.51633269976554</v>
      </c>
      <c r="BR886" s="1393">
        <f t="shared" si="1818"/>
        <v>230.24450453432766</v>
      </c>
      <c r="BS886" s="648"/>
    </row>
    <row r="887" spans="1:71" s="668" customFormat="1" ht="15">
      <c r="A887" s="904" t="s">
        <v>441</v>
      </c>
      <c r="B887" s="367"/>
      <c r="C887" s="1322">
        <f t="shared" si="1819" ref="C887:AO887">-C836-C837</f>
        <v>64.80</v>
      </c>
      <c r="D887" s="1322">
        <f t="shared" si="1819"/>
        <v>56.70</v>
      </c>
      <c r="E887" s="1322">
        <f t="shared" si="1819"/>
        <v>75.900000000000006</v>
      </c>
      <c r="F887" s="1322">
        <f t="shared" si="1819"/>
        <v>123.90000000000001</v>
      </c>
      <c r="G887" s="1322">
        <f t="shared" si="1819"/>
        <v>136.70000000000002</v>
      </c>
      <c r="H887" s="1031">
        <f t="shared" si="1819"/>
        <v>14</v>
      </c>
      <c r="I887" s="1031">
        <f t="shared" si="1819"/>
        <v>27.600000000000005</v>
      </c>
      <c r="J887" s="1031">
        <f t="shared" si="1819"/>
        <v>27.499999999999993</v>
      </c>
      <c r="K887" s="1031">
        <f t="shared" si="1819"/>
        <v>33.10</v>
      </c>
      <c r="L887" s="1322">
        <f t="shared" si="1819"/>
        <v>102.19999999999999</v>
      </c>
      <c r="M887" s="1031">
        <f t="shared" si="1819"/>
        <v>20.80</v>
      </c>
      <c r="N887" s="1031">
        <f t="shared" si="1819"/>
        <v>25.700000000000003</v>
      </c>
      <c r="O887" s="1031">
        <f t="shared" si="1819"/>
        <v>31.399999999999991</v>
      </c>
      <c r="P887" s="1031">
        <f t="shared" si="1819"/>
        <v>42.20</v>
      </c>
      <c r="Q887" s="1322">
        <f t="shared" si="1819"/>
        <v>120.09999999999999</v>
      </c>
      <c r="R887" s="1031">
        <f t="shared" si="1819"/>
        <v>52.30</v>
      </c>
      <c r="S887" s="1031">
        <f t="shared" si="1819"/>
        <v>53.50</v>
      </c>
      <c r="T887" s="1031">
        <f t="shared" si="1819"/>
        <v>51.80</v>
      </c>
      <c r="U887" s="1031">
        <f t="shared" si="1819"/>
        <v>51.20</v>
      </c>
      <c r="V887" s="1322">
        <f t="shared" si="1819"/>
        <v>208.80</v>
      </c>
      <c r="W887" s="1031">
        <f t="shared" si="1819"/>
        <v>23.80</v>
      </c>
      <c r="X887" s="1031">
        <f t="shared" si="1819"/>
        <v>36.900000000000006</v>
      </c>
      <c r="Y887" s="1031">
        <f t="shared" si="1819"/>
        <v>35.200000000000003</v>
      </c>
      <c r="Z887" s="1031">
        <f t="shared" si="1819"/>
        <v>44.499999999999986</v>
      </c>
      <c r="AA887" s="1322">
        <f t="shared" si="1819"/>
        <v>140.39999999999998</v>
      </c>
      <c r="AB887" s="1031">
        <f t="shared" si="1819"/>
        <v>34.299999999999997</v>
      </c>
      <c r="AC887" s="1031">
        <f t="shared" si="1819"/>
        <v>61</v>
      </c>
      <c r="AD887" s="1031">
        <f t="shared" si="1819"/>
        <v>61.400000000000013</v>
      </c>
      <c r="AE887" s="1031">
        <f t="shared" si="1819"/>
        <v>99.90</v>
      </c>
      <c r="AF887" s="1322">
        <f t="shared" si="1819"/>
        <v>256.60000000000002</v>
      </c>
      <c r="AG887" s="1031">
        <f t="shared" si="1819"/>
        <v>69.599999999999994</v>
      </c>
      <c r="AH887" s="1031">
        <f t="shared" si="1819"/>
        <v>108.99999999999999</v>
      </c>
      <c r="AI887" s="1031">
        <f t="shared" si="1819"/>
        <v>62.70</v>
      </c>
      <c r="AJ887" s="1031">
        <f t="shared" si="1819"/>
        <v>68.900000000000006</v>
      </c>
      <c r="AK887" s="1322">
        <f t="shared" si="1819"/>
        <v>310.20</v>
      </c>
      <c r="AL887" s="1031">
        <f t="shared" si="1819"/>
        <v>58.90</v>
      </c>
      <c r="AM887" s="1031">
        <f t="shared" si="1819"/>
        <v>47.000000000000007</v>
      </c>
      <c r="AN887" s="1031">
        <f t="shared" si="1819"/>
        <v>57</v>
      </c>
      <c r="AO887" s="1031">
        <f t="shared" si="1819"/>
        <v>38.699999999999996</v>
      </c>
      <c r="AP887" s="1322">
        <f t="shared" si="1820" ref="AP887:AU887">-AP836-AP837</f>
        <v>201.60</v>
      </c>
      <c r="AQ887" s="1062">
        <f t="shared" si="1820"/>
        <v>43</v>
      </c>
      <c r="AR887" s="1062">
        <f t="shared" si="1820"/>
        <v>44</v>
      </c>
      <c r="AS887" s="1031">
        <f t="shared" si="1820"/>
        <v>38.20000000000001</v>
      </c>
      <c r="AT887" s="1062">
        <f t="shared" si="1820"/>
        <v>52.099999999999987</v>
      </c>
      <c r="AU887" s="1363">
        <f t="shared" si="1820"/>
        <v>177.30</v>
      </c>
      <c r="AV887" s="1062">
        <f>-AV836-AV837</f>
        <v>66.50</v>
      </c>
      <c r="AW887" s="1062">
        <f t="shared" si="1821" ref="AW887">-AW836-AW837</f>
        <v>58.599999999999987</v>
      </c>
      <c r="AX887" s="1031">
        <f>-AX836-AX837</f>
        <v>103.90000000000001</v>
      </c>
      <c r="AY887" s="1062">
        <f t="shared" si="1822" ref="AY887:AZ887">-AY836-AY837</f>
        <v>27.90</v>
      </c>
      <c r="AZ887" s="1363">
        <f t="shared" si="1822"/>
        <v>256.89999999999998</v>
      </c>
      <c r="BA887" s="1062">
        <f>-BA836-BA837</f>
        <v>38.900000000000006</v>
      </c>
      <c r="BB887" s="1062">
        <f t="shared" si="1823" ref="BB887:BE887">-BB836-BB837</f>
        <v>65.899999999999991</v>
      </c>
      <c r="BC887" s="1062">
        <f>-BC836-BC837</f>
        <v>30.100000000000012</v>
      </c>
      <c r="BD887" s="1062">
        <f t="shared" si="1823"/>
        <v>69.899999999999991</v>
      </c>
      <c r="BE887" s="1363">
        <f t="shared" si="1823"/>
        <v>204.80</v>
      </c>
      <c r="BF887" s="1062">
        <f>-BF836-BF837</f>
        <v>46.70</v>
      </c>
      <c r="BG887" s="1062">
        <f t="shared" si="1824" ref="BG887">-BG836-BG837</f>
        <v>25.599999999999994</v>
      </c>
      <c r="BH887" s="1094">
        <f>-BH836-BH837</f>
        <v>38.000000000000014</v>
      </c>
      <c r="BI887" s="1292">
        <v>65</v>
      </c>
      <c r="BJ887" s="1393">
        <f>-BJ836-BJ837</f>
        <v>175.30</v>
      </c>
      <c r="BK887" s="1292">
        <v>65</v>
      </c>
      <c r="BL887" s="1292">
        <v>65</v>
      </c>
      <c r="BM887" s="1292">
        <v>65</v>
      </c>
      <c r="BN887" s="1292">
        <v>65</v>
      </c>
      <c r="BO887" s="1393">
        <f>-BO836-BO837</f>
        <v>260</v>
      </c>
      <c r="BP887" s="1498">
        <v>260</v>
      </c>
      <c r="BQ887" s="1498">
        <v>260</v>
      </c>
      <c r="BR887" s="1499">
        <v>260</v>
      </c>
      <c r="BS887" s="648"/>
    </row>
    <row r="888" spans="1:71" s="671" customFormat="1" ht="15">
      <c r="A888" s="427" t="s">
        <v>442</v>
      </c>
      <c r="B888" s="322"/>
      <c r="C888" s="1331"/>
      <c r="D888" s="1331"/>
      <c r="E888" s="1331"/>
      <c r="F888" s="1331"/>
      <c r="G888" s="1331"/>
      <c r="H888" s="289"/>
      <c r="I888" s="289"/>
      <c r="J888" s="289"/>
      <c r="K888" s="289"/>
      <c r="L888" s="1331"/>
      <c r="M888" s="289"/>
      <c r="N888" s="289"/>
      <c r="O888" s="289"/>
      <c r="P888" s="289"/>
      <c r="Q888" s="1331"/>
      <c r="R888" s="289"/>
      <c r="S888" s="289"/>
      <c r="T888" s="289"/>
      <c r="U888" s="289"/>
      <c r="V888" s="1331"/>
      <c r="W888" s="289"/>
      <c r="X888" s="289"/>
      <c r="Y888" s="289"/>
      <c r="Z888" s="289"/>
      <c r="AA888" s="1331"/>
      <c r="AB888" s="289"/>
      <c r="AC888" s="289"/>
      <c r="AD888" s="289"/>
      <c r="AE888" s="289"/>
      <c r="AF888" s="1331"/>
      <c r="AG888" s="289"/>
      <c r="AH888" s="289"/>
      <c r="AI888" s="289"/>
      <c r="AJ888" s="289"/>
      <c r="AK888" s="1331"/>
      <c r="AL888" s="289"/>
      <c r="AM888" s="289"/>
      <c r="AN888" s="289"/>
      <c r="AO888" s="289"/>
      <c r="AP888" s="1331"/>
      <c r="AQ888" s="201"/>
      <c r="AR888" s="201"/>
      <c r="AS888" s="289"/>
      <c r="AT888" s="201"/>
      <c r="AU888" s="1333"/>
      <c r="AV888" s="201"/>
      <c r="AW888" s="201"/>
      <c r="AX888" s="289"/>
      <c r="AY888" s="201"/>
      <c r="AZ888" s="1333"/>
      <c r="BA888" s="201"/>
      <c r="BB888" s="201"/>
      <c r="BC888" s="201"/>
      <c r="BD888" s="201"/>
      <c r="BE888" s="1333"/>
      <c r="BF888" s="201"/>
      <c r="BG888" s="201"/>
      <c r="BH888" s="824"/>
      <c r="BI888" s="1291">
        <v>0</v>
      </c>
      <c r="BJ888" s="1332">
        <f>AVERAGE(BF888,BG888,BH888,BI888)</f>
        <v>0</v>
      </c>
      <c r="BK888" s="1291">
        <v>0</v>
      </c>
      <c r="BL888" s="1291">
        <v>0</v>
      </c>
      <c r="BM888" s="1291">
        <v>0</v>
      </c>
      <c r="BN888" s="1291">
        <v>0</v>
      </c>
      <c r="BO888" s="1332">
        <f>AVERAGE(BK888,BL888,BM888,BN888)</f>
        <v>0</v>
      </c>
      <c r="BP888" s="1423">
        <v>0</v>
      </c>
      <c r="BQ888" s="1423">
        <v>0</v>
      </c>
      <c r="BR888" s="1424">
        <v>0</v>
      </c>
      <c r="BS888" s="648"/>
    </row>
    <row r="889" spans="1:71" s="668" customFormat="1" ht="15">
      <c r="A889" s="904"/>
      <c r="B889" s="367"/>
      <c r="C889" s="1322"/>
      <c r="D889" s="1322"/>
      <c r="E889" s="1322"/>
      <c r="F889" s="1322"/>
      <c r="G889" s="1322"/>
      <c r="H889" s="1031"/>
      <c r="I889" s="1031"/>
      <c r="J889" s="1031"/>
      <c r="K889" s="1031"/>
      <c r="L889" s="1322"/>
      <c r="M889" s="1031"/>
      <c r="N889" s="1031"/>
      <c r="O889" s="1031"/>
      <c r="P889" s="1031"/>
      <c r="Q889" s="1322"/>
      <c r="R889" s="1031"/>
      <c r="S889" s="1031"/>
      <c r="T889" s="1031"/>
      <c r="U889" s="1031"/>
      <c r="V889" s="1322"/>
      <c r="W889" s="1031"/>
      <c r="X889" s="1031"/>
      <c r="Y889" s="1031"/>
      <c r="Z889" s="1031"/>
      <c r="AA889" s="1322"/>
      <c r="AB889" s="1031"/>
      <c r="AC889" s="1031"/>
      <c r="AD889" s="1031"/>
      <c r="AE889" s="1031"/>
      <c r="AF889" s="1322"/>
      <c r="AG889" s="1031"/>
      <c r="AH889" s="1031"/>
      <c r="AI889" s="1031"/>
      <c r="AJ889" s="1031"/>
      <c r="AK889" s="1322"/>
      <c r="AL889" s="1031"/>
      <c r="AM889" s="1031"/>
      <c r="AN889" s="1031"/>
      <c r="AO889" s="1031"/>
      <c r="AP889" s="1322"/>
      <c r="AQ889" s="1031"/>
      <c r="AR889" s="1031"/>
      <c r="AS889" s="1031"/>
      <c r="AT889" s="1031"/>
      <c r="AU889" s="1322"/>
      <c r="AV889" s="1031"/>
      <c r="AW889" s="1031"/>
      <c r="AX889" s="1031"/>
      <c r="AY889" s="1031"/>
      <c r="AZ889" s="1322"/>
      <c r="BA889" s="1031"/>
      <c r="BB889" s="1031"/>
      <c r="BC889" s="1031"/>
      <c r="BD889" s="1031"/>
      <c r="BE889" s="1322"/>
      <c r="BF889" s="1031"/>
      <c r="BG889" s="1031"/>
      <c r="BH889" s="1049"/>
      <c r="BI889" s="1023"/>
      <c r="BJ889" s="1321"/>
      <c r="BK889" s="1023"/>
      <c r="BL889" s="1023"/>
      <c r="BM889" s="1023"/>
      <c r="BN889" s="1023"/>
      <c r="BO889" s="1321"/>
      <c r="BP889" s="1322"/>
      <c r="BQ889" s="1322"/>
      <c r="BR889" s="1321"/>
      <c r="BS889" s="648"/>
    </row>
    <row r="890" spans="1:71" s="668" customFormat="1" ht="15">
      <c r="A890" s="991" t="s">
        <v>193</v>
      </c>
      <c r="B890" s="991"/>
      <c r="C890" s="1035"/>
      <c r="D890" s="1035"/>
      <c r="E890" s="1035"/>
      <c r="F890" s="1035"/>
      <c r="G890" s="1035"/>
      <c r="H890" s="1035"/>
      <c r="I890" s="1035"/>
      <c r="J890" s="1035"/>
      <c r="K890" s="1035"/>
      <c r="L890" s="1035"/>
      <c r="M890" s="1035"/>
      <c r="N890" s="1035"/>
      <c r="O890" s="1035"/>
      <c r="P890" s="1035"/>
      <c r="Q890" s="1035"/>
      <c r="R890" s="1035"/>
      <c r="S890" s="1035"/>
      <c r="T890" s="1035"/>
      <c r="U890" s="1035"/>
      <c r="V890" s="1035"/>
      <c r="W890" s="1035"/>
      <c r="X890" s="1035"/>
      <c r="Y890" s="1035"/>
      <c r="Z890" s="1035"/>
      <c r="AA890" s="1035"/>
      <c r="AB890" s="1035"/>
      <c r="AC890" s="1035"/>
      <c r="AD890" s="1035"/>
      <c r="AE890" s="1035"/>
      <c r="AF890" s="1035"/>
      <c r="AG890" s="1035"/>
      <c r="AH890" s="1035"/>
      <c r="AI890" s="1035"/>
      <c r="AJ890" s="1035"/>
      <c r="AK890" s="1035"/>
      <c r="AL890" s="1035"/>
      <c r="AM890" s="1035"/>
      <c r="AN890" s="1035"/>
      <c r="AO890" s="1035"/>
      <c r="AP890" s="1035"/>
      <c r="AQ890" s="1035"/>
      <c r="AR890" s="1035"/>
      <c r="AS890" s="1035"/>
      <c r="AT890" s="1035"/>
      <c r="AU890" s="1035"/>
      <c r="AV890" s="1035"/>
      <c r="AW890" s="1035"/>
      <c r="AX890" s="1035"/>
      <c r="AY890" s="1035"/>
      <c r="AZ890" s="1035"/>
      <c r="BA890" s="1035"/>
      <c r="BB890" s="1035"/>
      <c r="BC890" s="1035"/>
      <c r="BD890" s="1035"/>
      <c r="BE890" s="1035"/>
      <c r="BF890" s="1035"/>
      <c r="BG890" s="1035"/>
      <c r="BH890" s="1036"/>
      <c r="BI890" s="1037"/>
      <c r="BJ890" s="1037"/>
      <c r="BK890" s="1037"/>
      <c r="BL890" s="1037"/>
      <c r="BM890" s="1037"/>
      <c r="BN890" s="1037"/>
      <c r="BO890" s="1037"/>
      <c r="BP890" s="1035"/>
      <c r="BQ890" s="1035"/>
      <c r="BR890" s="1037"/>
      <c r="BS890" s="648"/>
    </row>
    <row r="891" spans="1:71" s="668" customFormat="1" ht="15">
      <c r="A891" s="25" t="s">
        <v>194</v>
      </c>
      <c r="B891" s="367"/>
      <c r="C891" s="1322"/>
      <c r="D891" s="1322"/>
      <c r="E891" s="1322"/>
      <c r="F891" s="1322"/>
      <c r="G891" s="1322"/>
      <c r="H891" s="1031"/>
      <c r="I891" s="1031"/>
      <c r="J891" s="1031"/>
      <c r="K891" s="1031"/>
      <c r="L891" s="1322"/>
      <c r="M891" s="1031"/>
      <c r="N891" s="1031"/>
      <c r="O891" s="1031"/>
      <c r="P891" s="1031"/>
      <c r="Q891" s="1322"/>
      <c r="R891" s="1031"/>
      <c r="S891" s="1031"/>
      <c r="T891" s="1031"/>
      <c r="U891" s="1031"/>
      <c r="V891" s="1322"/>
      <c r="W891" s="1031"/>
      <c r="X891" s="1031"/>
      <c r="Y891" s="1031"/>
      <c r="Z891" s="1031"/>
      <c r="AA891" s="1322"/>
      <c r="AB891" s="1031"/>
      <c r="AC891" s="1031"/>
      <c r="AD891" s="1031"/>
      <c r="AE891" s="1031"/>
      <c r="AF891" s="1322"/>
      <c r="AG891" s="1031"/>
      <c r="AH891" s="1031"/>
      <c r="AI891" s="1031"/>
      <c r="AJ891" s="1031"/>
      <c r="AK891" s="1322"/>
      <c r="AL891" s="1031"/>
      <c r="AM891" s="1031"/>
      <c r="AN891" s="1031"/>
      <c r="AO891" s="1031"/>
      <c r="AP891" s="1322"/>
      <c r="AQ891" s="1031"/>
      <c r="AR891" s="1031"/>
      <c r="AS891" s="1031"/>
      <c r="AT891" s="1031"/>
      <c r="AU891" s="1322"/>
      <c r="AV891" s="1031"/>
      <c r="AW891" s="1031"/>
      <c r="AX891" s="1031"/>
      <c r="AY891" s="1031"/>
      <c r="AZ891" s="1322"/>
      <c r="BA891" s="1031"/>
      <c r="BB891" s="1031"/>
      <c r="BC891" s="1031"/>
      <c r="BD891" s="1031"/>
      <c r="BE891" s="1322"/>
      <c r="BF891" s="1031"/>
      <c r="BG891" s="1031"/>
      <c r="BH891" s="1049"/>
      <c r="BI891" s="1023"/>
      <c r="BJ891" s="1321"/>
      <c r="BK891" s="1023"/>
      <c r="BL891" s="1023"/>
      <c r="BM891" s="1023"/>
      <c r="BN891" s="1023"/>
      <c r="BO891" s="1321"/>
      <c r="BP891" s="1322"/>
      <c r="BQ891" s="1322"/>
      <c r="BR891" s="1321"/>
      <c r="BS891" s="648"/>
    </row>
    <row r="892" spans="1:71" s="665" customFormat="1" ht="15" hidden="1" outlineLevel="1">
      <c r="A892" s="31" t="s">
        <v>195</v>
      </c>
      <c r="B892" s="321"/>
      <c r="C892" s="1364">
        <v>11563.40</v>
      </c>
      <c r="D892" s="1364">
        <v>11850</v>
      </c>
      <c r="E892" s="1364">
        <v>11759.299999999999</v>
      </c>
      <c r="F892" s="1364">
        <v>11774.10</v>
      </c>
      <c r="G892" s="1364">
        <v>13540.40</v>
      </c>
      <c r="H892" s="1225">
        <v>12506.20</v>
      </c>
      <c r="I892" s="1225">
        <v>12498.60</v>
      </c>
      <c r="J892" s="1225">
        <v>13269.40</v>
      </c>
      <c r="K892" s="1042">
        <f>L892</f>
        <v>13549.20</v>
      </c>
      <c r="L892" s="1364">
        <v>13549.20</v>
      </c>
      <c r="M892" s="1225">
        <v>14219.80</v>
      </c>
      <c r="N892" s="1225">
        <v>15589</v>
      </c>
      <c r="O892" s="1225">
        <v>15622.10</v>
      </c>
      <c r="P892" s="1042">
        <f>Q892</f>
        <v>15332.20</v>
      </c>
      <c r="Q892" s="1364">
        <v>15332.20</v>
      </c>
      <c r="R892" s="1225">
        <v>13966.40</v>
      </c>
      <c r="S892" s="1225">
        <v>13589.50</v>
      </c>
      <c r="T892" s="1225">
        <v>13916.90</v>
      </c>
      <c r="U892" s="1042">
        <f>V892</f>
        <v>16243.80</v>
      </c>
      <c r="V892" s="1364">
        <v>16243.80</v>
      </c>
      <c r="W892" s="1225">
        <v>17474.299999999999</v>
      </c>
      <c r="X892" s="1225">
        <v>18388.099999999999</v>
      </c>
      <c r="Y892" s="1225">
        <v>18660</v>
      </c>
      <c r="Z892" s="1042">
        <f>AA892</f>
        <v>20201.700000000001</v>
      </c>
      <c r="AA892" s="1364">
        <v>20201.700000000001</v>
      </c>
      <c r="AB892" s="1225">
        <v>22420.099999999999</v>
      </c>
      <c r="AC892" s="1225">
        <v>23789.20</v>
      </c>
      <c r="AD892" s="1225">
        <v>25642.700000000001</v>
      </c>
      <c r="AE892" s="1042">
        <f>AF892</f>
        <v>28111.50</v>
      </c>
      <c r="AF892" s="1364">
        <v>28111.50</v>
      </c>
      <c r="AG892" s="1225">
        <v>27821.900000000001</v>
      </c>
      <c r="AH892" s="1225">
        <v>31188.200000000001</v>
      </c>
      <c r="AI892" s="1225">
        <v>32812.699999999997</v>
      </c>
      <c r="AJ892" s="1042">
        <f>AK892</f>
        <v>33110.300000000003</v>
      </c>
      <c r="AK892" s="1364">
        <v>33110.300000000003</v>
      </c>
      <c r="AL892" s="1225">
        <v>34276.599999999999</v>
      </c>
      <c r="AM892" s="1225">
        <v>34726.40</v>
      </c>
      <c r="AN892" s="1225">
        <v>36313.50</v>
      </c>
      <c r="AO892" s="1042">
        <f>AP892</f>
        <v>36810.900000000001</v>
      </c>
      <c r="AP892" s="1364">
        <v>36810.900000000001</v>
      </c>
      <c r="AQ892" s="1225">
        <v>39091.800000000003</v>
      </c>
      <c r="AR892" s="1225">
        <v>43031</v>
      </c>
      <c r="AS892" s="1225">
        <v>45045.699999999997</v>
      </c>
      <c r="AT892" s="1042">
        <f>AU892</f>
        <v>43873.099999999999</v>
      </c>
      <c r="AU892" s="1364">
        <v>43873.099999999999</v>
      </c>
      <c r="AV892" s="1225">
        <v>46316.400000000001</v>
      </c>
      <c r="AW892" s="1225">
        <v>43172.50</v>
      </c>
      <c r="AX892" s="1225">
        <v>44173.099999999999</v>
      </c>
      <c r="AY892" s="1042">
        <f>AZ892</f>
        <v>46651.900000000001</v>
      </c>
      <c r="AZ892" s="1364">
        <v>46651.900000000001</v>
      </c>
      <c r="BA892" s="1225">
        <v>50289.199999999997</v>
      </c>
      <c r="BB892" s="1225">
        <v>54078.099999999999</v>
      </c>
      <c r="BC892" s="1225">
        <v>56591.900000000001</v>
      </c>
      <c r="BD892" s="1042">
        <f>BE892</f>
        <v>60378.199999999997</v>
      </c>
      <c r="BE892" s="1364">
        <v>60378.199999999997</v>
      </c>
      <c r="BF892" s="1225">
        <v>63629.699999999997</v>
      </c>
      <c r="BG892" s="1225">
        <v>67488.300000000003</v>
      </c>
      <c r="BH892" s="1226">
        <v>74411.20</v>
      </c>
      <c r="BI892" s="1044"/>
      <c r="BJ892" s="1350"/>
      <c r="BK892" s="1044"/>
      <c r="BL892" s="1044"/>
      <c r="BM892" s="1044"/>
      <c r="BN892" s="1044"/>
      <c r="BO892" s="1350"/>
      <c r="BP892" s="1351"/>
      <c r="BQ892" s="1351"/>
      <c r="BR892" s="1350"/>
      <c r="BS892" s="647"/>
    </row>
    <row r="893" spans="1:71" s="665" customFormat="1" ht="15" hidden="1" outlineLevel="1">
      <c r="A893" s="31" t="s">
        <v>196</v>
      </c>
      <c r="B893" s="321"/>
      <c r="C893" s="1364">
        <v>1255.80</v>
      </c>
      <c r="D893" s="1364">
        <v>1157.5999999999999</v>
      </c>
      <c r="E893" s="1364">
        <v>806.30</v>
      </c>
      <c r="F893" s="1364">
        <v>812.40</v>
      </c>
      <c r="G893" s="1364">
        <v>711.20</v>
      </c>
      <c r="H893" s="1225">
        <v>737.90</v>
      </c>
      <c r="I893" s="1225">
        <v>760.20</v>
      </c>
      <c r="J893" s="1225">
        <v>763.30</v>
      </c>
      <c r="K893" s="1042">
        <f>L893</f>
        <v>827.50</v>
      </c>
      <c r="L893" s="1364">
        <v>827.50</v>
      </c>
      <c r="M893" s="1225">
        <v>828.10</v>
      </c>
      <c r="N893" s="1225">
        <v>772.30</v>
      </c>
      <c r="O893" s="1225">
        <v>775.60</v>
      </c>
      <c r="P893" s="1042">
        <f>Q893</f>
        <v>782.60</v>
      </c>
      <c r="Q893" s="1364">
        <v>782.60</v>
      </c>
      <c r="R893" s="1225">
        <v>832.20</v>
      </c>
      <c r="S893" s="1225">
        <v>858.50</v>
      </c>
      <c r="T893" s="1225">
        <v>860.10</v>
      </c>
      <c r="U893" s="1042">
        <f>V893</f>
        <v>853.50</v>
      </c>
      <c r="V893" s="1364">
        <v>853.50</v>
      </c>
      <c r="W893" s="1225">
        <v>809.80</v>
      </c>
      <c r="X893" s="1225">
        <v>783.10</v>
      </c>
      <c r="Y893" s="1225">
        <v>813.70</v>
      </c>
      <c r="Z893" s="1042">
        <f>AA893</f>
        <v>803.80</v>
      </c>
      <c r="AA893" s="1364">
        <v>803.80</v>
      </c>
      <c r="AB893" s="1225">
        <v>745.90</v>
      </c>
      <c r="AC893" s="1225">
        <v>758.60</v>
      </c>
      <c r="AD893" s="1225">
        <v>840.90</v>
      </c>
      <c r="AE893" s="1042">
        <f>AF893</f>
        <v>1033.9000000000001</v>
      </c>
      <c r="AF893" s="1364">
        <v>1033.9000000000001</v>
      </c>
      <c r="AG893" s="1225">
        <v>1095.4000000000001</v>
      </c>
      <c r="AH893" s="1225">
        <v>1130</v>
      </c>
      <c r="AI893" s="1225">
        <v>1128.50</v>
      </c>
      <c r="AJ893" s="1042">
        <f>AK893</f>
        <v>1038.9000000000001</v>
      </c>
      <c r="AK893" s="1364">
        <v>1038.9000000000001</v>
      </c>
      <c r="AL893" s="1225">
        <v>933.40</v>
      </c>
      <c r="AM893" s="1225">
        <v>1180.5999999999999</v>
      </c>
      <c r="AN893" s="1225">
        <v>1323.20</v>
      </c>
      <c r="AO893" s="1042">
        <f>AP893</f>
        <v>1447.90</v>
      </c>
      <c r="AP893" s="1364">
        <v>1447.90</v>
      </c>
      <c r="AQ893" s="1225">
        <v>1507.20</v>
      </c>
      <c r="AR893" s="1225">
        <v>1662.30</v>
      </c>
      <c r="AS893" s="1225">
        <v>1572.80</v>
      </c>
      <c r="AT893" s="1042">
        <f>AU893</f>
        <v>1639.90</v>
      </c>
      <c r="AU893" s="1364">
        <v>1639.90</v>
      </c>
      <c r="AV893" s="1225">
        <v>1527.50</v>
      </c>
      <c r="AW893" s="1225">
        <v>1360.50</v>
      </c>
      <c r="AX893" s="1225">
        <v>1254.4000000000001</v>
      </c>
      <c r="AY893" s="1042">
        <f>AZ893</f>
        <v>1213.20</v>
      </c>
      <c r="AZ893" s="1364">
        <v>1213.20</v>
      </c>
      <c r="BA893" s="1225">
        <v>1078.80</v>
      </c>
      <c r="BB893" s="1225">
        <v>985.10</v>
      </c>
      <c r="BC893" s="1225">
        <v>868.90</v>
      </c>
      <c r="BD893" s="1042">
        <f>BE893</f>
        <v>902.10</v>
      </c>
      <c r="BE893" s="1364">
        <v>902.10</v>
      </c>
      <c r="BF893" s="1225">
        <v>886.70</v>
      </c>
      <c r="BG893" s="1225">
        <v>838.20</v>
      </c>
      <c r="BH893" s="1226">
        <v>735</v>
      </c>
      <c r="BI893" s="1044"/>
      <c r="BJ893" s="1350"/>
      <c r="BK893" s="1044"/>
      <c r="BL893" s="1044"/>
      <c r="BM893" s="1044"/>
      <c r="BN893" s="1044"/>
      <c r="BO893" s="1350"/>
      <c r="BP893" s="1351"/>
      <c r="BQ893" s="1351"/>
      <c r="BR893" s="1350"/>
      <c r="BS893" s="647"/>
    </row>
    <row r="894" spans="1:71" s="665" customFormat="1" ht="15" hidden="1" outlineLevel="1">
      <c r="A894" s="31" t="s">
        <v>197</v>
      </c>
      <c r="B894" s="321"/>
      <c r="C894" s="1364">
        <v>816.20</v>
      </c>
      <c r="D894" s="1364">
        <v>1425</v>
      </c>
      <c r="E894" s="1364">
        <v>1845.60</v>
      </c>
      <c r="F894" s="1364">
        <v>1899</v>
      </c>
      <c r="G894" s="1364">
        <v>2530.50</v>
      </c>
      <c r="H894" s="1225">
        <v>2278.6999999999998</v>
      </c>
      <c r="I894" s="1225">
        <v>2381.6999999999998</v>
      </c>
      <c r="J894" s="1225">
        <v>2379.40</v>
      </c>
      <c r="K894" s="1042">
        <f>L894</f>
        <v>2492.3000000000002</v>
      </c>
      <c r="L894" s="1364">
        <v>2492.3000000000002</v>
      </c>
      <c r="M894" s="1225">
        <v>2515.6999999999998</v>
      </c>
      <c r="N894" s="1225">
        <v>2546.8000000000002</v>
      </c>
      <c r="O894" s="1225">
        <v>2483.90</v>
      </c>
      <c r="P894" s="1042">
        <f>Q894</f>
        <v>2650.50</v>
      </c>
      <c r="Q894" s="1364">
        <v>2650.50</v>
      </c>
      <c r="R894" s="1225">
        <v>2705</v>
      </c>
      <c r="S894" s="1225">
        <v>2765.40</v>
      </c>
      <c r="T894" s="1225">
        <v>2868</v>
      </c>
      <c r="U894" s="1042">
        <f>V894</f>
        <v>2812.40</v>
      </c>
      <c r="V894" s="1364">
        <v>2812.40</v>
      </c>
      <c r="W894" s="1225">
        <v>2978.10</v>
      </c>
      <c r="X894" s="1225">
        <v>3077.50</v>
      </c>
      <c r="Y894" s="1225">
        <v>3209.50</v>
      </c>
      <c r="Z894" s="1042">
        <f>AA894</f>
        <v>3399.80</v>
      </c>
      <c r="AA894" s="1364">
        <v>3399.80</v>
      </c>
      <c r="AB894" s="1225">
        <v>3033.20</v>
      </c>
      <c r="AC894" s="1225">
        <v>3142.20</v>
      </c>
      <c r="AD894" s="1225">
        <v>3057.30</v>
      </c>
      <c r="AE894" s="1042">
        <f>AF894</f>
        <v>2626.10</v>
      </c>
      <c r="AF894" s="1364">
        <v>2626.10</v>
      </c>
      <c r="AG894" s="1225">
        <v>3010.50</v>
      </c>
      <c r="AH894" s="1225">
        <v>3135.50</v>
      </c>
      <c r="AI894" s="1225">
        <v>3165.10</v>
      </c>
      <c r="AJ894" s="1042">
        <f>AK894</f>
        <v>3306.30</v>
      </c>
      <c r="AK894" s="1364">
        <v>3306.30</v>
      </c>
      <c r="AL894" s="1225">
        <v>2608.10</v>
      </c>
      <c r="AM894" s="1225">
        <v>3170.40</v>
      </c>
      <c r="AN894" s="1225">
        <v>3459.80</v>
      </c>
      <c r="AO894" s="1042">
        <f>AP894</f>
        <v>4053</v>
      </c>
      <c r="AP894" s="1364">
        <v>4053</v>
      </c>
      <c r="AQ894" s="1225">
        <v>4558.50</v>
      </c>
      <c r="AR894" s="1225">
        <v>4538.8999999999996</v>
      </c>
      <c r="AS894" s="1225">
        <v>4580.20</v>
      </c>
      <c r="AT894" s="1042">
        <f>AU894</f>
        <v>5058.50</v>
      </c>
      <c r="AU894" s="1364">
        <v>5058.50</v>
      </c>
      <c r="AV894" s="1225">
        <v>4812.6000000000004</v>
      </c>
      <c r="AW894" s="1225">
        <v>2784.70</v>
      </c>
      <c r="AX894" s="1225">
        <v>2665.30</v>
      </c>
      <c r="AY894" s="1042">
        <f>AZ894</f>
        <v>2821.50</v>
      </c>
      <c r="AZ894" s="1364">
        <v>2821.50</v>
      </c>
      <c r="BA894" s="1225">
        <v>2794.30</v>
      </c>
      <c r="BB894" s="1225">
        <v>2708.10</v>
      </c>
      <c r="BC894" s="1225">
        <v>2614.50</v>
      </c>
      <c r="BD894" s="1042">
        <f>BE894</f>
        <v>2928.40</v>
      </c>
      <c r="BE894" s="1364">
        <v>2928.40</v>
      </c>
      <c r="BF894" s="1225">
        <v>3194.90</v>
      </c>
      <c r="BG894" s="1225">
        <v>3295.60</v>
      </c>
      <c r="BH894" s="1226">
        <v>3497</v>
      </c>
      <c r="BI894" s="1044"/>
      <c r="BJ894" s="1350"/>
      <c r="BK894" s="1044"/>
      <c r="BL894" s="1044"/>
      <c r="BM894" s="1044"/>
      <c r="BN894" s="1044"/>
      <c r="BO894" s="1350"/>
      <c r="BP894" s="1351"/>
      <c r="BQ894" s="1351"/>
      <c r="BR894" s="1350"/>
      <c r="BS894" s="647"/>
    </row>
    <row r="895" spans="1:71" s="665" customFormat="1" ht="15" hidden="1" outlineLevel="1">
      <c r="A895" s="46" t="s">
        <v>198</v>
      </c>
      <c r="B895" s="261"/>
      <c r="C895" s="1365">
        <v>1078</v>
      </c>
      <c r="D895" s="1365">
        <v>1090.80</v>
      </c>
      <c r="E895" s="1365">
        <v>1551.80</v>
      </c>
      <c r="F895" s="1365">
        <v>1990</v>
      </c>
      <c r="G895" s="1365">
        <v>1272.5999999999999</v>
      </c>
      <c r="H895" s="1228">
        <v>1872.90</v>
      </c>
      <c r="I895" s="1228">
        <v>3118.70</v>
      </c>
      <c r="J895" s="1228">
        <v>2671.10</v>
      </c>
      <c r="K895" s="1027">
        <f>L895</f>
        <v>2149</v>
      </c>
      <c r="L895" s="1365">
        <v>2149</v>
      </c>
      <c r="M895" s="1228">
        <v>2267</v>
      </c>
      <c r="N895" s="1228">
        <v>1669.30</v>
      </c>
      <c r="O895" s="1228">
        <v>2132</v>
      </c>
      <c r="P895" s="1027">
        <f>Q895</f>
        <v>2172</v>
      </c>
      <c r="Q895" s="1365">
        <v>2172</v>
      </c>
      <c r="R895" s="1228">
        <v>3826.90</v>
      </c>
      <c r="S895" s="1228">
        <v>5166.3999999999996</v>
      </c>
      <c r="T895" s="1228">
        <v>5876.20</v>
      </c>
      <c r="U895" s="1027">
        <f>V895</f>
        <v>3572.90</v>
      </c>
      <c r="V895" s="1365">
        <v>3572.90</v>
      </c>
      <c r="W895" s="1228">
        <v>3040.80</v>
      </c>
      <c r="X895" s="1228">
        <v>3729.70</v>
      </c>
      <c r="Y895" s="1228">
        <v>4311.50</v>
      </c>
      <c r="Z895" s="1027">
        <f>AA895</f>
        <v>2869.40</v>
      </c>
      <c r="AA895" s="1365">
        <v>2869.40</v>
      </c>
      <c r="AB895" s="1228">
        <v>3052.40</v>
      </c>
      <c r="AC895" s="1228">
        <v>3231.20</v>
      </c>
      <c r="AD895" s="1228">
        <v>2809.70</v>
      </c>
      <c r="AE895" s="1027">
        <f>AF895</f>
        <v>1795.90</v>
      </c>
      <c r="AF895" s="1365">
        <v>1795.90</v>
      </c>
      <c r="AG895" s="1228">
        <v>2584.6999999999998</v>
      </c>
      <c r="AH895" s="1228">
        <v>1360.90</v>
      </c>
      <c r="AI895" s="1228">
        <v>1467.40</v>
      </c>
      <c r="AJ895" s="1027">
        <f>AK895</f>
        <v>1798.80</v>
      </c>
      <c r="AK895" s="1365">
        <v>1798.80</v>
      </c>
      <c r="AL895" s="1228">
        <v>2524.1999999999998</v>
      </c>
      <c r="AM895" s="1228">
        <v>4700.50</v>
      </c>
      <c r="AN895" s="1228">
        <v>4667.80</v>
      </c>
      <c r="AO895" s="1027">
        <f>AP895</f>
        <v>5218.50</v>
      </c>
      <c r="AP895" s="1365">
        <v>5218.50</v>
      </c>
      <c r="AQ895" s="1228">
        <v>2243.10</v>
      </c>
      <c r="AR895" s="1228">
        <v>1710.60</v>
      </c>
      <c r="AS895" s="1228">
        <v>1088.70</v>
      </c>
      <c r="AT895" s="1027">
        <f>AU895</f>
        <v>942.60</v>
      </c>
      <c r="AU895" s="1365">
        <v>942.60</v>
      </c>
      <c r="AV895" s="1228">
        <v>529.90</v>
      </c>
      <c r="AW895" s="1228">
        <v>4611.80</v>
      </c>
      <c r="AX895" s="1228">
        <v>4237.6000000000004</v>
      </c>
      <c r="AY895" s="1027">
        <f>AZ895</f>
        <v>2861.70</v>
      </c>
      <c r="AZ895" s="1365">
        <v>2861.70</v>
      </c>
      <c r="BA895" s="1228">
        <v>2524.10</v>
      </c>
      <c r="BB895" s="1228">
        <v>1494.30</v>
      </c>
      <c r="BC895" s="1228">
        <v>1795.20</v>
      </c>
      <c r="BD895" s="1027">
        <f>BE895</f>
        <v>1789.90</v>
      </c>
      <c r="BE895" s="1365">
        <v>1789.90</v>
      </c>
      <c r="BF895" s="1228">
        <v>1326.70</v>
      </c>
      <c r="BG895" s="1228">
        <v>733.40</v>
      </c>
      <c r="BH895" s="1229">
        <v>756.50</v>
      </c>
      <c r="BI895" s="1029"/>
      <c r="BJ895" s="1324"/>
      <c r="BK895" s="1029"/>
      <c r="BL895" s="1029"/>
      <c r="BM895" s="1029"/>
      <c r="BN895" s="1029"/>
      <c r="BO895" s="1324"/>
      <c r="BP895" s="1324"/>
      <c r="BQ895" s="1324"/>
      <c r="BR895" s="1324"/>
      <c r="BS895" s="647"/>
    </row>
    <row r="896" spans="1:71" s="665" customFormat="1" ht="15" collapsed="1">
      <c r="A896" s="371" t="s">
        <v>199</v>
      </c>
      <c r="B896" s="321"/>
      <c r="C896" s="1349">
        <f t="shared" si="1825" ref="C896:AM896">SUM(C892:C895)</f>
        <v>14713.40</v>
      </c>
      <c r="D896" s="1349">
        <f t="shared" si="1825"/>
        <v>15523.40</v>
      </c>
      <c r="E896" s="1349">
        <f t="shared" si="1825"/>
        <v>15962.999999999998</v>
      </c>
      <c r="F896" s="1349">
        <f t="shared" si="1825"/>
        <v>16475.50</v>
      </c>
      <c r="G896" s="1349">
        <f t="shared" si="1825"/>
        <v>18054.699999999997</v>
      </c>
      <c r="H896" s="1042">
        <f t="shared" si="1825"/>
        <v>17395.700000000001</v>
      </c>
      <c r="I896" s="1042">
        <f t="shared" si="1825"/>
        <v>18759.20</v>
      </c>
      <c r="J896" s="1042">
        <f t="shared" si="1825"/>
        <v>19083.199999999997</v>
      </c>
      <c r="K896" s="1042">
        <f t="shared" si="1825"/>
        <v>19018</v>
      </c>
      <c r="L896" s="1349">
        <f t="shared" si="1825"/>
        <v>19018</v>
      </c>
      <c r="M896" s="1042">
        <f t="shared" si="1825"/>
        <v>19830.60</v>
      </c>
      <c r="N896" s="1042">
        <f t="shared" si="1825"/>
        <v>20577.399999999998</v>
      </c>
      <c r="O896" s="1042">
        <f t="shared" si="1825"/>
        <v>21013.60</v>
      </c>
      <c r="P896" s="1042">
        <f t="shared" si="1825"/>
        <v>20937.300000000003</v>
      </c>
      <c r="Q896" s="1349">
        <f t="shared" si="1825"/>
        <v>20937.300000000003</v>
      </c>
      <c r="R896" s="1042">
        <f t="shared" si="1825"/>
        <v>21330.50</v>
      </c>
      <c r="S896" s="1042">
        <f t="shared" si="1825"/>
        <v>22379.800000000003</v>
      </c>
      <c r="T896" s="1042">
        <f t="shared" si="1825"/>
        <v>23521.20</v>
      </c>
      <c r="U896" s="1042">
        <f t="shared" si="1825"/>
        <v>23482.600000000002</v>
      </c>
      <c r="V896" s="1349">
        <f t="shared" si="1825"/>
        <v>23482.600000000002</v>
      </c>
      <c r="W896" s="1042">
        <f t="shared" si="1825"/>
        <v>24302.999999999996</v>
      </c>
      <c r="X896" s="1042">
        <f t="shared" si="1825"/>
        <v>25978.40</v>
      </c>
      <c r="Y896" s="1042">
        <f t="shared" si="1825"/>
        <v>26994.700000000001</v>
      </c>
      <c r="Z896" s="1042">
        <f t="shared" si="1825"/>
        <v>27274.700000000001</v>
      </c>
      <c r="AA896" s="1349">
        <f t="shared" si="1825"/>
        <v>27274.700000000001</v>
      </c>
      <c r="AB896" s="1042">
        <f t="shared" si="1825"/>
        <v>29251.60</v>
      </c>
      <c r="AC896" s="1042">
        <f t="shared" si="1825"/>
        <v>30921.20</v>
      </c>
      <c r="AD896" s="1042">
        <f t="shared" si="1825"/>
        <v>32350.600000000002</v>
      </c>
      <c r="AE896" s="1042">
        <f t="shared" si="1825"/>
        <v>33567.400000000001</v>
      </c>
      <c r="AF896" s="1349">
        <f t="shared" si="1825"/>
        <v>33567.400000000001</v>
      </c>
      <c r="AG896" s="1042">
        <f t="shared" si="1825"/>
        <v>34512.50</v>
      </c>
      <c r="AH896" s="1042">
        <f t="shared" si="1825"/>
        <v>36814.599999999999</v>
      </c>
      <c r="AI896" s="1042">
        <f t="shared" si="1825"/>
        <v>38573.699999999997</v>
      </c>
      <c r="AJ896" s="1042">
        <f t="shared" si="1825"/>
        <v>39254.30000000001</v>
      </c>
      <c r="AK896" s="1349">
        <f t="shared" si="1825"/>
        <v>39254.30000000001</v>
      </c>
      <c r="AL896" s="1042">
        <f t="shared" si="1825"/>
        <v>40342.299999999996</v>
      </c>
      <c r="AM896" s="1042">
        <f t="shared" si="1825"/>
        <v>43777.900000000001</v>
      </c>
      <c r="AN896" s="1042">
        <f t="shared" si="1826" ref="AN896:AU896">SUM(AN892:AN895)</f>
        <v>45764.300000000003</v>
      </c>
      <c r="AO896" s="1042">
        <f t="shared" si="1826"/>
        <v>47530.300000000003</v>
      </c>
      <c r="AP896" s="1349">
        <f t="shared" si="1826"/>
        <v>47530.300000000003</v>
      </c>
      <c r="AQ896" s="1042">
        <f t="shared" si="1826"/>
        <v>47400.599999999999</v>
      </c>
      <c r="AR896" s="1042">
        <f t="shared" si="1826"/>
        <v>50942.800000000003</v>
      </c>
      <c r="AS896" s="1042">
        <f t="shared" si="1826"/>
        <v>52287.399999999994</v>
      </c>
      <c r="AT896" s="1042">
        <f t="shared" si="1826"/>
        <v>51514.099999999999</v>
      </c>
      <c r="AU896" s="1349">
        <f t="shared" si="1826"/>
        <v>51514.099999999999</v>
      </c>
      <c r="AV896" s="1042">
        <f>SUM(AV892:AV895)</f>
        <v>53186.40</v>
      </c>
      <c r="AW896" s="1042">
        <f>SUM(AW892:AW895)</f>
        <v>51929.50</v>
      </c>
      <c r="AX896" s="1042">
        <f>SUM(AX892:AX895)</f>
        <v>52330.40</v>
      </c>
      <c r="AY896" s="1042">
        <f t="shared" si="1827" ref="AY896">SUM(AY892:AY895)</f>
        <v>53548.299999999996</v>
      </c>
      <c r="AZ896" s="1349">
        <f t="shared" si="1828" ref="AZ896:BE896">SUM(AZ892:AZ895)</f>
        <v>53548.299999999996</v>
      </c>
      <c r="BA896" s="1042">
        <f t="shared" si="1828"/>
        <v>56686.40</v>
      </c>
      <c r="BB896" s="1042">
        <f t="shared" si="1828"/>
        <v>59265.60</v>
      </c>
      <c r="BC896" s="1042">
        <f t="shared" si="1828"/>
        <v>61870.50</v>
      </c>
      <c r="BD896" s="1042">
        <f t="shared" si="1828"/>
        <v>65998.599999999991</v>
      </c>
      <c r="BE896" s="1349">
        <f t="shared" si="1828"/>
        <v>65998.599999999991</v>
      </c>
      <c r="BF896" s="1042">
        <f>SUM(BF892:BF895)</f>
        <v>69037.999999999985</v>
      </c>
      <c r="BG896" s="1042">
        <f>SUM(BG892:BG895)</f>
        <v>72355.50</v>
      </c>
      <c r="BH896" s="1043">
        <f>SUM(BH892:BH895)</f>
        <v>79399.699999999997</v>
      </c>
      <c r="BI896" s="1044">
        <f>BH896-BI827</f>
        <v>72508.965000000011</v>
      </c>
      <c r="BJ896" s="1350">
        <f t="shared" si="1829" ref="BJ896:BJ909">BI896</f>
        <v>72508.965000000011</v>
      </c>
      <c r="BK896" s="1044">
        <f>BJ896-BK827</f>
        <v>72489.899999999994</v>
      </c>
      <c r="BL896" s="1044">
        <f>BK896-BL827</f>
        <v>75973.275000000023</v>
      </c>
      <c r="BM896" s="1044">
        <f>BL896-BM827</f>
        <v>83369.684999999998</v>
      </c>
      <c r="BN896" s="1044">
        <f>BM896-BN827</f>
        <v>76134.413249999998</v>
      </c>
      <c r="BO896" s="1350">
        <f t="shared" si="1830" ref="BO896:BO909">BN896</f>
        <v>76134.413249999998</v>
      </c>
      <c r="BP896" s="1351">
        <f>BO896-BP827</f>
        <v>79941.133912500023</v>
      </c>
      <c r="BQ896" s="1351">
        <f>BP896-BQ827</f>
        <v>83938.190608125005</v>
      </c>
      <c r="BR896" s="1350">
        <f>BQ896-BR827</f>
        <v>88135.10013853127</v>
      </c>
      <c r="BS896" s="647"/>
    </row>
    <row r="897" spans="1:71" s="665" customFormat="1" ht="15">
      <c r="A897" s="999" t="s">
        <v>200</v>
      </c>
      <c r="B897" s="321"/>
      <c r="C897" s="1364">
        <v>160.69999999999999</v>
      </c>
      <c r="D897" s="1364">
        <v>158.90000000000001</v>
      </c>
      <c r="E897" s="1364">
        <v>155.69999999999999</v>
      </c>
      <c r="F897" s="1364">
        <v>179.10</v>
      </c>
      <c r="G897" s="1364">
        <v>75.099999999999994</v>
      </c>
      <c r="H897" s="1225">
        <v>96.70</v>
      </c>
      <c r="I897" s="1225">
        <v>126.09999999999999</v>
      </c>
      <c r="J897" s="1225">
        <v>90.60</v>
      </c>
      <c r="K897" s="1047">
        <f t="shared" si="1831" ref="K897:K909">L897</f>
        <v>108.40000000000001</v>
      </c>
      <c r="L897" s="1364">
        <v>108.40000000000001</v>
      </c>
      <c r="M897" s="1225">
        <v>101.50</v>
      </c>
      <c r="N897" s="1225">
        <v>263.80</v>
      </c>
      <c r="O897" s="1225">
        <v>194.50</v>
      </c>
      <c r="P897" s="1047">
        <f t="shared" si="1832" ref="P897:P909">Q897</f>
        <v>224.40</v>
      </c>
      <c r="Q897" s="1364">
        <v>224.40</v>
      </c>
      <c r="R897" s="1225">
        <v>209.90</v>
      </c>
      <c r="S897" s="1225">
        <v>134.69999999999999</v>
      </c>
      <c r="T897" s="1225">
        <v>143.40000000000001</v>
      </c>
      <c r="U897" s="1047">
        <f t="shared" si="1833" ref="U897:U909">V897</f>
        <v>211.50</v>
      </c>
      <c r="V897" s="1364">
        <v>211.50</v>
      </c>
      <c r="W897" s="1225">
        <v>214.50</v>
      </c>
      <c r="X897" s="1225">
        <v>161</v>
      </c>
      <c r="Y897" s="1225">
        <v>224.90</v>
      </c>
      <c r="Z897" s="1047">
        <f t="shared" si="1834" ref="Z897:Z909">AA897</f>
        <v>265</v>
      </c>
      <c r="AA897" s="1364">
        <v>265</v>
      </c>
      <c r="AB897" s="1225">
        <v>190.10</v>
      </c>
      <c r="AC897" s="1225">
        <v>154.80000000000001</v>
      </c>
      <c r="AD897" s="1225">
        <v>121.90000000000001</v>
      </c>
      <c r="AE897" s="1047">
        <f t="shared" si="1835" ref="AE897:AE909">AF897</f>
        <v>69.50</v>
      </c>
      <c r="AF897" s="1364">
        <v>69.50</v>
      </c>
      <c r="AG897" s="1225">
        <v>158</v>
      </c>
      <c r="AH897" s="1225">
        <v>91.90</v>
      </c>
      <c r="AI897" s="1225">
        <v>45.90</v>
      </c>
      <c r="AJ897" s="1047">
        <f t="shared" si="1836" ref="AJ897:AJ909">AK897</f>
        <v>226.20</v>
      </c>
      <c r="AK897" s="1364">
        <v>226.20</v>
      </c>
      <c r="AL897" s="1225">
        <v>369.50</v>
      </c>
      <c r="AM897" s="1225">
        <v>108</v>
      </c>
      <c r="AN897" s="1225">
        <v>90.10</v>
      </c>
      <c r="AO897" s="1047">
        <f t="shared" si="1837" ref="AO897:AO909">AP897</f>
        <v>76.50</v>
      </c>
      <c r="AP897" s="1364">
        <v>76.50</v>
      </c>
      <c r="AQ897" s="1225">
        <v>122.90000000000001</v>
      </c>
      <c r="AR897" s="1225">
        <v>99.50</v>
      </c>
      <c r="AS897" s="1225">
        <v>270.60000000000002</v>
      </c>
      <c r="AT897" s="1047">
        <f t="shared" si="1838" ref="AT897:AT909">AU897</f>
        <v>187.10</v>
      </c>
      <c r="AU897" s="1364">
        <v>187.10</v>
      </c>
      <c r="AV897" s="1225">
        <v>272.70</v>
      </c>
      <c r="AW897" s="1225">
        <v>226.10</v>
      </c>
      <c r="AX897" s="1225">
        <v>350.90</v>
      </c>
      <c r="AY897" s="1047">
        <f t="shared" si="1839" ref="AY897:AY909">AZ897</f>
        <v>203.50</v>
      </c>
      <c r="AZ897" s="1364">
        <v>203.50</v>
      </c>
      <c r="BA897" s="1225">
        <v>273.70</v>
      </c>
      <c r="BB897" s="1225">
        <v>163.90</v>
      </c>
      <c r="BC897" s="1225">
        <v>123.50</v>
      </c>
      <c r="BD897" s="1047">
        <f t="shared" si="1840" ref="BD897:BD909">BE897</f>
        <v>84.90</v>
      </c>
      <c r="BE897" s="1364">
        <v>84.90</v>
      </c>
      <c r="BF897" s="1225">
        <v>154.50</v>
      </c>
      <c r="BG897" s="1225">
        <v>90.20</v>
      </c>
      <c r="BH897" s="1226">
        <v>136.09999999999999</v>
      </c>
      <c r="BI897" s="1044">
        <f ca="1">BI861-BI898</f>
        <v>9765.1113846558364</v>
      </c>
      <c r="BJ897" s="1350">
        <f t="shared" ca="1" si="1829"/>
        <v>9765.1113846558364</v>
      </c>
      <c r="BK897" s="1044">
        <f ca="1">BK861-BK898</f>
        <v>13133.108113741659</v>
      </c>
      <c r="BL897" s="1044">
        <f ca="1">BL861-BL898</f>
        <v>12826.443391137411</v>
      </c>
      <c r="BM897" s="1044">
        <f ca="1">BM861-BM898</f>
        <v>8437.7492421577135</v>
      </c>
      <c r="BN897" s="1044">
        <f ca="1">BN861-BN898</f>
        <v>19061.31256932862</v>
      </c>
      <c r="BO897" s="1350">
        <f t="shared" ca="1" si="1830"/>
        <v>19061.31256932862</v>
      </c>
      <c r="BP897" s="1351">
        <f ca="1">BP861-BP898</f>
        <v>29083.711934172759</v>
      </c>
      <c r="BQ897" s="1351">
        <f ca="1">BQ861-BQ898</f>
        <v>39527.279499360775</v>
      </c>
      <c r="BR897" s="1350">
        <f ca="1">BR861-BR898</f>
        <v>50403.793686269673</v>
      </c>
      <c r="BS897" s="647"/>
    </row>
    <row r="898" spans="1:71" s="665" customFormat="1" ht="15">
      <c r="A898" s="371" t="s">
        <v>156</v>
      </c>
      <c r="B898" s="321"/>
      <c r="C898" s="1351"/>
      <c r="D898" s="1351"/>
      <c r="E898" s="1351"/>
      <c r="F898" s="1351"/>
      <c r="G898" s="1351"/>
      <c r="H898" s="1047"/>
      <c r="I898" s="1047"/>
      <c r="J898" s="1047"/>
      <c r="K898" s="1042">
        <f t="shared" si="1831"/>
        <v>0</v>
      </c>
      <c r="L898" s="1351"/>
      <c r="M898" s="1047"/>
      <c r="N898" s="1047"/>
      <c r="O898" s="1047"/>
      <c r="P898" s="1042">
        <f t="shared" si="1832"/>
        <v>0</v>
      </c>
      <c r="Q898" s="1351"/>
      <c r="R898" s="1047"/>
      <c r="S898" s="1047"/>
      <c r="T898" s="1225">
        <v>22.30</v>
      </c>
      <c r="U898" s="1042">
        <f t="shared" si="1833"/>
        <v>14.90</v>
      </c>
      <c r="V898" s="1364">
        <v>14.90</v>
      </c>
      <c r="W898" s="1225">
        <v>0.50</v>
      </c>
      <c r="X898" s="1225">
        <v>0.80</v>
      </c>
      <c r="Y898" s="1225">
        <v>31.40</v>
      </c>
      <c r="Z898" s="1042">
        <f t="shared" si="1834"/>
        <v>10.30</v>
      </c>
      <c r="AA898" s="1364">
        <v>10.30</v>
      </c>
      <c r="AB898" s="1225">
        <v>6.50</v>
      </c>
      <c r="AC898" s="1225">
        <v>2.90</v>
      </c>
      <c r="AD898" s="1225">
        <v>0.80</v>
      </c>
      <c r="AE898" s="1042">
        <f t="shared" si="1835"/>
        <v>5.50</v>
      </c>
      <c r="AF898" s="1364">
        <v>5.50</v>
      </c>
      <c r="AG898" s="1225">
        <v>0.70</v>
      </c>
      <c r="AH898" s="1225">
        <v>1</v>
      </c>
      <c r="AI898" s="1225">
        <v>0.30</v>
      </c>
      <c r="AJ898" s="1042">
        <f t="shared" si="1836"/>
        <v>1.20</v>
      </c>
      <c r="AK898" s="1364">
        <v>1.20</v>
      </c>
      <c r="AL898" s="1225">
        <v>0.90</v>
      </c>
      <c r="AM898" s="1225">
        <v>1.1000000000000001</v>
      </c>
      <c r="AN898" s="1225">
        <v>1</v>
      </c>
      <c r="AO898" s="1042">
        <f t="shared" si="1837"/>
        <v>0</v>
      </c>
      <c r="AP898" s="1364">
        <v>0</v>
      </c>
      <c r="AQ898" s="1225">
        <v>0.30</v>
      </c>
      <c r="AR898" s="1225">
        <v>15.10</v>
      </c>
      <c r="AS898" s="1225">
        <v>14.90</v>
      </c>
      <c r="AT898" s="1042">
        <f t="shared" si="1838"/>
        <v>15</v>
      </c>
      <c r="AU898" s="1364">
        <v>15</v>
      </c>
      <c r="AV898" s="1225">
        <v>14.60</v>
      </c>
      <c r="AW898" s="1225">
        <v>14.40</v>
      </c>
      <c r="AX898" s="1225">
        <v>14.40</v>
      </c>
      <c r="AY898" s="1042">
        <f t="shared" si="1839"/>
        <v>17.40</v>
      </c>
      <c r="AZ898" s="1364">
        <v>17.40</v>
      </c>
      <c r="BA898" s="1225">
        <v>14.90</v>
      </c>
      <c r="BB898" s="1225">
        <v>15.60</v>
      </c>
      <c r="BC898" s="1225">
        <v>14.90</v>
      </c>
      <c r="BD898" s="1042">
        <f t="shared" si="1840"/>
        <v>14.70</v>
      </c>
      <c r="BE898" s="1364">
        <v>14.70</v>
      </c>
      <c r="BF898" s="1225">
        <v>13.40</v>
      </c>
      <c r="BG898" s="1225">
        <v>11.50</v>
      </c>
      <c r="BH898" s="1226">
        <v>10.90</v>
      </c>
      <c r="BI898" s="1044">
        <f>BH898</f>
        <v>10.90</v>
      </c>
      <c r="BJ898" s="1350">
        <f t="shared" si="1829"/>
        <v>10.90</v>
      </c>
      <c r="BK898" s="1044">
        <f t="shared" si="1841" ref="BK898:BN902">BJ898</f>
        <v>10.90</v>
      </c>
      <c r="BL898" s="1044">
        <f t="shared" si="1841"/>
        <v>10.90</v>
      </c>
      <c r="BM898" s="1044">
        <f t="shared" si="1841"/>
        <v>10.90</v>
      </c>
      <c r="BN898" s="1044">
        <f t="shared" si="1841"/>
        <v>10.90</v>
      </c>
      <c r="BO898" s="1350">
        <f t="shared" si="1830"/>
        <v>10.90</v>
      </c>
      <c r="BP898" s="1351">
        <f t="shared" si="1842" ref="BP898:BR902">BO898</f>
        <v>10.90</v>
      </c>
      <c r="BQ898" s="1351">
        <f t="shared" si="1842"/>
        <v>10.90</v>
      </c>
      <c r="BR898" s="1350">
        <f t="shared" si="1842"/>
        <v>10.90</v>
      </c>
      <c r="BS898" s="647"/>
    </row>
    <row r="899" spans="1:71" s="665" customFormat="1" ht="15">
      <c r="A899" s="371" t="s">
        <v>201</v>
      </c>
      <c r="B899" s="321"/>
      <c r="C899" s="1364">
        <v>110.40000000000001</v>
      </c>
      <c r="D899" s="1364">
        <v>109.30</v>
      </c>
      <c r="E899" s="1364">
        <v>105.70</v>
      </c>
      <c r="F899" s="1364">
        <v>90</v>
      </c>
      <c r="G899" s="1364">
        <v>89.80</v>
      </c>
      <c r="H899" s="1225">
        <v>82.30</v>
      </c>
      <c r="I899" s="1225">
        <v>82.90</v>
      </c>
      <c r="J899" s="1225">
        <v>81.900000000000006</v>
      </c>
      <c r="K899" s="1042">
        <f t="shared" si="1831"/>
        <v>87.30</v>
      </c>
      <c r="L899" s="1364">
        <v>87.30</v>
      </c>
      <c r="M899" s="1225">
        <v>84.70</v>
      </c>
      <c r="N899" s="1225">
        <v>100.40000000000001</v>
      </c>
      <c r="O899" s="1225">
        <v>103.59999999999999</v>
      </c>
      <c r="P899" s="1042">
        <f t="shared" si="1832"/>
        <v>102.20</v>
      </c>
      <c r="Q899" s="1364">
        <v>102.20</v>
      </c>
      <c r="R899" s="1225">
        <v>93.60</v>
      </c>
      <c r="S899" s="1225">
        <v>93.90</v>
      </c>
      <c r="T899" s="1225">
        <v>97.30</v>
      </c>
      <c r="U899" s="1042">
        <f t="shared" si="1833"/>
        <v>103.90000000000001</v>
      </c>
      <c r="V899" s="1364">
        <v>103.90000000000001</v>
      </c>
      <c r="W899" s="1225">
        <v>110.09999999999999</v>
      </c>
      <c r="X899" s="1225">
        <v>112.09999999999999</v>
      </c>
      <c r="Y899" s="1225">
        <v>113</v>
      </c>
      <c r="Z899" s="1042">
        <f t="shared" si="1834"/>
        <v>119.70</v>
      </c>
      <c r="AA899" s="1364">
        <v>119.70</v>
      </c>
      <c r="AB899" s="1225">
        <v>139.19999999999999</v>
      </c>
      <c r="AC899" s="1225">
        <v>146.30000000000001</v>
      </c>
      <c r="AD899" s="1225">
        <v>159.50</v>
      </c>
      <c r="AE899" s="1042">
        <f t="shared" si="1835"/>
        <v>190.80</v>
      </c>
      <c r="AF899" s="1364">
        <v>190.80</v>
      </c>
      <c r="AG899" s="1225">
        <v>172.10</v>
      </c>
      <c r="AH899" s="1225">
        <v>187.50</v>
      </c>
      <c r="AI899" s="1225">
        <v>182.50</v>
      </c>
      <c r="AJ899" s="1042">
        <f t="shared" si="1836"/>
        <v>181.30</v>
      </c>
      <c r="AK899" s="1364">
        <v>181.30</v>
      </c>
      <c r="AL899" s="1225">
        <v>171.60</v>
      </c>
      <c r="AM899" s="1225">
        <v>190.80</v>
      </c>
      <c r="AN899" s="1225">
        <v>181.50</v>
      </c>
      <c r="AO899" s="1042">
        <f t="shared" si="1837"/>
        <v>176.40</v>
      </c>
      <c r="AP899" s="1364">
        <v>176.40</v>
      </c>
      <c r="AQ899" s="1225">
        <v>166</v>
      </c>
      <c r="AR899" s="1225">
        <v>179.30</v>
      </c>
      <c r="AS899" s="1225">
        <v>168.60</v>
      </c>
      <c r="AT899" s="1042">
        <f t="shared" si="1838"/>
        <v>181.70</v>
      </c>
      <c r="AU899" s="1364">
        <v>181.70</v>
      </c>
      <c r="AV899" s="1225">
        <v>193.40</v>
      </c>
      <c r="AW899" s="1225">
        <v>216.70</v>
      </c>
      <c r="AX899" s="1225">
        <v>217.40</v>
      </c>
      <c r="AY899" s="1042">
        <f t="shared" si="1839"/>
        <v>282.50</v>
      </c>
      <c r="AZ899" s="1364">
        <v>282.50</v>
      </c>
      <c r="BA899" s="1225">
        <v>299.50</v>
      </c>
      <c r="BB899" s="1225">
        <v>354.20</v>
      </c>
      <c r="BC899" s="1225">
        <v>378.10</v>
      </c>
      <c r="BD899" s="1042">
        <f t="shared" si="1840"/>
        <v>438</v>
      </c>
      <c r="BE899" s="1364">
        <v>438</v>
      </c>
      <c r="BF899" s="1225">
        <v>464.20</v>
      </c>
      <c r="BG899" s="1225">
        <v>564.10</v>
      </c>
      <c r="BH899" s="1226">
        <v>560.29999999999995</v>
      </c>
      <c r="BI899" s="1044">
        <f>BH899</f>
        <v>560.29999999999995</v>
      </c>
      <c r="BJ899" s="1350">
        <f t="shared" si="1829"/>
        <v>560.29999999999995</v>
      </c>
      <c r="BK899" s="1044">
        <f t="shared" si="1841"/>
        <v>560.29999999999995</v>
      </c>
      <c r="BL899" s="1044">
        <f t="shared" si="1841"/>
        <v>560.29999999999995</v>
      </c>
      <c r="BM899" s="1044">
        <f t="shared" si="1841"/>
        <v>560.29999999999995</v>
      </c>
      <c r="BN899" s="1044">
        <f t="shared" si="1841"/>
        <v>560.29999999999995</v>
      </c>
      <c r="BO899" s="1350">
        <f t="shared" si="1830"/>
        <v>560.29999999999995</v>
      </c>
      <c r="BP899" s="1351">
        <f t="shared" si="1842"/>
        <v>560.29999999999995</v>
      </c>
      <c r="BQ899" s="1351">
        <f t="shared" si="1842"/>
        <v>560.29999999999995</v>
      </c>
      <c r="BR899" s="1350">
        <f t="shared" si="1842"/>
        <v>560.29999999999995</v>
      </c>
      <c r="BS899" s="647"/>
    </row>
    <row r="900" spans="1:71" s="665" customFormat="1" ht="15">
      <c r="A900" s="371" t="s">
        <v>149</v>
      </c>
      <c r="B900" s="321"/>
      <c r="C900" s="1364">
        <v>2454.8000000000002</v>
      </c>
      <c r="D900" s="1364">
        <v>2738.40</v>
      </c>
      <c r="E900" s="1364">
        <v>2929.80</v>
      </c>
      <c r="F900" s="1364">
        <v>3183.70</v>
      </c>
      <c r="G900" s="1364">
        <v>3310.70</v>
      </c>
      <c r="H900" s="1225">
        <v>3515.90</v>
      </c>
      <c r="I900" s="1225">
        <v>3566.30</v>
      </c>
      <c r="J900" s="1225">
        <v>3705.60</v>
      </c>
      <c r="K900" s="1042">
        <f t="shared" si="1831"/>
        <v>3537.50</v>
      </c>
      <c r="L900" s="1364">
        <v>3537.50</v>
      </c>
      <c r="M900" s="1225">
        <v>3777</v>
      </c>
      <c r="N900" s="1225">
        <v>3867.30</v>
      </c>
      <c r="O900" s="1225">
        <v>4139.80</v>
      </c>
      <c r="P900" s="1042">
        <f t="shared" si="1832"/>
        <v>3987.70</v>
      </c>
      <c r="Q900" s="1364">
        <v>3987.70</v>
      </c>
      <c r="R900" s="1225">
        <v>4378.8999999999996</v>
      </c>
      <c r="S900" s="1225">
        <v>4522.20</v>
      </c>
      <c r="T900" s="1225">
        <v>4743.6000000000004</v>
      </c>
      <c r="U900" s="1042">
        <f t="shared" si="1833"/>
        <v>4509.20</v>
      </c>
      <c r="V900" s="1364">
        <v>4509.20</v>
      </c>
      <c r="W900" s="1225">
        <v>4850.70</v>
      </c>
      <c r="X900" s="1225">
        <v>5091.30</v>
      </c>
      <c r="Y900" s="1225">
        <v>5519.90</v>
      </c>
      <c r="Z900" s="1042">
        <f t="shared" si="1834"/>
        <v>5422.50</v>
      </c>
      <c r="AA900" s="1364">
        <v>5422.50</v>
      </c>
      <c r="AB900" s="1225">
        <v>6043.80</v>
      </c>
      <c r="AC900" s="1225">
        <v>6230.20</v>
      </c>
      <c r="AD900" s="1225">
        <v>6776.60</v>
      </c>
      <c r="AE900" s="1042">
        <f t="shared" si="1835"/>
        <v>6497.10</v>
      </c>
      <c r="AF900" s="1364">
        <v>6497.10</v>
      </c>
      <c r="AG900" s="1225">
        <v>7189.80</v>
      </c>
      <c r="AH900" s="1225">
        <v>7167.10</v>
      </c>
      <c r="AI900" s="1225">
        <v>7687.20</v>
      </c>
      <c r="AJ900" s="1042">
        <f t="shared" si="1836"/>
        <v>7507.30</v>
      </c>
      <c r="AK900" s="1364">
        <v>7507.30</v>
      </c>
      <c r="AL900" s="1225">
        <v>7568.30</v>
      </c>
      <c r="AM900" s="1225">
        <v>7557.40</v>
      </c>
      <c r="AN900" s="1225">
        <v>8574.2999999999993</v>
      </c>
      <c r="AO900" s="1042">
        <f t="shared" si="1837"/>
        <v>8160.10</v>
      </c>
      <c r="AP900" s="1364">
        <v>8160.10</v>
      </c>
      <c r="AQ900" s="1225">
        <v>9218.7999999999993</v>
      </c>
      <c r="AR900" s="1225">
        <v>9436.2000000000007</v>
      </c>
      <c r="AS900" s="1225">
        <v>10246.700000000001</v>
      </c>
      <c r="AT900" s="1042">
        <f t="shared" si="1838"/>
        <v>9399.50</v>
      </c>
      <c r="AU900" s="1364">
        <v>9399.50</v>
      </c>
      <c r="AV900" s="1225">
        <v>10519</v>
      </c>
      <c r="AW900" s="1225">
        <v>10561.80</v>
      </c>
      <c r="AX900" s="1225">
        <v>10867.700000000001</v>
      </c>
      <c r="AY900" s="1042">
        <f t="shared" si="1839"/>
        <v>10416.90</v>
      </c>
      <c r="AZ900" s="1364">
        <v>10416.90</v>
      </c>
      <c r="BA900" s="1225">
        <v>12411.40</v>
      </c>
      <c r="BB900" s="1225">
        <v>12273.299999999999</v>
      </c>
      <c r="BC900" s="1225">
        <v>12408</v>
      </c>
      <c r="BD900" s="1042">
        <f t="shared" si="1840"/>
        <v>11958.20</v>
      </c>
      <c r="BE900" s="1364">
        <v>11958.20</v>
      </c>
      <c r="BF900" s="1225">
        <v>14192.50</v>
      </c>
      <c r="BG900" s="1225">
        <v>14544.50</v>
      </c>
      <c r="BH900" s="1226">
        <v>15135.40</v>
      </c>
      <c r="BI900" s="1044">
        <f>BH900</f>
        <v>15135.40</v>
      </c>
      <c r="BJ900" s="1350">
        <f t="shared" si="1829"/>
        <v>15135.40</v>
      </c>
      <c r="BK900" s="1044">
        <f t="shared" si="1841"/>
        <v>15135.40</v>
      </c>
      <c r="BL900" s="1044">
        <f t="shared" si="1841"/>
        <v>15135.40</v>
      </c>
      <c r="BM900" s="1044">
        <f t="shared" si="1841"/>
        <v>15135.40</v>
      </c>
      <c r="BN900" s="1044">
        <f t="shared" si="1841"/>
        <v>15135.40</v>
      </c>
      <c r="BO900" s="1350">
        <f t="shared" si="1830"/>
        <v>15135.40</v>
      </c>
      <c r="BP900" s="1351">
        <f t="shared" si="1842"/>
        <v>15135.40</v>
      </c>
      <c r="BQ900" s="1351">
        <f t="shared" si="1842"/>
        <v>15135.40</v>
      </c>
      <c r="BR900" s="1350">
        <f t="shared" si="1842"/>
        <v>15135.40</v>
      </c>
      <c r="BS900" s="647"/>
    </row>
    <row r="901" spans="1:71" s="665" customFormat="1" ht="15">
      <c r="A901" s="371" t="s">
        <v>586</v>
      </c>
      <c r="B901" s="321"/>
      <c r="C901" s="1364">
        <v>564.79999999999995</v>
      </c>
      <c r="D901" s="1364">
        <v>741.50</v>
      </c>
      <c r="E901" s="1364">
        <v>818</v>
      </c>
      <c r="F901" s="1364">
        <v>901</v>
      </c>
      <c r="G901" s="1364">
        <v>1090.20</v>
      </c>
      <c r="H901" s="1225">
        <v>1111.50</v>
      </c>
      <c r="I901" s="1225">
        <v>1135</v>
      </c>
      <c r="J901" s="1225">
        <v>1165.9000000000001</v>
      </c>
      <c r="K901" s="1042">
        <f t="shared" si="1831"/>
        <v>1231.9000000000001</v>
      </c>
      <c r="L901" s="1364">
        <v>1231.9000000000001</v>
      </c>
      <c r="M901" s="1225">
        <v>1257.20</v>
      </c>
      <c r="N901" s="1225">
        <v>1402.30</v>
      </c>
      <c r="O901" s="1225">
        <v>1415</v>
      </c>
      <c r="P901" s="1042">
        <f t="shared" si="1832"/>
        <v>1488.80</v>
      </c>
      <c r="Q901" s="1364">
        <v>1488.80</v>
      </c>
      <c r="R901" s="1225">
        <v>1568.20</v>
      </c>
      <c r="S901" s="1225">
        <v>1669.70</v>
      </c>
      <c r="T901" s="1225">
        <v>1901.70</v>
      </c>
      <c r="U901" s="1042">
        <f t="shared" si="1833"/>
        <v>1884.80</v>
      </c>
      <c r="V901" s="1364">
        <v>1884.80</v>
      </c>
      <c r="W901" s="1225">
        <v>1939</v>
      </c>
      <c r="X901" s="1225">
        <v>2027.10</v>
      </c>
      <c r="Y901" s="1225">
        <v>2701.10</v>
      </c>
      <c r="Z901" s="1042">
        <f t="shared" si="1834"/>
        <v>2273.40</v>
      </c>
      <c r="AA901" s="1364">
        <v>2273.40</v>
      </c>
      <c r="AB901" s="1225">
        <v>2239.10</v>
      </c>
      <c r="AC901" s="1225">
        <v>2410.6999999999998</v>
      </c>
      <c r="AD901" s="1225">
        <v>2490.50</v>
      </c>
      <c r="AE901" s="1042">
        <f t="shared" si="1835"/>
        <v>2696.10</v>
      </c>
      <c r="AF901" s="1364">
        <v>2696.10</v>
      </c>
      <c r="AG901" s="1225">
        <v>2842.80</v>
      </c>
      <c r="AH901" s="1225">
        <v>3051.50</v>
      </c>
      <c r="AI901" s="1225">
        <v>3298.40</v>
      </c>
      <c r="AJ901" s="1042">
        <f t="shared" si="1836"/>
        <v>3378.90</v>
      </c>
      <c r="AK901" s="1364">
        <v>3378.90</v>
      </c>
      <c r="AL901" s="1225">
        <v>3639.60</v>
      </c>
      <c r="AM901" s="1225">
        <v>3654.30</v>
      </c>
      <c r="AN901" s="1225">
        <v>3987.30</v>
      </c>
      <c r="AO901" s="1042">
        <f t="shared" si="1837"/>
        <v>4019.40</v>
      </c>
      <c r="AP901" s="1364">
        <v>4019.40</v>
      </c>
      <c r="AQ901" s="1225">
        <v>4143.20</v>
      </c>
      <c r="AR901" s="1225">
        <v>4709.1000000000004</v>
      </c>
      <c r="AS901" s="1225">
        <v>5044.8999999999996</v>
      </c>
      <c r="AT901" s="1042">
        <f t="shared" si="1838"/>
        <v>4980.50</v>
      </c>
      <c r="AU901" s="1364">
        <v>4980.50</v>
      </c>
      <c r="AV901" s="1225">
        <v>5025</v>
      </c>
      <c r="AW901" s="1225">
        <v>4961.20</v>
      </c>
      <c r="AX901" s="1225">
        <v>6306.80</v>
      </c>
      <c r="AY901" s="1042">
        <f t="shared" si="1839"/>
        <v>5832.10</v>
      </c>
      <c r="AZ901" s="1364">
        <v>5832.10</v>
      </c>
      <c r="BA901" s="1225">
        <v>5616.20</v>
      </c>
      <c r="BB901" s="1225">
        <v>5516.90</v>
      </c>
      <c r="BC901" s="1225">
        <v>5331.20</v>
      </c>
      <c r="BD901" s="1042">
        <f t="shared" si="1840"/>
        <v>5093.8999999999996</v>
      </c>
      <c r="BE901" s="1364">
        <v>5093.8999999999996</v>
      </c>
      <c r="BF901" s="1225">
        <v>5003.3999999999996</v>
      </c>
      <c r="BG901" s="1225">
        <v>4881.3999999999996</v>
      </c>
      <c r="BH901" s="1226">
        <v>4881.50</v>
      </c>
      <c r="BI901" s="1044">
        <f>BH901</f>
        <v>4881.50</v>
      </c>
      <c r="BJ901" s="1350">
        <f t="shared" si="1829"/>
        <v>4881.50</v>
      </c>
      <c r="BK901" s="1044">
        <f t="shared" si="1841"/>
        <v>4881.50</v>
      </c>
      <c r="BL901" s="1044">
        <f t="shared" si="1841"/>
        <v>4881.50</v>
      </c>
      <c r="BM901" s="1044">
        <f t="shared" si="1841"/>
        <v>4881.50</v>
      </c>
      <c r="BN901" s="1044">
        <f t="shared" si="1841"/>
        <v>4881.50</v>
      </c>
      <c r="BO901" s="1350">
        <f t="shared" si="1830"/>
        <v>4881.50</v>
      </c>
      <c r="BP901" s="1351">
        <f t="shared" si="1842"/>
        <v>4881.50</v>
      </c>
      <c r="BQ901" s="1351">
        <f t="shared" si="1842"/>
        <v>4881.50</v>
      </c>
      <c r="BR901" s="1350">
        <f t="shared" si="1842"/>
        <v>4881.50</v>
      </c>
      <c r="BS901" s="647"/>
    </row>
    <row r="902" spans="1:71" s="665" customFormat="1" ht="15">
      <c r="A902" s="371" t="s">
        <v>150</v>
      </c>
      <c r="B902" s="321"/>
      <c r="C902" s="1364">
        <v>69.30</v>
      </c>
      <c r="D902" s="1364">
        <v>88.10</v>
      </c>
      <c r="E902" s="1364">
        <v>69.80</v>
      </c>
      <c r="F902" s="1364">
        <v>66.30</v>
      </c>
      <c r="G902" s="1364">
        <v>74.900000000000006</v>
      </c>
      <c r="H902" s="1225">
        <v>81.80</v>
      </c>
      <c r="I902" s="1225">
        <v>89.80</v>
      </c>
      <c r="J902" s="1225">
        <v>92.30</v>
      </c>
      <c r="K902" s="1042">
        <f t="shared" si="1831"/>
        <v>85.30</v>
      </c>
      <c r="L902" s="1364">
        <v>85.30</v>
      </c>
      <c r="M902" s="1225">
        <v>99.30</v>
      </c>
      <c r="N902" s="1225">
        <v>233</v>
      </c>
      <c r="O902" s="1225">
        <v>221.70</v>
      </c>
      <c r="P902" s="1042">
        <f t="shared" si="1832"/>
        <v>199.30</v>
      </c>
      <c r="Q902" s="1364">
        <v>199.30</v>
      </c>
      <c r="R902" s="1225">
        <v>216.70</v>
      </c>
      <c r="S902" s="1225">
        <v>178</v>
      </c>
      <c r="T902" s="1225">
        <v>174.40</v>
      </c>
      <c r="U902" s="1042">
        <f t="shared" si="1833"/>
        <v>170.50</v>
      </c>
      <c r="V902" s="1364">
        <v>170.50</v>
      </c>
      <c r="W902" s="1225">
        <v>182.70</v>
      </c>
      <c r="X902" s="1225">
        <v>212.60</v>
      </c>
      <c r="Y902" s="1225">
        <v>211.70</v>
      </c>
      <c r="Z902" s="1042">
        <f t="shared" si="1834"/>
        <v>203.30</v>
      </c>
      <c r="AA902" s="1364">
        <v>203.30</v>
      </c>
      <c r="AB902" s="1225">
        <v>342.80</v>
      </c>
      <c r="AC902" s="1225">
        <v>289.80</v>
      </c>
      <c r="AD902" s="1225">
        <v>379.60</v>
      </c>
      <c r="AE902" s="1042">
        <f t="shared" si="1835"/>
        <v>309.70</v>
      </c>
      <c r="AF902" s="1364">
        <v>309.70</v>
      </c>
      <c r="AG902" s="1225">
        <v>446.70</v>
      </c>
      <c r="AH902" s="1225">
        <v>338</v>
      </c>
      <c r="AI902" s="1225">
        <v>458.80</v>
      </c>
      <c r="AJ902" s="1042">
        <f t="shared" si="1836"/>
        <v>626.50</v>
      </c>
      <c r="AK902" s="1364">
        <v>626.50</v>
      </c>
      <c r="AL902" s="1225">
        <v>438.20</v>
      </c>
      <c r="AM902" s="1225">
        <v>361.30</v>
      </c>
      <c r="AN902" s="1225">
        <v>463.40</v>
      </c>
      <c r="AO902" s="1042">
        <f t="shared" si="1837"/>
        <v>368.10</v>
      </c>
      <c r="AP902" s="1364">
        <v>368.10</v>
      </c>
      <c r="AQ902" s="1225">
        <v>667.60</v>
      </c>
      <c r="AR902" s="1225">
        <v>620</v>
      </c>
      <c r="AS902" s="1225">
        <v>661.10</v>
      </c>
      <c r="AT902" s="1042">
        <f t="shared" si="1838"/>
        <v>457.60</v>
      </c>
      <c r="AU902" s="1364">
        <v>457.60</v>
      </c>
      <c r="AV902" s="1225">
        <v>455.10</v>
      </c>
      <c r="AW902" s="1225">
        <v>464.30</v>
      </c>
      <c r="AX902" s="1225">
        <v>367.50</v>
      </c>
      <c r="AY902" s="1042">
        <f t="shared" si="1839"/>
        <v>295.50</v>
      </c>
      <c r="AZ902" s="1364">
        <v>295.50</v>
      </c>
      <c r="BA902" s="1225">
        <v>269.60000000000002</v>
      </c>
      <c r="BB902" s="1225">
        <v>242.90</v>
      </c>
      <c r="BC902" s="1225">
        <v>235</v>
      </c>
      <c r="BD902" s="1042">
        <f t="shared" si="1840"/>
        <v>249.80</v>
      </c>
      <c r="BE902" s="1364">
        <v>249.80</v>
      </c>
      <c r="BF902" s="1225">
        <v>209.80</v>
      </c>
      <c r="BG902" s="1225">
        <v>290.80</v>
      </c>
      <c r="BH902" s="1226">
        <v>224</v>
      </c>
      <c r="BI902" s="1044">
        <f>BH902</f>
        <v>224</v>
      </c>
      <c r="BJ902" s="1350">
        <f t="shared" si="1829"/>
        <v>224</v>
      </c>
      <c r="BK902" s="1044">
        <f t="shared" si="1841"/>
        <v>224</v>
      </c>
      <c r="BL902" s="1044">
        <f t="shared" si="1841"/>
        <v>224</v>
      </c>
      <c r="BM902" s="1044">
        <f t="shared" si="1841"/>
        <v>224</v>
      </c>
      <c r="BN902" s="1044">
        <f t="shared" si="1841"/>
        <v>224</v>
      </c>
      <c r="BO902" s="1350">
        <f t="shared" si="1830"/>
        <v>224</v>
      </c>
      <c r="BP902" s="1351">
        <f t="shared" si="1842"/>
        <v>224</v>
      </c>
      <c r="BQ902" s="1351">
        <f t="shared" si="1842"/>
        <v>224</v>
      </c>
      <c r="BR902" s="1350">
        <f t="shared" si="1842"/>
        <v>224</v>
      </c>
      <c r="BS902" s="647"/>
    </row>
    <row r="903" spans="1:71" s="665" customFormat="1" ht="15">
      <c r="A903" s="371" t="s">
        <v>151</v>
      </c>
      <c r="B903" s="321"/>
      <c r="C903" s="1364">
        <v>402.20</v>
      </c>
      <c r="D903" s="1364">
        <v>417.20</v>
      </c>
      <c r="E903" s="1364">
        <v>433.60</v>
      </c>
      <c r="F903" s="1364">
        <v>434.50</v>
      </c>
      <c r="G903" s="1364">
        <v>447.60</v>
      </c>
      <c r="H903" s="1225">
        <v>466.90</v>
      </c>
      <c r="I903" s="1225">
        <v>479</v>
      </c>
      <c r="J903" s="1225">
        <v>488.30</v>
      </c>
      <c r="K903" s="1042">
        <f t="shared" si="1831"/>
        <v>457.20</v>
      </c>
      <c r="L903" s="1364">
        <v>457.20</v>
      </c>
      <c r="M903" s="1225">
        <v>484</v>
      </c>
      <c r="N903" s="1225">
        <v>568.20000000000005</v>
      </c>
      <c r="O903" s="1225">
        <v>590.79999999999995</v>
      </c>
      <c r="P903" s="1042">
        <f t="shared" si="1832"/>
        <v>564.10</v>
      </c>
      <c r="Q903" s="1364">
        <v>564.10</v>
      </c>
      <c r="R903" s="1225">
        <v>600</v>
      </c>
      <c r="S903" s="1225">
        <v>645.20000000000005</v>
      </c>
      <c r="T903" s="1225">
        <v>675.40</v>
      </c>
      <c r="U903" s="1042">
        <f t="shared" si="1833"/>
        <v>651.20000000000005</v>
      </c>
      <c r="V903" s="1364">
        <v>651.20000000000005</v>
      </c>
      <c r="W903" s="1225">
        <v>679.50</v>
      </c>
      <c r="X903" s="1225">
        <v>727.20</v>
      </c>
      <c r="Y903" s="1225">
        <v>782.60</v>
      </c>
      <c r="Z903" s="1042">
        <f t="shared" si="1834"/>
        <v>780.50</v>
      </c>
      <c r="AA903" s="1364">
        <v>780.50</v>
      </c>
      <c r="AB903" s="1225">
        <v>842.30</v>
      </c>
      <c r="AC903" s="1225">
        <v>895.70</v>
      </c>
      <c r="AD903" s="1225">
        <v>962.70</v>
      </c>
      <c r="AE903" s="1042">
        <f t="shared" si="1835"/>
        <v>951.60</v>
      </c>
      <c r="AF903" s="1364">
        <v>951.60</v>
      </c>
      <c r="AG903" s="1225">
        <v>999.10</v>
      </c>
      <c r="AH903" s="1225">
        <v>1047.4000000000001</v>
      </c>
      <c r="AI903" s="1225">
        <v>1093.70</v>
      </c>
      <c r="AJ903" s="1042">
        <f t="shared" si="1836"/>
        <v>1056.50</v>
      </c>
      <c r="AK903" s="1364">
        <v>1056.50</v>
      </c>
      <c r="AL903" s="1225">
        <v>1095.80</v>
      </c>
      <c r="AM903" s="1225">
        <v>1154.80</v>
      </c>
      <c r="AN903" s="1225">
        <v>1265</v>
      </c>
      <c r="AO903" s="1042">
        <f t="shared" si="1837"/>
        <v>1237.20</v>
      </c>
      <c r="AP903" s="1364">
        <v>1237.20</v>
      </c>
      <c r="AQ903" s="1225">
        <v>1309.0999999999999</v>
      </c>
      <c r="AR903" s="1225">
        <v>1360.60</v>
      </c>
      <c r="AS903" s="1225">
        <v>1430.70</v>
      </c>
      <c r="AT903" s="1042">
        <f t="shared" si="1838"/>
        <v>1355.60</v>
      </c>
      <c r="AU903" s="1364">
        <v>1355.60</v>
      </c>
      <c r="AV903" s="1225">
        <v>1407.70</v>
      </c>
      <c r="AW903" s="1225">
        <v>1498.40</v>
      </c>
      <c r="AX903" s="1225">
        <v>1585.20</v>
      </c>
      <c r="AY903" s="1042">
        <f t="shared" si="1839"/>
        <v>1544.40</v>
      </c>
      <c r="AZ903" s="1364">
        <v>1544.40</v>
      </c>
      <c r="BA903" s="1225">
        <v>1626.80</v>
      </c>
      <c r="BB903" s="1225">
        <v>1685.60</v>
      </c>
      <c r="BC903" s="1225">
        <v>1732.10</v>
      </c>
      <c r="BD903" s="1042">
        <f t="shared" si="1840"/>
        <v>1687.40</v>
      </c>
      <c r="BE903" s="1364">
        <v>1687.40</v>
      </c>
      <c r="BF903" s="1225">
        <v>1818.20</v>
      </c>
      <c r="BG903" s="1225">
        <v>1938.30</v>
      </c>
      <c r="BH903" s="1226">
        <v>2031.60</v>
      </c>
      <c r="BI903" s="1044">
        <f>BH903-BI817</f>
        <v>2240.9791242050514</v>
      </c>
      <c r="BJ903" s="1350">
        <f t="shared" si="1829"/>
        <v>2240.9791242050514</v>
      </c>
      <c r="BK903" s="1044">
        <f>BJ903-BK817</f>
        <v>2548.5743579982527</v>
      </c>
      <c r="BL903" s="1044">
        <f>BK903-BL817</f>
        <v>2866.3515719148418</v>
      </c>
      <c r="BM903" s="1044">
        <f>BL903-BM817</f>
        <v>3198.4846339661658</v>
      </c>
      <c r="BN903" s="1044">
        <f>BM903-BN817</f>
        <v>3453.8406327729699</v>
      </c>
      <c r="BO903" s="1350">
        <f t="shared" si="1830"/>
        <v>3453.8406327729699</v>
      </c>
      <c r="BP903" s="1351">
        <f>BO903-BP817</f>
        <v>4842.1483365178701</v>
      </c>
      <c r="BQ903" s="1351">
        <f>BP903-BQ817</f>
        <v>6377.8314398384691</v>
      </c>
      <c r="BR903" s="1350">
        <f>BQ903-BR817</f>
        <v>8070.5319347187378</v>
      </c>
      <c r="BS903" s="647"/>
    </row>
    <row r="904" spans="1:71" s="665" customFormat="1" ht="15">
      <c r="A904" s="371" t="s">
        <v>152</v>
      </c>
      <c r="B904" s="321"/>
      <c r="C904" s="1364">
        <v>416.70</v>
      </c>
      <c r="D904" s="1364">
        <v>189</v>
      </c>
      <c r="E904" s="1351"/>
      <c r="F904" s="1351"/>
      <c r="G904" s="1351"/>
      <c r="H904" s="1047"/>
      <c r="I904" s="1047"/>
      <c r="J904" s="1047"/>
      <c r="K904" s="1042">
        <f t="shared" si="1831"/>
        <v>0</v>
      </c>
      <c r="L904" s="1351"/>
      <c r="M904" s="1047"/>
      <c r="N904" s="1047"/>
      <c r="O904" s="1047"/>
      <c r="P904" s="1042">
        <f t="shared" si="1832"/>
        <v>0</v>
      </c>
      <c r="Q904" s="1351"/>
      <c r="R904" s="1047"/>
      <c r="S904" s="1047"/>
      <c r="T904" s="1047"/>
      <c r="U904" s="1042">
        <f t="shared" si="1833"/>
        <v>0</v>
      </c>
      <c r="V904" s="1351"/>
      <c r="W904" s="1047"/>
      <c r="X904" s="1047"/>
      <c r="Y904" s="1047"/>
      <c r="Z904" s="1042">
        <f t="shared" si="1834"/>
        <v>0</v>
      </c>
      <c r="AA904" s="1351"/>
      <c r="AB904" s="1047"/>
      <c r="AC904" s="1047"/>
      <c r="AD904" s="1047"/>
      <c r="AE904" s="1042">
        <f t="shared" si="1835"/>
        <v>0</v>
      </c>
      <c r="AF904" s="1351"/>
      <c r="AG904" s="1047"/>
      <c r="AH904" s="1047"/>
      <c r="AI904" s="1047"/>
      <c r="AJ904" s="1042">
        <f t="shared" si="1836"/>
        <v>0</v>
      </c>
      <c r="AK904" s="1351"/>
      <c r="AL904" s="1047"/>
      <c r="AM904" s="1047"/>
      <c r="AN904" s="1047"/>
      <c r="AO904" s="1042">
        <f t="shared" si="1837"/>
        <v>0</v>
      </c>
      <c r="AP904" s="1351"/>
      <c r="AQ904" s="1047"/>
      <c r="AR904" s="1047"/>
      <c r="AS904" s="1047"/>
      <c r="AT904" s="1042">
        <f t="shared" si="1838"/>
        <v>0</v>
      </c>
      <c r="AU904" s="1351"/>
      <c r="AV904" s="1047"/>
      <c r="AW904" s="1047"/>
      <c r="AX904" s="1047"/>
      <c r="AY904" s="1042">
        <f t="shared" si="1839"/>
        <v>0</v>
      </c>
      <c r="AZ904" s="1351"/>
      <c r="BA904" s="1047"/>
      <c r="BB904" s="1047"/>
      <c r="BC904" s="1047"/>
      <c r="BD904" s="1042">
        <f t="shared" si="1840"/>
        <v>0</v>
      </c>
      <c r="BE904" s="1351"/>
      <c r="BF904" s="1047"/>
      <c r="BG904" s="1047"/>
      <c r="BH904" s="1048"/>
      <c r="BI904" s="1044">
        <f>BH904</f>
        <v>0</v>
      </c>
      <c r="BJ904" s="1350">
        <f t="shared" si="1829"/>
        <v>0</v>
      </c>
      <c r="BK904" s="1044">
        <f>BJ904</f>
        <v>0</v>
      </c>
      <c r="BL904" s="1044">
        <f>BK904</f>
        <v>0</v>
      </c>
      <c r="BM904" s="1044">
        <f>BL904</f>
        <v>0</v>
      </c>
      <c r="BN904" s="1044">
        <f>BM904</f>
        <v>0</v>
      </c>
      <c r="BO904" s="1350">
        <f t="shared" si="1830"/>
        <v>0</v>
      </c>
      <c r="BP904" s="1351">
        <f>BO904</f>
        <v>0</v>
      </c>
      <c r="BQ904" s="1351">
        <f>BP904</f>
        <v>0</v>
      </c>
      <c r="BR904" s="1350">
        <f>BQ904</f>
        <v>0</v>
      </c>
      <c r="BS904" s="647"/>
    </row>
    <row r="905" spans="1:71" s="665" customFormat="1" ht="15">
      <c r="A905" s="999" t="s">
        <v>346</v>
      </c>
      <c r="B905" s="321"/>
      <c r="C905" s="1364">
        <v>961.30</v>
      </c>
      <c r="D905" s="1364">
        <v>932.60</v>
      </c>
      <c r="E905" s="1364">
        <v>911.30</v>
      </c>
      <c r="F905" s="1364">
        <v>933.70</v>
      </c>
      <c r="G905" s="1364">
        <v>960.90</v>
      </c>
      <c r="H905" s="1225">
        <v>950</v>
      </c>
      <c r="I905" s="1225">
        <v>952.50</v>
      </c>
      <c r="J905" s="1225">
        <v>954</v>
      </c>
      <c r="K905" s="1047">
        <f t="shared" si="1831"/>
        <v>960.60</v>
      </c>
      <c r="L905" s="1364">
        <v>960.60</v>
      </c>
      <c r="M905" s="1225">
        <v>957.50</v>
      </c>
      <c r="N905" s="1225">
        <v>1018.90</v>
      </c>
      <c r="O905" s="1225">
        <v>1024.0999999999999</v>
      </c>
      <c r="P905" s="1047">
        <f t="shared" si="1832"/>
        <v>1037.20</v>
      </c>
      <c r="Q905" s="1364">
        <v>1037.20</v>
      </c>
      <c r="R905" s="1225">
        <v>1061.9000000000001</v>
      </c>
      <c r="S905" s="1225">
        <v>1083.70</v>
      </c>
      <c r="T905" s="1225">
        <v>1115</v>
      </c>
      <c r="U905" s="1047">
        <f t="shared" si="1833"/>
        <v>1177.0999999999999</v>
      </c>
      <c r="V905" s="1364">
        <v>1177.0999999999999</v>
      </c>
      <c r="W905" s="1225">
        <v>1166</v>
      </c>
      <c r="X905" s="1225">
        <v>1152.0999999999999</v>
      </c>
      <c r="Y905" s="1225">
        <v>1129.4000000000001</v>
      </c>
      <c r="Z905" s="1047">
        <f t="shared" si="1834"/>
        <v>1119.5999999999999</v>
      </c>
      <c r="AA905" s="1364">
        <v>1119.5999999999999</v>
      </c>
      <c r="AB905" s="1225">
        <v>1112</v>
      </c>
      <c r="AC905" s="1225">
        <v>1116.4000000000001</v>
      </c>
      <c r="AD905" s="1225">
        <v>1139.30</v>
      </c>
      <c r="AE905" s="1047">
        <f t="shared" si="1835"/>
        <v>1131.70</v>
      </c>
      <c r="AF905" s="1364">
        <v>1131.70</v>
      </c>
      <c r="AG905" s="1225">
        <v>1127.30</v>
      </c>
      <c r="AH905" s="1225">
        <v>1174.9000000000001</v>
      </c>
      <c r="AI905" s="1225">
        <v>1214.20</v>
      </c>
      <c r="AJ905" s="1047">
        <f t="shared" si="1836"/>
        <v>1213.70</v>
      </c>
      <c r="AK905" s="1364">
        <v>1213.70</v>
      </c>
      <c r="AL905" s="1225">
        <v>1215.0999999999999</v>
      </c>
      <c r="AM905" s="1225">
        <v>1189.80</v>
      </c>
      <c r="AN905" s="1225">
        <v>1181.5999999999999</v>
      </c>
      <c r="AO905" s="1047">
        <f t="shared" si="1837"/>
        <v>1106</v>
      </c>
      <c r="AP905" s="1364">
        <v>1106</v>
      </c>
      <c r="AQ905" s="1225">
        <v>1077.4000000000001</v>
      </c>
      <c r="AR905" s="1225">
        <v>1086.4000000000001</v>
      </c>
      <c r="AS905" s="1225">
        <v>1161</v>
      </c>
      <c r="AT905" s="1047">
        <f t="shared" si="1838"/>
        <v>1137.30</v>
      </c>
      <c r="AU905" s="1364">
        <v>1137.30</v>
      </c>
      <c r="AV905" s="1225">
        <v>1104.4000000000001</v>
      </c>
      <c r="AW905" s="1225">
        <v>1124.70</v>
      </c>
      <c r="AX905" s="1225">
        <v>1067.0999999999999</v>
      </c>
      <c r="AY905" s="1047">
        <f t="shared" si="1839"/>
        <v>1034</v>
      </c>
      <c r="AZ905" s="1364">
        <v>1034</v>
      </c>
      <c r="BA905" s="1225">
        <v>949</v>
      </c>
      <c r="BB905" s="1225">
        <v>989</v>
      </c>
      <c r="BC905" s="1225">
        <v>919.80</v>
      </c>
      <c r="BD905" s="1042">
        <f t="shared" si="1840"/>
        <v>880.80</v>
      </c>
      <c r="BE905" s="1364">
        <v>880.80</v>
      </c>
      <c r="BF905" s="1225">
        <v>756.30</v>
      </c>
      <c r="BG905" s="1225">
        <v>713.50</v>
      </c>
      <c r="BH905" s="1226">
        <v>688.80</v>
      </c>
      <c r="BI905" s="1044">
        <f>BH905+BI870+BI871</f>
        <v>707.91763934426228</v>
      </c>
      <c r="BJ905" s="1350">
        <f t="shared" si="1829"/>
        <v>707.91763934426228</v>
      </c>
      <c r="BK905" s="1044">
        <f>BJ905+BK870+BK871</f>
        <v>726.66055523916464</v>
      </c>
      <c r="BL905" s="1044">
        <f>BK905+BL870+BL871</f>
        <v>743.65118732247299</v>
      </c>
      <c r="BM905" s="1044">
        <f>BL905+BM870+BM871</f>
        <v>758.97936281035823</v>
      </c>
      <c r="BN905" s="1044">
        <f>BM905+BN870+BN871</f>
        <v>773.28370016565543</v>
      </c>
      <c r="BO905" s="1350">
        <f t="shared" si="1830"/>
        <v>773.28370016565543</v>
      </c>
      <c r="BP905" s="1351">
        <f>BO905+BP870+BP871</f>
        <v>828.36351962175672</v>
      </c>
      <c r="BQ905" s="1351">
        <f>BP905+BQ870+BQ871</f>
        <v>868.84718692199112</v>
      </c>
      <c r="BR905" s="1350">
        <f>BQ905+BR870+BR871</f>
        <v>898.60268238766344</v>
      </c>
      <c r="BS905" s="647"/>
    </row>
    <row r="906" spans="1:71" s="665" customFormat="1" ht="15">
      <c r="A906" s="999" t="s">
        <v>202</v>
      </c>
      <c r="B906" s="321"/>
      <c r="C906" s="1351"/>
      <c r="D906" s="1351"/>
      <c r="E906" s="1351"/>
      <c r="F906" s="1351"/>
      <c r="G906" s="1351"/>
      <c r="H906" s="1047"/>
      <c r="I906" s="1225">
        <v>1.60</v>
      </c>
      <c r="J906" s="1225">
        <v>1.60</v>
      </c>
      <c r="K906" s="1047">
        <f t="shared" si="1831"/>
        <v>1.60</v>
      </c>
      <c r="L906" s="1364">
        <v>1.60</v>
      </c>
      <c r="M906" s="1225">
        <v>1.60</v>
      </c>
      <c r="N906" s="1225">
        <v>472.90</v>
      </c>
      <c r="O906" s="1225">
        <v>446.40</v>
      </c>
      <c r="P906" s="1047">
        <f t="shared" si="1832"/>
        <v>447.60</v>
      </c>
      <c r="Q906" s="1364">
        <v>447.60</v>
      </c>
      <c r="R906" s="1225">
        <v>447.60</v>
      </c>
      <c r="S906" s="1225">
        <v>449.40</v>
      </c>
      <c r="T906" s="1225">
        <v>449.40</v>
      </c>
      <c r="U906" s="1047">
        <f t="shared" si="1833"/>
        <v>449.40</v>
      </c>
      <c r="V906" s="1364">
        <v>449.40</v>
      </c>
      <c r="W906" s="1225">
        <v>449.40</v>
      </c>
      <c r="X906" s="1225">
        <v>452.70</v>
      </c>
      <c r="Y906" s="1225">
        <v>452.70</v>
      </c>
      <c r="Z906" s="1047">
        <f t="shared" si="1834"/>
        <v>452.70</v>
      </c>
      <c r="AA906" s="1364">
        <v>452.70</v>
      </c>
      <c r="AB906" s="1225">
        <v>452.70</v>
      </c>
      <c r="AC906" s="1225">
        <v>452.70</v>
      </c>
      <c r="AD906" s="1225">
        <v>452.70</v>
      </c>
      <c r="AE906" s="1047">
        <f t="shared" si="1835"/>
        <v>452.70</v>
      </c>
      <c r="AF906" s="1364">
        <v>452.70</v>
      </c>
      <c r="AG906" s="1225">
        <v>452.70</v>
      </c>
      <c r="AH906" s="1225">
        <v>452.70</v>
      </c>
      <c r="AI906" s="1225">
        <v>452.70</v>
      </c>
      <c r="AJ906" s="1047">
        <f t="shared" si="1836"/>
        <v>452.70</v>
      </c>
      <c r="AK906" s="1364">
        <v>452.70</v>
      </c>
      <c r="AL906" s="1225">
        <v>452.70</v>
      </c>
      <c r="AM906" s="1225">
        <v>452.70</v>
      </c>
      <c r="AN906" s="1225">
        <v>452.70</v>
      </c>
      <c r="AO906" s="1047">
        <f t="shared" si="1837"/>
        <v>452.70</v>
      </c>
      <c r="AP906" s="1364">
        <v>452.70</v>
      </c>
      <c r="AQ906" s="1225">
        <v>452.70</v>
      </c>
      <c r="AR906" s="1225">
        <v>452.70</v>
      </c>
      <c r="AS906" s="1225">
        <v>452.70</v>
      </c>
      <c r="AT906" s="1047">
        <f t="shared" si="1838"/>
        <v>452.70</v>
      </c>
      <c r="AU906" s="1364">
        <v>452.70</v>
      </c>
      <c r="AV906" s="1225">
        <v>452.70</v>
      </c>
      <c r="AW906" s="1225">
        <v>227.90</v>
      </c>
      <c r="AX906" s="1225">
        <v>227.90</v>
      </c>
      <c r="AY906" s="1047">
        <f t="shared" si="1839"/>
        <v>227.90</v>
      </c>
      <c r="AZ906" s="1351">
        <f>AX906</f>
        <v>227.90</v>
      </c>
      <c r="BA906" s="1225">
        <v>227.90</v>
      </c>
      <c r="BB906" s="1225">
        <v>227.90</v>
      </c>
      <c r="BC906" s="1225">
        <v>227.90</v>
      </c>
      <c r="BD906" s="1042">
        <f t="shared" si="1840"/>
        <v>227.90</v>
      </c>
      <c r="BE906" s="1364">
        <v>227.90</v>
      </c>
      <c r="BF906" s="1047"/>
      <c r="BG906" s="1047"/>
      <c r="BH906" s="1048"/>
      <c r="BI906" s="1044">
        <f>BH906</f>
        <v>0</v>
      </c>
      <c r="BJ906" s="1350">
        <f t="shared" si="1829"/>
        <v>0</v>
      </c>
      <c r="BK906" s="1044">
        <f>BJ906</f>
        <v>0</v>
      </c>
      <c r="BL906" s="1044">
        <f>BK906</f>
        <v>0</v>
      </c>
      <c r="BM906" s="1044">
        <f>BL906</f>
        <v>0</v>
      </c>
      <c r="BN906" s="1044">
        <f>BM906</f>
        <v>0</v>
      </c>
      <c r="BO906" s="1350">
        <f t="shared" si="1830"/>
        <v>0</v>
      </c>
      <c r="BP906" s="1351">
        <f>BO906</f>
        <v>0</v>
      </c>
      <c r="BQ906" s="1351">
        <f>BP906</f>
        <v>0</v>
      </c>
      <c r="BR906" s="1350">
        <f>BQ906</f>
        <v>0</v>
      </c>
      <c r="BS906" s="647"/>
    </row>
    <row r="907" spans="1:71" s="665" customFormat="1" ht="15">
      <c r="A907" s="999" t="s">
        <v>203</v>
      </c>
      <c r="B907" s="321"/>
      <c r="C907" s="1351"/>
      <c r="D907" s="1351"/>
      <c r="E907" s="1351"/>
      <c r="F907" s="1351"/>
      <c r="G907" s="1351"/>
      <c r="H907" s="1047"/>
      <c r="I907" s="1225">
        <v>11.30</v>
      </c>
      <c r="J907" s="1225">
        <v>11.30</v>
      </c>
      <c r="K907" s="1047">
        <f t="shared" si="1831"/>
        <v>11.30</v>
      </c>
      <c r="L907" s="1364">
        <v>11.30</v>
      </c>
      <c r="M907" s="1225">
        <v>11.30</v>
      </c>
      <c r="N907" s="1225">
        <v>526</v>
      </c>
      <c r="O907" s="1225">
        <v>510.50</v>
      </c>
      <c r="P907" s="1047">
        <f t="shared" si="1832"/>
        <v>494.90</v>
      </c>
      <c r="Q907" s="1364">
        <v>494.90</v>
      </c>
      <c r="R907" s="1225">
        <v>479.40</v>
      </c>
      <c r="S907" s="1225">
        <v>463.80</v>
      </c>
      <c r="T907" s="1225">
        <v>448.30</v>
      </c>
      <c r="U907" s="1047">
        <f t="shared" si="1833"/>
        <v>432.80</v>
      </c>
      <c r="V907" s="1364">
        <v>432.80</v>
      </c>
      <c r="W907" s="1225">
        <v>417.30</v>
      </c>
      <c r="X907" s="1225">
        <v>401.80</v>
      </c>
      <c r="Y907" s="1225">
        <v>384.60</v>
      </c>
      <c r="Z907" s="1047">
        <f t="shared" si="1834"/>
        <v>366.60</v>
      </c>
      <c r="AA907" s="1364">
        <v>366.60</v>
      </c>
      <c r="AB907" s="1225">
        <v>348.60</v>
      </c>
      <c r="AC907" s="1225">
        <v>330.60</v>
      </c>
      <c r="AD907" s="1225">
        <v>312.60000000000002</v>
      </c>
      <c r="AE907" s="1047">
        <f t="shared" si="1835"/>
        <v>294.60000000000002</v>
      </c>
      <c r="AF907" s="1364">
        <v>294.60000000000002</v>
      </c>
      <c r="AG907" s="1225">
        <v>276.70</v>
      </c>
      <c r="AH907" s="1225">
        <v>258.70</v>
      </c>
      <c r="AI907" s="1225">
        <v>242.90</v>
      </c>
      <c r="AJ907" s="1047">
        <f t="shared" si="1836"/>
        <v>228.30</v>
      </c>
      <c r="AK907" s="1364">
        <v>228.30</v>
      </c>
      <c r="AL907" s="1225">
        <v>213.80</v>
      </c>
      <c r="AM907" s="1225">
        <v>199.70</v>
      </c>
      <c r="AN907" s="1225">
        <v>185.50</v>
      </c>
      <c r="AO907" s="1047">
        <f t="shared" si="1837"/>
        <v>171.40</v>
      </c>
      <c r="AP907" s="1364">
        <v>171.40</v>
      </c>
      <c r="AQ907" s="1225">
        <v>157.19999999999999</v>
      </c>
      <c r="AR907" s="1225">
        <v>146.50</v>
      </c>
      <c r="AS907" s="1225">
        <v>131.90000000000001</v>
      </c>
      <c r="AT907" s="1047">
        <f t="shared" si="1838"/>
        <v>117.30</v>
      </c>
      <c r="AU907" s="1364">
        <v>117.30</v>
      </c>
      <c r="AV907" s="1225">
        <v>102.70</v>
      </c>
      <c r="AW907" s="1225">
        <v>97.20</v>
      </c>
      <c r="AX907" s="1225">
        <v>91.80</v>
      </c>
      <c r="AY907" s="1047">
        <f t="shared" si="1839"/>
        <v>86.299999999999983</v>
      </c>
      <c r="AZ907" s="1351">
        <f>314.2-AZ906</f>
        <v>86.299999999999983</v>
      </c>
      <c r="BA907" s="1225">
        <v>80.900000000000006</v>
      </c>
      <c r="BB907" s="1225">
        <v>77.80</v>
      </c>
      <c r="BC907" s="1225">
        <v>74.900000000000006</v>
      </c>
      <c r="BD907" s="1042">
        <f t="shared" si="1840"/>
        <v>74.900000000000006</v>
      </c>
      <c r="BE907" s="1351">
        <f>BC907</f>
        <v>74.900000000000006</v>
      </c>
      <c r="BF907" s="1047"/>
      <c r="BG907" s="1047"/>
      <c r="BH907" s="1048"/>
      <c r="BI907" s="1044">
        <f>BH907+BI876+BI877</f>
        <v>0</v>
      </c>
      <c r="BJ907" s="1350">
        <f t="shared" si="1829"/>
        <v>0</v>
      </c>
      <c r="BK907" s="1044">
        <f>BJ907+BK876+BK877</f>
        <v>0</v>
      </c>
      <c r="BL907" s="1044">
        <f>BK907+BL876+BL877</f>
        <v>0</v>
      </c>
      <c r="BM907" s="1044">
        <f>BL907+BM876+BM877</f>
        <v>0</v>
      </c>
      <c r="BN907" s="1044">
        <f>BM907+BN876+BN877</f>
        <v>0</v>
      </c>
      <c r="BO907" s="1350">
        <f t="shared" si="1830"/>
        <v>0</v>
      </c>
      <c r="BP907" s="1351">
        <f>BO907+BP876+BP877</f>
        <v>0</v>
      </c>
      <c r="BQ907" s="1351">
        <f>BP907+BQ876+BQ877</f>
        <v>0</v>
      </c>
      <c r="BR907" s="1350">
        <f>BQ907+BR876+BR877</f>
        <v>0</v>
      </c>
      <c r="BS907" s="647"/>
    </row>
    <row r="908" spans="1:71" s="665" customFormat="1" ht="15">
      <c r="A908" s="999" t="s">
        <v>204</v>
      </c>
      <c r="B908" s="321"/>
      <c r="C908" s="1351"/>
      <c r="D908" s="1351"/>
      <c r="E908" s="1364">
        <v>196</v>
      </c>
      <c r="F908" s="1364">
        <v>109.40000000000001</v>
      </c>
      <c r="G908" s="1351"/>
      <c r="H908" s="1225">
        <v>0</v>
      </c>
      <c r="I908" s="1225">
        <v>0</v>
      </c>
      <c r="J908" s="1225">
        <v>0</v>
      </c>
      <c r="K908" s="1047">
        <f t="shared" si="1831"/>
        <v>0</v>
      </c>
      <c r="L908" s="1351"/>
      <c r="M908" s="1047"/>
      <c r="N908" s="1047"/>
      <c r="O908" s="1047"/>
      <c r="P908" s="1047">
        <f t="shared" si="1832"/>
        <v>0</v>
      </c>
      <c r="Q908" s="1351"/>
      <c r="R908" s="1047"/>
      <c r="S908" s="1047"/>
      <c r="T908" s="1047"/>
      <c r="U908" s="1047">
        <f t="shared" si="1833"/>
        <v>0</v>
      </c>
      <c r="V908" s="1351"/>
      <c r="W908" s="1047"/>
      <c r="X908" s="1047"/>
      <c r="Y908" s="1047"/>
      <c r="Z908" s="1047">
        <f t="shared" si="1834"/>
        <v>0</v>
      </c>
      <c r="AA908" s="1351"/>
      <c r="AB908" s="1047"/>
      <c r="AC908" s="1047"/>
      <c r="AD908" s="1047"/>
      <c r="AE908" s="1047">
        <f t="shared" si="1835"/>
        <v>43.20</v>
      </c>
      <c r="AF908" s="1364">
        <v>43.20</v>
      </c>
      <c r="AG908" s="1225">
        <v>0</v>
      </c>
      <c r="AH908" s="1225">
        <v>0</v>
      </c>
      <c r="AI908" s="1225">
        <v>0</v>
      </c>
      <c r="AJ908" s="1047">
        <f t="shared" si="1836"/>
        <v>0</v>
      </c>
      <c r="AK908" s="1351"/>
      <c r="AL908" s="1225">
        <v>34.60</v>
      </c>
      <c r="AM908" s="1047"/>
      <c r="AN908" s="1047"/>
      <c r="AO908" s="1047">
        <f t="shared" si="1837"/>
        <v>0</v>
      </c>
      <c r="AP908" s="1351"/>
      <c r="AQ908" s="1047"/>
      <c r="AR908" s="1047"/>
      <c r="AS908" s="1047"/>
      <c r="AT908" s="1047">
        <f t="shared" si="1838"/>
        <v>0</v>
      </c>
      <c r="AU908" s="1351"/>
      <c r="AV908" s="1225">
        <v>370.50</v>
      </c>
      <c r="AW908" s="1225">
        <v>955.60</v>
      </c>
      <c r="AX908" s="1225">
        <v>1269.50</v>
      </c>
      <c r="AY908" s="1047">
        <f t="shared" si="1839"/>
        <v>1131.50</v>
      </c>
      <c r="AZ908" s="1364">
        <v>1131.50</v>
      </c>
      <c r="BA908" s="1225">
        <v>1057</v>
      </c>
      <c r="BB908" s="1225">
        <v>1198.50</v>
      </c>
      <c r="BC908" s="1225">
        <v>1357.10</v>
      </c>
      <c r="BD908" s="1042">
        <f t="shared" si="1840"/>
        <v>936</v>
      </c>
      <c r="BE908" s="1364">
        <v>936</v>
      </c>
      <c r="BF908" s="1225">
        <v>1031.80</v>
      </c>
      <c r="BG908" s="1225">
        <v>1001</v>
      </c>
      <c r="BH908" s="1226">
        <v>598</v>
      </c>
      <c r="BI908" s="1044">
        <f>BH908</f>
        <v>598</v>
      </c>
      <c r="BJ908" s="1350">
        <f t="shared" si="1829"/>
        <v>598</v>
      </c>
      <c r="BK908" s="1044">
        <f t="shared" si="1843" ref="BK908:BN909">BJ908</f>
        <v>598</v>
      </c>
      <c r="BL908" s="1044">
        <f t="shared" si="1843"/>
        <v>598</v>
      </c>
      <c r="BM908" s="1044">
        <f t="shared" si="1843"/>
        <v>598</v>
      </c>
      <c r="BN908" s="1044">
        <f t="shared" si="1843"/>
        <v>598</v>
      </c>
      <c r="BO908" s="1350">
        <f t="shared" si="1830"/>
        <v>598</v>
      </c>
      <c r="BP908" s="1351">
        <f t="shared" si="1844" ref="BP908:BR909">BO908</f>
        <v>598</v>
      </c>
      <c r="BQ908" s="1351">
        <f t="shared" si="1844"/>
        <v>598</v>
      </c>
      <c r="BR908" s="1350">
        <f t="shared" si="1844"/>
        <v>598</v>
      </c>
      <c r="BS908" s="647"/>
    </row>
    <row r="909" spans="1:71" s="665" customFormat="1" ht="15">
      <c r="A909" s="1001" t="s">
        <v>205</v>
      </c>
      <c r="B909" s="261"/>
      <c r="C909" s="1365">
        <v>195.70</v>
      </c>
      <c r="D909" s="1365">
        <v>251.90</v>
      </c>
      <c r="E909" s="1365">
        <v>261.89999999999998</v>
      </c>
      <c r="F909" s="1365">
        <v>321.50</v>
      </c>
      <c r="G909" s="1365">
        <v>304.30</v>
      </c>
      <c r="H909" s="1228">
        <v>614.60</v>
      </c>
      <c r="I909" s="1228">
        <v>249</v>
      </c>
      <c r="J909" s="1228">
        <v>251.30</v>
      </c>
      <c r="K909" s="1029">
        <f t="shared" si="1831"/>
        <v>288.50</v>
      </c>
      <c r="L909" s="1365">
        <v>288.50</v>
      </c>
      <c r="M909" s="1228">
        <v>276</v>
      </c>
      <c r="N909" s="1228">
        <v>274</v>
      </c>
      <c r="O909" s="1228">
        <v>275</v>
      </c>
      <c r="P909" s="1029">
        <f t="shared" si="1832"/>
        <v>335.80</v>
      </c>
      <c r="Q909" s="1365">
        <v>335.80</v>
      </c>
      <c r="R909" s="1228">
        <v>334.90</v>
      </c>
      <c r="S909" s="1228">
        <v>337.80</v>
      </c>
      <c r="T909" s="1228">
        <v>328.80</v>
      </c>
      <c r="U909" s="1029">
        <f t="shared" si="1833"/>
        <v>339.60</v>
      </c>
      <c r="V909" s="1365">
        <v>339.60</v>
      </c>
      <c r="W909" s="1228">
        <v>497.80</v>
      </c>
      <c r="X909" s="1228">
        <v>372.70</v>
      </c>
      <c r="Y909" s="1228">
        <v>386.60</v>
      </c>
      <c r="Z909" s="1029">
        <f t="shared" si="1834"/>
        <v>412.90</v>
      </c>
      <c r="AA909" s="1365">
        <v>412.90</v>
      </c>
      <c r="AB909" s="1228">
        <v>362.20</v>
      </c>
      <c r="AC909" s="1228">
        <v>412.20</v>
      </c>
      <c r="AD909" s="1228">
        <v>396.90</v>
      </c>
      <c r="AE909" s="1029">
        <f t="shared" si="1835"/>
        <v>365.10</v>
      </c>
      <c r="AF909" s="1365">
        <v>365.10</v>
      </c>
      <c r="AG909" s="1228">
        <v>671.90</v>
      </c>
      <c r="AH909" s="1228">
        <v>738.90</v>
      </c>
      <c r="AI909" s="1228">
        <v>757.80</v>
      </c>
      <c r="AJ909" s="1029">
        <f t="shared" si="1836"/>
        <v>768.40</v>
      </c>
      <c r="AK909" s="1365">
        <v>768.40</v>
      </c>
      <c r="AL909" s="1228">
        <v>722.80</v>
      </c>
      <c r="AM909" s="1228">
        <v>758.30</v>
      </c>
      <c r="AN909" s="1228">
        <v>744.10</v>
      </c>
      <c r="AO909" s="1029">
        <f t="shared" si="1837"/>
        <v>800.20</v>
      </c>
      <c r="AP909" s="1365">
        <v>800.20</v>
      </c>
      <c r="AQ909" s="1228">
        <v>697.50</v>
      </c>
      <c r="AR909" s="1228">
        <v>776.10</v>
      </c>
      <c r="AS909" s="1228">
        <v>747.60</v>
      </c>
      <c r="AT909" s="1029">
        <f t="shared" si="1838"/>
        <v>1333.90</v>
      </c>
      <c r="AU909" s="1365">
        <v>1333.90</v>
      </c>
      <c r="AV909" s="1228">
        <v>825.40</v>
      </c>
      <c r="AW909" s="1228">
        <v>779.40</v>
      </c>
      <c r="AX909" s="1228">
        <v>827.60</v>
      </c>
      <c r="AY909" s="1029">
        <f t="shared" si="1839"/>
        <v>844.70</v>
      </c>
      <c r="AZ909" s="1365">
        <v>844.70</v>
      </c>
      <c r="BA909" s="1228">
        <v>893.80</v>
      </c>
      <c r="BB909" s="1228">
        <v>934</v>
      </c>
      <c r="BC909" s="1228">
        <v>979.60</v>
      </c>
      <c r="BD909" s="1027">
        <f t="shared" si="1840"/>
        <v>1045.6999999999998</v>
      </c>
      <c r="BE909" s="1323">
        <f>1348.5-BE907-BE906</f>
        <v>1045.6999999999998</v>
      </c>
      <c r="BF909" s="1029">
        <f>1445.8-BF906-BF907</f>
        <v>1445.80</v>
      </c>
      <c r="BG909" s="1228">
        <v>1502.20</v>
      </c>
      <c r="BH909" s="1229">
        <v>1536.20</v>
      </c>
      <c r="BI909" s="1029">
        <f>BH909</f>
        <v>1536.20</v>
      </c>
      <c r="BJ909" s="1324">
        <f t="shared" si="1829"/>
        <v>1536.20</v>
      </c>
      <c r="BK909" s="1029">
        <f t="shared" si="1843"/>
        <v>1536.20</v>
      </c>
      <c r="BL909" s="1029">
        <f t="shared" si="1843"/>
        <v>1536.20</v>
      </c>
      <c r="BM909" s="1029">
        <f t="shared" si="1843"/>
        <v>1536.20</v>
      </c>
      <c r="BN909" s="1029">
        <f t="shared" si="1843"/>
        <v>1536.20</v>
      </c>
      <c r="BO909" s="1324">
        <f t="shared" si="1830"/>
        <v>1536.20</v>
      </c>
      <c r="BP909" s="1324">
        <f t="shared" si="1844"/>
        <v>1536.20</v>
      </c>
      <c r="BQ909" s="1324">
        <f t="shared" si="1844"/>
        <v>1536.20</v>
      </c>
      <c r="BR909" s="1324">
        <f t="shared" si="1844"/>
        <v>1536.20</v>
      </c>
      <c r="BS909" s="647"/>
    </row>
    <row r="910" spans="1:71" s="668" customFormat="1" ht="15">
      <c r="A910" s="42" t="s">
        <v>206</v>
      </c>
      <c r="B910" s="410"/>
      <c r="C910" s="1355">
        <f t="shared" si="1845" ref="C910:AM910">SUM(C896:C909)</f>
        <v>20049.299999999999</v>
      </c>
      <c r="D910" s="1355">
        <f t="shared" si="1845"/>
        <v>21150.299999999999</v>
      </c>
      <c r="E910" s="1355">
        <f t="shared" si="1845"/>
        <v>21844.80</v>
      </c>
      <c r="F910" s="1355">
        <f t="shared" si="1845"/>
        <v>22694.700000000001</v>
      </c>
      <c r="G910" s="1355">
        <f t="shared" si="1845"/>
        <v>24408.199999999997</v>
      </c>
      <c r="H910" s="1052">
        <f t="shared" si="1845"/>
        <v>24315.400000000001</v>
      </c>
      <c r="I910" s="1052">
        <f t="shared" si="1845"/>
        <v>25452.699999999997</v>
      </c>
      <c r="J910" s="1052">
        <f t="shared" si="1845"/>
        <v>25925.999999999993</v>
      </c>
      <c r="K910" s="1052">
        <f t="shared" si="1845"/>
        <v>25787.60</v>
      </c>
      <c r="L910" s="1355">
        <f t="shared" si="1845"/>
        <v>25787.60</v>
      </c>
      <c r="M910" s="1052">
        <f t="shared" si="1845"/>
        <v>26880.699999999997</v>
      </c>
      <c r="N910" s="1052">
        <f t="shared" si="1845"/>
        <v>29304.200000000001</v>
      </c>
      <c r="O910" s="1052">
        <f t="shared" si="1845"/>
        <v>29935</v>
      </c>
      <c r="P910" s="1052">
        <f t="shared" si="1845"/>
        <v>29819.300000000003</v>
      </c>
      <c r="Q910" s="1355">
        <f t="shared" si="1845"/>
        <v>29819.300000000003</v>
      </c>
      <c r="R910" s="1052">
        <f t="shared" si="1845"/>
        <v>30721.600000000006</v>
      </c>
      <c r="S910" s="1052">
        <f t="shared" si="1845"/>
        <v>31958.200000000008</v>
      </c>
      <c r="T910" s="1052">
        <f t="shared" si="1845"/>
        <v>33620.80000000001</v>
      </c>
      <c r="U910" s="1052">
        <f t="shared" si="1845"/>
        <v>33427.500000000007</v>
      </c>
      <c r="V910" s="1355">
        <f t="shared" si="1845"/>
        <v>33427.500000000007</v>
      </c>
      <c r="W910" s="1052">
        <f t="shared" si="1845"/>
        <v>34810.500000000007</v>
      </c>
      <c r="X910" s="1052">
        <f t="shared" si="1845"/>
        <v>36689.799999999988</v>
      </c>
      <c r="Y910" s="1052">
        <f t="shared" si="1845"/>
        <v>38932.599999999991</v>
      </c>
      <c r="Z910" s="1052">
        <f t="shared" si="1845"/>
        <v>38701.199999999997</v>
      </c>
      <c r="AA910" s="1355">
        <f t="shared" si="1845"/>
        <v>38701.199999999997</v>
      </c>
      <c r="AB910" s="1052">
        <f t="shared" si="1845"/>
        <v>41330.900000000001</v>
      </c>
      <c r="AC910" s="1052">
        <f t="shared" si="1845"/>
        <v>43363.499999999993</v>
      </c>
      <c r="AD910" s="1052">
        <f t="shared" si="1845"/>
        <v>45543.699999999997</v>
      </c>
      <c r="AE910" s="1052">
        <f t="shared" si="1845"/>
        <v>46574.999999999985</v>
      </c>
      <c r="AF910" s="1355">
        <f t="shared" si="1845"/>
        <v>46574.999999999985</v>
      </c>
      <c r="AG910" s="1052">
        <f t="shared" si="1845"/>
        <v>48850.299999999996</v>
      </c>
      <c r="AH910" s="1052">
        <f t="shared" si="1845"/>
        <v>51324.199999999997</v>
      </c>
      <c r="AI910" s="1052">
        <f t="shared" si="1845"/>
        <v>54008.099999999999</v>
      </c>
      <c r="AJ910" s="1052">
        <f t="shared" si="1845"/>
        <v>54895.30000000001</v>
      </c>
      <c r="AK910" s="1355">
        <f t="shared" si="1845"/>
        <v>54895.30000000001</v>
      </c>
      <c r="AL910" s="1052">
        <f t="shared" si="1845"/>
        <v>56265.199999999997</v>
      </c>
      <c r="AM910" s="1052">
        <f t="shared" si="1845"/>
        <v>59406.100000000013</v>
      </c>
      <c r="AN910" s="1052">
        <f t="shared" si="1846" ref="AN910:AU910">SUM(AN896:AN909)</f>
        <v>62890.799999999996</v>
      </c>
      <c r="AO910" s="1052">
        <f t="shared" si="1846"/>
        <v>64098.299999999996</v>
      </c>
      <c r="AP910" s="1355">
        <f t="shared" si="1846"/>
        <v>64098.299999999996</v>
      </c>
      <c r="AQ910" s="1052">
        <f t="shared" si="1846"/>
        <v>65413.299999999996</v>
      </c>
      <c r="AR910" s="1052">
        <f t="shared" si="1846"/>
        <v>69824.300000000003</v>
      </c>
      <c r="AS910" s="1052">
        <f t="shared" si="1846"/>
        <v>72618.099999999991</v>
      </c>
      <c r="AT910" s="1052">
        <f t="shared" si="1846"/>
        <v>71132.300000000003</v>
      </c>
      <c r="AU910" s="1355">
        <f t="shared" si="1846"/>
        <v>71132.300000000003</v>
      </c>
      <c r="AV910" s="1052">
        <f t="shared" si="1847" ref="AV910:BJ910">SUM(AV896:AV909)</f>
        <v>73929.599999999991</v>
      </c>
      <c r="AW910" s="1052">
        <f t="shared" si="1847"/>
        <v>73057.199999999983</v>
      </c>
      <c r="AX910" s="1052">
        <f t="shared" si="1847"/>
        <v>75524.200000000012</v>
      </c>
      <c r="AY910" s="1052">
        <f t="shared" si="1847"/>
        <v>75464.999999999985</v>
      </c>
      <c r="AZ910" s="1355">
        <f t="shared" si="1847"/>
        <v>75464.999999999985</v>
      </c>
      <c r="BA910" s="1052">
        <f t="shared" si="1848" ref="BA910:BI910">SUM(BA896:BA909)</f>
        <v>80407.099999999991</v>
      </c>
      <c r="BB910" s="1052">
        <f t="shared" si="1848"/>
        <v>82945.199999999983</v>
      </c>
      <c r="BC910" s="1052">
        <f t="shared" si="1848"/>
        <v>85652.600000000006</v>
      </c>
      <c r="BD910" s="1052">
        <f t="shared" si="1848"/>
        <v>88690.799999999959</v>
      </c>
      <c r="BE910" s="1355">
        <f t="shared" si="1848"/>
        <v>88690.799999999959</v>
      </c>
      <c r="BF910" s="1052">
        <f>SUM(BF896:BF909)</f>
        <v>94127.89999999998</v>
      </c>
      <c r="BG910" s="1052">
        <f>SUM(BG896:BG909)</f>
        <v>97893</v>
      </c>
      <c r="BH910" s="1053">
        <f>SUM(BH896:BH909)</f>
        <v>105202.50</v>
      </c>
      <c r="BI910" s="1054">
        <f t="shared" ca="1" si="1848"/>
        <v>108169.27314820515</v>
      </c>
      <c r="BJ910" s="1356">
        <f t="shared" ca="1" si="1847"/>
        <v>108169.27314820515</v>
      </c>
      <c r="BK910" s="1054">
        <f ca="1" t="shared" si="1849" ref="BK910:BR910">SUM(BK896:BK909)</f>
        <v>111844.54302697907</v>
      </c>
      <c r="BL910" s="1054">
        <f t="shared" ca="1" si="1849"/>
        <v>115356.02115037473</v>
      </c>
      <c r="BM910" s="1054">
        <f t="shared" ca="1" si="1849"/>
        <v>118711.19823893423</v>
      </c>
      <c r="BN910" s="1054">
        <f t="shared" ca="1" si="1849"/>
        <v>122369.15015226725</v>
      </c>
      <c r="BO910" s="1356">
        <f t="shared" ca="1" si="1849"/>
        <v>122369.15015226725</v>
      </c>
      <c r="BP910" s="1356">
        <f t="shared" ca="1" si="1849"/>
        <v>137641.6577028124</v>
      </c>
      <c r="BQ910" s="1356">
        <f t="shared" ca="1" si="1849"/>
        <v>153658.44873424625</v>
      </c>
      <c r="BR910" s="1356">
        <f t="shared" ca="1" si="1849"/>
        <v>170454.32844190733</v>
      </c>
      <c r="BS910" s="648"/>
    </row>
    <row r="911" spans="1:71" s="668" customFormat="1" ht="15">
      <c r="A911" s="904"/>
      <c r="B911" s="367"/>
      <c r="C911" s="1322"/>
      <c r="D911" s="1322"/>
      <c r="E911" s="1322"/>
      <c r="F911" s="1322"/>
      <c r="G911" s="1322"/>
      <c r="H911" s="1031"/>
      <c r="I911" s="1031"/>
      <c r="J911" s="1031"/>
      <c r="K911" s="1031"/>
      <c r="L911" s="1322"/>
      <c r="M911" s="1031"/>
      <c r="N911" s="1031"/>
      <c r="O911" s="1031"/>
      <c r="P911" s="1031"/>
      <c r="Q911" s="1322"/>
      <c r="R911" s="1031"/>
      <c r="S911" s="1031"/>
      <c r="T911" s="1031"/>
      <c r="U911" s="1031"/>
      <c r="V911" s="1322"/>
      <c r="W911" s="1031"/>
      <c r="X911" s="1031"/>
      <c r="Y911" s="1031"/>
      <c r="Z911" s="1031"/>
      <c r="AA911" s="1322"/>
      <c r="AB911" s="1031"/>
      <c r="AC911" s="1031"/>
      <c r="AD911" s="1031"/>
      <c r="AE911" s="1031"/>
      <c r="AF911" s="1322"/>
      <c r="AG911" s="1031"/>
      <c r="AH911" s="1031"/>
      <c r="AI911" s="1031"/>
      <c r="AJ911" s="1031"/>
      <c r="AK911" s="1322"/>
      <c r="AL911" s="1031"/>
      <c r="AM911" s="1031"/>
      <c r="AN911" s="1031"/>
      <c r="AO911" s="1031"/>
      <c r="AP911" s="1322"/>
      <c r="AQ911" s="1031"/>
      <c r="AR911" s="1031"/>
      <c r="AS911" s="1031"/>
      <c r="AT911" s="1031"/>
      <c r="AU911" s="1322"/>
      <c r="AV911" s="1031"/>
      <c r="AW911" s="1031"/>
      <c r="AX911" s="1031"/>
      <c r="AY911" s="1031"/>
      <c r="AZ911" s="1322"/>
      <c r="BA911" s="1031"/>
      <c r="BB911" s="1031"/>
      <c r="BC911" s="1031"/>
      <c r="BD911" s="1031"/>
      <c r="BE911" s="1322"/>
      <c r="BF911" s="1031"/>
      <c r="BG911" s="1031"/>
      <c r="BH911" s="1049"/>
      <c r="BI911" s="1023"/>
      <c r="BJ911" s="1321"/>
      <c r="BK911" s="1023"/>
      <c r="BL911" s="1023"/>
      <c r="BM911" s="1023"/>
      <c r="BN911" s="1023"/>
      <c r="BO911" s="1321"/>
      <c r="BP911" s="1322"/>
      <c r="BQ911" s="1322"/>
      <c r="BR911" s="1321"/>
      <c r="BS911" s="648"/>
    </row>
    <row r="912" spans="1:71" s="668" customFormat="1" ht="15">
      <c r="A912" s="25" t="s">
        <v>207</v>
      </c>
      <c r="B912" s="367"/>
      <c r="C912" s="1322"/>
      <c r="D912" s="1322"/>
      <c r="E912" s="1322"/>
      <c r="F912" s="1322"/>
      <c r="G912" s="1322"/>
      <c r="H912" s="1031"/>
      <c r="I912" s="1031"/>
      <c r="J912" s="1031"/>
      <c r="K912" s="1031"/>
      <c r="L912" s="1322"/>
      <c r="M912" s="1031"/>
      <c r="N912" s="1031"/>
      <c r="O912" s="1031"/>
      <c r="P912" s="1031"/>
      <c r="Q912" s="1322"/>
      <c r="R912" s="1031"/>
      <c r="S912" s="1031"/>
      <c r="T912" s="1031"/>
      <c r="U912" s="1031"/>
      <c r="V912" s="1322"/>
      <c r="W912" s="1031"/>
      <c r="X912" s="1031"/>
      <c r="Y912" s="1031"/>
      <c r="Z912" s="1031"/>
      <c r="AA912" s="1322"/>
      <c r="AB912" s="1031"/>
      <c r="AC912" s="1031"/>
      <c r="AD912" s="1031"/>
      <c r="AE912" s="1031"/>
      <c r="AF912" s="1322"/>
      <c r="AG912" s="1031"/>
      <c r="AH912" s="1031"/>
      <c r="AI912" s="1031"/>
      <c r="AJ912" s="1031"/>
      <c r="AK912" s="1322"/>
      <c r="AL912" s="1031"/>
      <c r="AM912" s="1031"/>
      <c r="AN912" s="1031"/>
      <c r="AO912" s="1031"/>
      <c r="AP912" s="1322"/>
      <c r="AQ912" s="1031"/>
      <c r="AR912" s="1031"/>
      <c r="AS912" s="1031"/>
      <c r="AT912" s="1031"/>
      <c r="AU912" s="1322"/>
      <c r="AV912" s="1031"/>
      <c r="AW912" s="1031"/>
      <c r="AX912" s="1031"/>
      <c r="AY912" s="1031"/>
      <c r="AZ912" s="1322"/>
      <c r="BA912" s="1031"/>
      <c r="BB912" s="1031"/>
      <c r="BC912" s="1031"/>
      <c r="BD912" s="1031"/>
      <c r="BE912" s="1322"/>
      <c r="BF912" s="1031"/>
      <c r="BG912" s="1031"/>
      <c r="BH912" s="1049"/>
      <c r="BI912" s="1023"/>
      <c r="BJ912" s="1321"/>
      <c r="BK912" s="1023"/>
      <c r="BL912" s="1023"/>
      <c r="BM912" s="1023"/>
      <c r="BN912" s="1023"/>
      <c r="BO912" s="1321"/>
      <c r="BP912" s="1322"/>
      <c r="BQ912" s="1322"/>
      <c r="BR912" s="1321"/>
      <c r="BS912" s="648"/>
    </row>
    <row r="913" spans="1:71" s="665" customFormat="1" ht="15">
      <c r="A913" s="371" t="s">
        <v>153</v>
      </c>
      <c r="B913" s="321"/>
      <c r="C913" s="1364">
        <v>4172.8999999999996</v>
      </c>
      <c r="D913" s="1364">
        <v>4353.80</v>
      </c>
      <c r="E913" s="1364">
        <v>4579.3999999999996</v>
      </c>
      <c r="F913" s="1364">
        <v>4930.70</v>
      </c>
      <c r="G913" s="1364">
        <v>5174.50</v>
      </c>
      <c r="H913" s="1225">
        <v>5460.10</v>
      </c>
      <c r="I913" s="1225">
        <v>5582.60</v>
      </c>
      <c r="J913" s="1225">
        <v>5777</v>
      </c>
      <c r="K913" s="1042">
        <f t="shared" si="1850" ref="K913:K920">L913</f>
        <v>5440.10</v>
      </c>
      <c r="L913" s="1364">
        <v>5440.10</v>
      </c>
      <c r="M913" s="1225">
        <v>5854</v>
      </c>
      <c r="N913" s="1225">
        <v>6641.90</v>
      </c>
      <c r="O913" s="1225">
        <v>6971.90</v>
      </c>
      <c r="P913" s="1042">
        <f t="shared" si="1851" ref="P913:P920">Q913</f>
        <v>6621.80</v>
      </c>
      <c r="Q913" s="1364">
        <v>6621.80</v>
      </c>
      <c r="R913" s="1225">
        <v>7140.70</v>
      </c>
      <c r="S913" s="1225">
        <v>7470.10</v>
      </c>
      <c r="T913" s="1225">
        <v>7792.40</v>
      </c>
      <c r="U913" s="1042">
        <f t="shared" si="1852" ref="U913:U920">V913</f>
        <v>7468.30</v>
      </c>
      <c r="V913" s="1364">
        <v>7468.30</v>
      </c>
      <c r="W913" s="1225">
        <v>7945</v>
      </c>
      <c r="X913" s="1225">
        <v>8407.7000000000007</v>
      </c>
      <c r="Y913" s="1225">
        <v>9005.2999999999993</v>
      </c>
      <c r="Z913" s="1042">
        <f t="shared" si="1853" ref="Z913:Z920">AA913</f>
        <v>8903.50</v>
      </c>
      <c r="AA913" s="1364">
        <v>8903.50</v>
      </c>
      <c r="AB913" s="1225">
        <v>9837.7999999999993</v>
      </c>
      <c r="AC913" s="1225">
        <v>10245.90</v>
      </c>
      <c r="AD913" s="1225">
        <v>11009.20</v>
      </c>
      <c r="AE913" s="1042">
        <f t="shared" si="1854" ref="AE913:AE920">AF913</f>
        <v>10686.50</v>
      </c>
      <c r="AF913" s="1364">
        <v>10686.50</v>
      </c>
      <c r="AG913" s="1225">
        <v>11603.60</v>
      </c>
      <c r="AH913" s="1225">
        <v>11796.700000000001</v>
      </c>
      <c r="AI913" s="1225">
        <v>12526.50</v>
      </c>
      <c r="AJ913" s="1042">
        <f t="shared" si="1855" ref="AJ913:AJ920">AK913</f>
        <v>12388.80</v>
      </c>
      <c r="AK913" s="1364">
        <v>12388.80</v>
      </c>
      <c r="AL913" s="1225">
        <v>12641.10</v>
      </c>
      <c r="AM913" s="1225">
        <v>13055.60</v>
      </c>
      <c r="AN913" s="1225">
        <v>14199.299999999999</v>
      </c>
      <c r="AO913" s="1042">
        <f t="shared" si="1856" ref="AO913:AO920">AP913</f>
        <v>13437.50</v>
      </c>
      <c r="AP913" s="1364">
        <v>13437.50</v>
      </c>
      <c r="AQ913" s="1225">
        <v>15045.90</v>
      </c>
      <c r="AR913" s="1225">
        <v>15555.90</v>
      </c>
      <c r="AS913" s="1225">
        <v>16671.40</v>
      </c>
      <c r="AT913" s="1042">
        <f t="shared" si="1857" ref="AT913:AT920">AU913</f>
        <v>15615.80</v>
      </c>
      <c r="AU913" s="1364">
        <v>15615.80</v>
      </c>
      <c r="AV913" s="1225">
        <v>16991.40</v>
      </c>
      <c r="AW913" s="1225">
        <v>17274.80</v>
      </c>
      <c r="AX913" s="1225">
        <v>17796.900000000001</v>
      </c>
      <c r="AY913" s="1042">
        <f t="shared" si="1858" ref="AY913:AY920">AZ913</f>
        <v>17293.60</v>
      </c>
      <c r="AZ913" s="1364">
        <v>17293.60</v>
      </c>
      <c r="BA913" s="1225">
        <v>19844.299999999999</v>
      </c>
      <c r="BB913" s="1225">
        <v>20070.099999999999</v>
      </c>
      <c r="BC913" s="1225">
        <v>20761.700000000001</v>
      </c>
      <c r="BD913" s="1042">
        <f t="shared" si="1859" ref="BD913:BD920">BE913</f>
        <v>20133.700000000001</v>
      </c>
      <c r="BE913" s="1364">
        <v>20133.700000000001</v>
      </c>
      <c r="BF913" s="1225">
        <v>22907.299999999999</v>
      </c>
      <c r="BG913" s="1225">
        <v>23680.40</v>
      </c>
      <c r="BH913" s="1226">
        <v>24772.50</v>
      </c>
      <c r="BI913" s="1044">
        <f>BH913+BI819</f>
        <v>25061.545198958614</v>
      </c>
      <c r="BJ913" s="1350">
        <f t="shared" si="1860" ref="BJ913:BJ920">BI913</f>
        <v>25061.545198958614</v>
      </c>
      <c r="BK913" s="1044">
        <f t="shared" si="1861" ref="BK913:BN914">BJ913+BK819</f>
        <v>25468.062916932107</v>
      </c>
      <c r="BL913" s="1044">
        <f t="shared" si="1861"/>
        <v>26401.393667955192</v>
      </c>
      <c r="BM913" s="1044">
        <f t="shared" si="1861"/>
        <v>27316.044140546412</v>
      </c>
      <c r="BN913" s="1044">
        <f t="shared" si="1861"/>
        <v>27638.476540241569</v>
      </c>
      <c r="BO913" s="1350">
        <f t="shared" si="1862" ref="BO913:BO920">BN913</f>
        <v>27638.476540241569</v>
      </c>
      <c r="BP913" s="1351">
        <f t="shared" si="1863" ref="BP913:BR914">BO913+BP819</f>
        <v>30415.431148958512</v>
      </c>
      <c r="BQ913" s="1351">
        <f t="shared" si="1863"/>
        <v>33304.574723867612</v>
      </c>
      <c r="BR913" s="1350">
        <f t="shared" si="1863"/>
        <v>36310.439699203038</v>
      </c>
      <c r="BS913" s="647"/>
    </row>
    <row r="914" spans="1:71" s="665" customFormat="1" ht="15">
      <c r="A914" s="371" t="s">
        <v>154</v>
      </c>
      <c r="B914" s="321"/>
      <c r="C914" s="1364">
        <v>6653</v>
      </c>
      <c r="D914" s="1364">
        <v>7071</v>
      </c>
      <c r="E914" s="1364">
        <v>7245.80</v>
      </c>
      <c r="F914" s="1364">
        <v>7838.40</v>
      </c>
      <c r="G914" s="1364">
        <v>8479.7000000000007</v>
      </c>
      <c r="H914" s="1225">
        <v>8592.60</v>
      </c>
      <c r="I914" s="1225">
        <v>8639.90</v>
      </c>
      <c r="J914" s="1225">
        <v>8728.40</v>
      </c>
      <c r="K914" s="1042">
        <f t="shared" si="1850"/>
        <v>8857.40</v>
      </c>
      <c r="L914" s="1364">
        <v>8857.40</v>
      </c>
      <c r="M914" s="1225">
        <v>9001.60</v>
      </c>
      <c r="N914" s="1225">
        <v>9701.2000000000007</v>
      </c>
      <c r="O914" s="1225">
        <v>9827.2000000000007</v>
      </c>
      <c r="P914" s="1042">
        <f t="shared" si="1851"/>
        <v>10039</v>
      </c>
      <c r="Q914" s="1364">
        <v>10039</v>
      </c>
      <c r="R914" s="1225">
        <v>10286.700000000001</v>
      </c>
      <c r="S914" s="1225">
        <v>10674.80</v>
      </c>
      <c r="T914" s="1225">
        <v>11228.20</v>
      </c>
      <c r="U914" s="1042">
        <f t="shared" si="1852"/>
        <v>11368</v>
      </c>
      <c r="V914" s="1364">
        <v>11368</v>
      </c>
      <c r="W914" s="1225">
        <v>11628.90</v>
      </c>
      <c r="X914" s="1225">
        <v>12060.40</v>
      </c>
      <c r="Y914" s="1225">
        <v>13353.299999999999</v>
      </c>
      <c r="Z914" s="1042">
        <f t="shared" si="1853"/>
        <v>13086.90</v>
      </c>
      <c r="AA914" s="1364">
        <v>13086.90</v>
      </c>
      <c r="AB914" s="1225">
        <v>13329</v>
      </c>
      <c r="AC914" s="1225">
        <v>14070.80</v>
      </c>
      <c r="AD914" s="1225">
        <v>14620.80</v>
      </c>
      <c r="AE914" s="1042">
        <f t="shared" si="1854"/>
        <v>15400.80</v>
      </c>
      <c r="AF914" s="1364">
        <v>15400.80</v>
      </c>
      <c r="AG914" s="1225">
        <v>15876.60</v>
      </c>
      <c r="AH914" s="1225">
        <v>16568.60</v>
      </c>
      <c r="AI914" s="1225">
        <v>17370</v>
      </c>
      <c r="AJ914" s="1042">
        <f t="shared" si="1855"/>
        <v>18105.40</v>
      </c>
      <c r="AK914" s="1364">
        <v>18105.40</v>
      </c>
      <c r="AL914" s="1225">
        <v>18306.50</v>
      </c>
      <c r="AM914" s="1225">
        <v>18512</v>
      </c>
      <c r="AN914" s="1225">
        <v>19589.20</v>
      </c>
      <c r="AO914" s="1042">
        <f t="shared" si="1856"/>
        <v>20265.80</v>
      </c>
      <c r="AP914" s="1364">
        <v>20265.80</v>
      </c>
      <c r="AQ914" s="1225">
        <v>21063.700000000001</v>
      </c>
      <c r="AR914" s="1225">
        <v>23895.60</v>
      </c>
      <c r="AS914" s="1225">
        <v>25926.299999999999</v>
      </c>
      <c r="AT914" s="1042">
        <f t="shared" si="1857"/>
        <v>26164.099999999999</v>
      </c>
      <c r="AU914" s="1364">
        <v>26164.099999999999</v>
      </c>
      <c r="AV914" s="1225">
        <v>26754.200000000001</v>
      </c>
      <c r="AW914" s="1225">
        <v>27812</v>
      </c>
      <c r="AX914" s="1225">
        <v>30631.799999999999</v>
      </c>
      <c r="AY914" s="1042">
        <f t="shared" si="1858"/>
        <v>30359.299999999999</v>
      </c>
      <c r="AZ914" s="1364">
        <v>30359.299999999999</v>
      </c>
      <c r="BA914" s="1225">
        <v>31026.40</v>
      </c>
      <c r="BB914" s="1225">
        <v>32753.299999999999</v>
      </c>
      <c r="BC914" s="1225">
        <v>33577.300000000003</v>
      </c>
      <c r="BD914" s="1042">
        <f t="shared" si="1859"/>
        <v>34389.199999999997</v>
      </c>
      <c r="BE914" s="1364">
        <v>34389.199999999997</v>
      </c>
      <c r="BF914" s="1225">
        <v>34831</v>
      </c>
      <c r="BG914" s="1225">
        <v>36605.199999999997</v>
      </c>
      <c r="BH914" s="1226">
        <v>38061.50</v>
      </c>
      <c r="BI914" s="1044">
        <f>BH914+BI820</f>
        <v>39146.566800194698</v>
      </c>
      <c r="BJ914" s="1350">
        <f t="shared" si="1860"/>
        <v>39146.566800194698</v>
      </c>
      <c r="BK914" s="1044">
        <f t="shared" si="1861"/>
        <v>40433.459661451161</v>
      </c>
      <c r="BL914" s="1044">
        <f t="shared" si="1861"/>
        <v>41634.441083697166</v>
      </c>
      <c r="BM914" s="1044">
        <f t="shared" si="1861"/>
        <v>42877.263728817496</v>
      </c>
      <c r="BN914" s="1044">
        <f t="shared" si="1861"/>
        <v>44066.426434808862</v>
      </c>
      <c r="BO914" s="1350">
        <f t="shared" si="1862"/>
        <v>44066.426434808862</v>
      </c>
      <c r="BP914" s="1351">
        <f t="shared" si="1863"/>
        <v>49340.498960805839</v>
      </c>
      <c r="BQ914" s="1351">
        <f t="shared" si="1863"/>
        <v>54827.644016853097</v>
      </c>
      <c r="BR914" s="1350">
        <f t="shared" si="1863"/>
        <v>60536.46973316466</v>
      </c>
      <c r="BS914" s="647"/>
    </row>
    <row r="915" spans="1:71" s="665" customFormat="1" ht="15">
      <c r="A915" s="371" t="s">
        <v>204</v>
      </c>
      <c r="B915" s="321"/>
      <c r="C915" s="1351"/>
      <c r="D915" s="1351"/>
      <c r="E915" s="1351"/>
      <c r="F915" s="1364">
        <v>0</v>
      </c>
      <c r="G915" s="1364">
        <v>28.40</v>
      </c>
      <c r="H915" s="1225">
        <v>51.10</v>
      </c>
      <c r="I915" s="1225">
        <v>98.80</v>
      </c>
      <c r="J915" s="1225">
        <v>57.40</v>
      </c>
      <c r="K915" s="1042">
        <f t="shared" si="1850"/>
        <v>98.90</v>
      </c>
      <c r="L915" s="1364">
        <v>98.90</v>
      </c>
      <c r="M915" s="1225">
        <v>97.20</v>
      </c>
      <c r="N915" s="1225">
        <v>176</v>
      </c>
      <c r="O915" s="1225">
        <v>85.70</v>
      </c>
      <c r="P915" s="1042">
        <f t="shared" si="1851"/>
        <v>109.30</v>
      </c>
      <c r="Q915" s="1364">
        <v>109.30</v>
      </c>
      <c r="R915" s="1225">
        <v>113.90000000000001</v>
      </c>
      <c r="S915" s="1225">
        <v>140.69999999999999</v>
      </c>
      <c r="T915" s="1225">
        <v>156.90000000000001</v>
      </c>
      <c r="U915" s="1042">
        <f t="shared" si="1852"/>
        <v>111.30</v>
      </c>
      <c r="V915" s="1364">
        <v>111.30</v>
      </c>
      <c r="W915" s="1225">
        <v>168.40</v>
      </c>
      <c r="X915" s="1225">
        <v>191.80</v>
      </c>
      <c r="Y915" s="1225">
        <v>201.50</v>
      </c>
      <c r="Z915" s="1042">
        <f t="shared" si="1853"/>
        <v>135</v>
      </c>
      <c r="AA915" s="1364">
        <v>135</v>
      </c>
      <c r="AB915" s="1225">
        <v>53.20</v>
      </c>
      <c r="AC915" s="1225">
        <v>46</v>
      </c>
      <c r="AD915" s="1225">
        <v>53.50</v>
      </c>
      <c r="AE915" s="1042">
        <f t="shared" si="1854"/>
        <v>0</v>
      </c>
      <c r="AF915" s="1364">
        <v>0</v>
      </c>
      <c r="AG915" s="1225">
        <v>38.50</v>
      </c>
      <c r="AH915" s="1225">
        <v>134.50</v>
      </c>
      <c r="AI915" s="1225">
        <v>136</v>
      </c>
      <c r="AJ915" s="1042">
        <f t="shared" si="1855"/>
        <v>132.50</v>
      </c>
      <c r="AK915" s="1364">
        <v>132.50</v>
      </c>
      <c r="AL915" s="1225">
        <v>0</v>
      </c>
      <c r="AM915" s="1225">
        <v>197.10</v>
      </c>
      <c r="AN915" s="1225">
        <v>213.90</v>
      </c>
      <c r="AO915" s="1042">
        <f t="shared" si="1856"/>
        <v>310</v>
      </c>
      <c r="AP915" s="1364">
        <v>310</v>
      </c>
      <c r="AQ915" s="1225">
        <v>241.50</v>
      </c>
      <c r="AR915" s="1225">
        <v>219.40</v>
      </c>
      <c r="AS915" s="1225">
        <v>110.70</v>
      </c>
      <c r="AT915" s="1042">
        <f t="shared" si="1857"/>
        <v>152.90000000000001</v>
      </c>
      <c r="AU915" s="1364">
        <v>152.90000000000001</v>
      </c>
      <c r="AV915" s="1225">
        <v>0</v>
      </c>
      <c r="AW915" s="1047"/>
      <c r="AX915" s="1225">
        <v>0</v>
      </c>
      <c r="AY915" s="1042">
        <f t="shared" si="1858"/>
        <v>0</v>
      </c>
      <c r="AZ915" s="1351"/>
      <c r="BA915" s="1047"/>
      <c r="BB915" s="1047"/>
      <c r="BC915" s="1047"/>
      <c r="BD915" s="1042">
        <f t="shared" si="1859"/>
        <v>0</v>
      </c>
      <c r="BE915" s="1351"/>
      <c r="BF915" s="1047"/>
      <c r="BG915" s="1047"/>
      <c r="BH915" s="1048"/>
      <c r="BI915" s="1044">
        <f>BH915+BI811</f>
        <v>0</v>
      </c>
      <c r="BJ915" s="1350">
        <f t="shared" si="1860"/>
        <v>0</v>
      </c>
      <c r="BK915" s="1044">
        <f>BJ915+BK811</f>
        <v>0</v>
      </c>
      <c r="BL915" s="1044">
        <f>BK915+BL811</f>
        <v>0</v>
      </c>
      <c r="BM915" s="1044">
        <f>BL915+BM811</f>
        <v>0</v>
      </c>
      <c r="BN915" s="1044">
        <f>BM915+BN811</f>
        <v>0</v>
      </c>
      <c r="BO915" s="1350">
        <f t="shared" si="1862"/>
        <v>0</v>
      </c>
      <c r="BP915" s="1351">
        <f>BO915+BP811</f>
        <v>0</v>
      </c>
      <c r="BQ915" s="1351">
        <f>BP915+BQ811</f>
        <v>0</v>
      </c>
      <c r="BR915" s="1350">
        <f>BQ915+BR811</f>
        <v>0</v>
      </c>
      <c r="BS915" s="647"/>
    </row>
    <row r="916" spans="1:71" s="665" customFormat="1" ht="15">
      <c r="A916" s="371" t="s">
        <v>208</v>
      </c>
      <c r="B916" s="321"/>
      <c r="C916" s="1351"/>
      <c r="D916" s="1351"/>
      <c r="E916" s="1351"/>
      <c r="F916" s="1364">
        <v>172</v>
      </c>
      <c r="G916" s="1364">
        <v>890.20</v>
      </c>
      <c r="H916" s="1225">
        <v>0</v>
      </c>
      <c r="I916" s="1225">
        <v>0</v>
      </c>
      <c r="J916" s="1225">
        <v>0</v>
      </c>
      <c r="K916" s="1042">
        <f t="shared" si="1850"/>
        <v>404.10</v>
      </c>
      <c r="L916" s="1364">
        <v>404.10</v>
      </c>
      <c r="M916" s="1225">
        <v>0</v>
      </c>
      <c r="N916" s="1225">
        <v>0</v>
      </c>
      <c r="O916" s="1225">
        <v>0</v>
      </c>
      <c r="P916" s="1042">
        <f t="shared" si="1851"/>
        <v>519.20000000000005</v>
      </c>
      <c r="Q916" s="1364">
        <v>519.20000000000005</v>
      </c>
      <c r="R916" s="1225">
        <v>0</v>
      </c>
      <c r="S916" s="1225">
        <v>0</v>
      </c>
      <c r="T916" s="1225">
        <v>0</v>
      </c>
      <c r="U916" s="1042">
        <f t="shared" si="1852"/>
        <v>395.40</v>
      </c>
      <c r="V916" s="1364">
        <v>395.40</v>
      </c>
      <c r="W916" s="1225">
        <v>0</v>
      </c>
      <c r="X916" s="1225">
        <v>0</v>
      </c>
      <c r="Y916" s="1225">
        <v>0</v>
      </c>
      <c r="Z916" s="1042">
        <f t="shared" si="1853"/>
        <v>655.10</v>
      </c>
      <c r="AA916" s="1364">
        <v>655.10</v>
      </c>
      <c r="AB916" s="1225">
        <v>0</v>
      </c>
      <c r="AC916" s="1047"/>
      <c r="AD916" s="1047"/>
      <c r="AE916" s="1042">
        <f t="shared" si="1854"/>
        <v>0</v>
      </c>
      <c r="AF916" s="1351"/>
      <c r="AG916" s="1047"/>
      <c r="AH916" s="1047"/>
      <c r="AI916" s="1047"/>
      <c r="AJ916" s="1042">
        <f t="shared" si="1855"/>
        <v>0</v>
      </c>
      <c r="AK916" s="1351"/>
      <c r="AL916" s="1047"/>
      <c r="AM916" s="1047"/>
      <c r="AN916" s="1047"/>
      <c r="AO916" s="1042">
        <f t="shared" si="1856"/>
        <v>2694.50</v>
      </c>
      <c r="AP916" s="1364">
        <v>2694.50</v>
      </c>
      <c r="AQ916" s="1225">
        <v>58.50</v>
      </c>
      <c r="AR916" s="1225">
        <v>58.50</v>
      </c>
      <c r="AS916" s="1225">
        <v>58.50</v>
      </c>
      <c r="AT916" s="1042">
        <f t="shared" si="1857"/>
        <v>58.50</v>
      </c>
      <c r="AU916" s="1364">
        <v>58.50</v>
      </c>
      <c r="AV916" s="1225">
        <v>58.50</v>
      </c>
      <c r="AW916" s="1047"/>
      <c r="AX916" s="1047"/>
      <c r="AY916" s="1042">
        <f t="shared" si="1858"/>
        <v>0</v>
      </c>
      <c r="AZ916" s="1351"/>
      <c r="BA916" s="1047"/>
      <c r="BB916" s="1047"/>
      <c r="BC916" s="1047"/>
      <c r="BD916" s="1042">
        <f t="shared" si="1859"/>
        <v>0</v>
      </c>
      <c r="BE916" s="1351"/>
      <c r="BF916" s="1047"/>
      <c r="BG916" s="1047"/>
      <c r="BH916" s="1048"/>
      <c r="BI916" s="1044">
        <f t="shared" si="1864" ref="BI916:BI918">BH916</f>
        <v>0</v>
      </c>
      <c r="BJ916" s="1350">
        <f t="shared" si="1860"/>
        <v>0</v>
      </c>
      <c r="BK916" s="1044">
        <f t="shared" si="1865" ref="BK916:BN918">BJ916</f>
        <v>0</v>
      </c>
      <c r="BL916" s="1044">
        <f t="shared" si="1865"/>
        <v>0</v>
      </c>
      <c r="BM916" s="1044">
        <f t="shared" si="1865"/>
        <v>0</v>
      </c>
      <c r="BN916" s="1044">
        <f t="shared" si="1865"/>
        <v>0</v>
      </c>
      <c r="BO916" s="1350">
        <f t="shared" si="1862"/>
        <v>0</v>
      </c>
      <c r="BP916" s="1351">
        <f t="shared" si="1866" ref="BP916:BR918">BO916</f>
        <v>0</v>
      </c>
      <c r="BQ916" s="1351">
        <f t="shared" si="1866"/>
        <v>0</v>
      </c>
      <c r="BR916" s="1350">
        <f t="shared" si="1866"/>
        <v>0</v>
      </c>
      <c r="BS916" s="647"/>
    </row>
    <row r="917" spans="1:71" s="665" customFormat="1" ht="15">
      <c r="A917" s="371" t="s">
        <v>155</v>
      </c>
      <c r="B917" s="321"/>
      <c r="C917" s="1364">
        <v>1297.5999999999999</v>
      </c>
      <c r="D917" s="1364">
        <v>1718.40</v>
      </c>
      <c r="E917" s="1364">
        <v>1770.80</v>
      </c>
      <c r="F917" s="1364">
        <v>1683.50</v>
      </c>
      <c r="G917" s="1364">
        <v>1785</v>
      </c>
      <c r="H917" s="1225">
        <v>1911.70</v>
      </c>
      <c r="I917" s="1225">
        <v>2134.1999999999998</v>
      </c>
      <c r="J917" s="1225">
        <v>2263.60</v>
      </c>
      <c r="K917" s="1042">
        <f t="shared" si="1850"/>
        <v>1893.80</v>
      </c>
      <c r="L917" s="1364">
        <v>1893.80</v>
      </c>
      <c r="M917" s="1225">
        <v>2165.90</v>
      </c>
      <c r="N917" s="1225">
        <v>2252.90</v>
      </c>
      <c r="O917" s="1225">
        <v>2431</v>
      </c>
      <c r="P917" s="1042">
        <f t="shared" si="1851"/>
        <v>2067.8000000000002</v>
      </c>
      <c r="Q917" s="1364">
        <v>2067.8000000000002</v>
      </c>
      <c r="R917" s="1225">
        <v>2451.40</v>
      </c>
      <c r="S917" s="1225">
        <v>2706.20</v>
      </c>
      <c r="T917" s="1225">
        <v>2722.20</v>
      </c>
      <c r="U917" s="1042">
        <f t="shared" si="1852"/>
        <v>2495.50</v>
      </c>
      <c r="V917" s="1364">
        <v>2495.50</v>
      </c>
      <c r="W917" s="1225">
        <v>2939.40</v>
      </c>
      <c r="X917" s="1225">
        <v>3153.20</v>
      </c>
      <c r="Y917" s="1225">
        <v>3272.70</v>
      </c>
      <c r="Z917" s="1042">
        <f t="shared" si="1853"/>
        <v>2825.90</v>
      </c>
      <c r="AA917" s="1364">
        <v>2825.90</v>
      </c>
      <c r="AB917" s="1225">
        <v>3414.30</v>
      </c>
      <c r="AC917" s="1225">
        <v>3922.30</v>
      </c>
      <c r="AD917" s="1225">
        <v>3924.10</v>
      </c>
      <c r="AE917" s="1042">
        <f t="shared" si="1854"/>
        <v>5046.50</v>
      </c>
      <c r="AF917" s="1364">
        <v>5046.50</v>
      </c>
      <c r="AG917" s="1225">
        <v>4594.30</v>
      </c>
      <c r="AH917" s="1225">
        <v>4867.50</v>
      </c>
      <c r="AI917" s="1225">
        <v>5222.8999999999996</v>
      </c>
      <c r="AJ917" s="1042">
        <f t="shared" si="1855"/>
        <v>5962.70</v>
      </c>
      <c r="AK917" s="1364">
        <v>5962.70</v>
      </c>
      <c r="AL917" s="1225">
        <v>5346.50</v>
      </c>
      <c r="AM917" s="1225">
        <v>5576.10</v>
      </c>
      <c r="AN917" s="1225">
        <v>5405.80</v>
      </c>
      <c r="AO917" s="1042">
        <f t="shared" si="1856"/>
        <v>4955.80</v>
      </c>
      <c r="AP917" s="1364">
        <v>4955.80</v>
      </c>
      <c r="AQ917" s="1225">
        <v>5770.40</v>
      </c>
      <c r="AR917" s="1225">
        <v>6021.80</v>
      </c>
      <c r="AS917" s="1225">
        <v>6394.90</v>
      </c>
      <c r="AT917" s="1042">
        <f t="shared" si="1857"/>
        <v>6010.60</v>
      </c>
      <c r="AU917" s="1364">
        <v>6010.60</v>
      </c>
      <c r="AV917" s="1225">
        <v>6688.70</v>
      </c>
      <c r="AW917" s="1225">
        <v>5931.20</v>
      </c>
      <c r="AX917" s="1225">
        <v>5931.90</v>
      </c>
      <c r="AY917" s="1042">
        <f t="shared" si="1858"/>
        <v>5532.80</v>
      </c>
      <c r="AZ917" s="1364">
        <v>5532.80</v>
      </c>
      <c r="BA917" s="1225">
        <v>6278.70</v>
      </c>
      <c r="BB917" s="1225">
        <v>6524</v>
      </c>
      <c r="BC917" s="1225">
        <v>7030.70</v>
      </c>
      <c r="BD917" s="1042">
        <f t="shared" si="1859"/>
        <v>7002.20</v>
      </c>
      <c r="BE917" s="1364">
        <v>7002.20</v>
      </c>
      <c r="BF917" s="1225">
        <v>7688.60</v>
      </c>
      <c r="BG917" s="1225">
        <v>7376.30</v>
      </c>
      <c r="BH917" s="1226">
        <v>8317.40</v>
      </c>
      <c r="BI917" s="1044">
        <f t="shared" si="1864"/>
        <v>8317.40</v>
      </c>
      <c r="BJ917" s="1350">
        <f t="shared" si="1860"/>
        <v>8317.40</v>
      </c>
      <c r="BK917" s="1044">
        <f t="shared" si="1865"/>
        <v>8317.40</v>
      </c>
      <c r="BL917" s="1044">
        <f t="shared" si="1865"/>
        <v>8317.40</v>
      </c>
      <c r="BM917" s="1044">
        <f t="shared" si="1865"/>
        <v>8317.40</v>
      </c>
      <c r="BN917" s="1044">
        <f t="shared" si="1865"/>
        <v>8317.40</v>
      </c>
      <c r="BO917" s="1350">
        <f t="shared" si="1862"/>
        <v>8317.40</v>
      </c>
      <c r="BP917" s="1351">
        <f t="shared" si="1866"/>
        <v>8317.40</v>
      </c>
      <c r="BQ917" s="1351">
        <f t="shared" si="1866"/>
        <v>8317.40</v>
      </c>
      <c r="BR917" s="1350">
        <f t="shared" si="1866"/>
        <v>8317.40</v>
      </c>
      <c r="BS917" s="647"/>
    </row>
    <row r="918" spans="1:71" s="665" customFormat="1" ht="15">
      <c r="A918" s="371" t="s">
        <v>152</v>
      </c>
      <c r="B918" s="321"/>
      <c r="C918" s="1351"/>
      <c r="D918" s="1351"/>
      <c r="E918" s="1351"/>
      <c r="F918" s="1351"/>
      <c r="G918" s="1351"/>
      <c r="H918" s="1047"/>
      <c r="I918" s="1047"/>
      <c r="J918" s="1047"/>
      <c r="K918" s="1042">
        <f t="shared" si="1850"/>
        <v>0</v>
      </c>
      <c r="L918" s="1351"/>
      <c r="M918" s="1047"/>
      <c r="N918" s="1047"/>
      <c r="O918" s="1047"/>
      <c r="P918" s="1042">
        <f t="shared" si="1851"/>
        <v>0</v>
      </c>
      <c r="Q918" s="1351"/>
      <c r="R918" s="1047"/>
      <c r="S918" s="1047"/>
      <c r="T918" s="1047"/>
      <c r="U918" s="1042">
        <f t="shared" si="1852"/>
        <v>0</v>
      </c>
      <c r="V918" s="1351"/>
      <c r="W918" s="1047"/>
      <c r="X918" s="1047"/>
      <c r="Y918" s="1047"/>
      <c r="Z918" s="1042">
        <f t="shared" si="1853"/>
        <v>0</v>
      </c>
      <c r="AA918" s="1351"/>
      <c r="AB918" s="1047"/>
      <c r="AC918" s="1047"/>
      <c r="AD918" s="1047"/>
      <c r="AE918" s="1042">
        <f t="shared" si="1854"/>
        <v>0</v>
      </c>
      <c r="AF918" s="1351"/>
      <c r="AG918" s="1047"/>
      <c r="AH918" s="1047"/>
      <c r="AI918" s="1047"/>
      <c r="AJ918" s="1042">
        <f t="shared" si="1855"/>
        <v>0</v>
      </c>
      <c r="AK918" s="1351"/>
      <c r="AL918" s="1047"/>
      <c r="AM918" s="1047"/>
      <c r="AN918" s="1047"/>
      <c r="AO918" s="1042">
        <f t="shared" si="1856"/>
        <v>0</v>
      </c>
      <c r="AP918" s="1351"/>
      <c r="AQ918" s="1047"/>
      <c r="AR918" s="1047"/>
      <c r="AS918" s="1047"/>
      <c r="AT918" s="1042">
        <f t="shared" si="1857"/>
        <v>0</v>
      </c>
      <c r="AU918" s="1351"/>
      <c r="AV918" s="1047"/>
      <c r="AW918" s="1047"/>
      <c r="AX918" s="1047"/>
      <c r="AY918" s="1042">
        <f t="shared" si="1858"/>
        <v>0</v>
      </c>
      <c r="AZ918" s="1351"/>
      <c r="BA918" s="1047"/>
      <c r="BB918" s="1047"/>
      <c r="BC918" s="1047"/>
      <c r="BD918" s="1042">
        <f t="shared" si="1859"/>
        <v>0</v>
      </c>
      <c r="BE918" s="1351"/>
      <c r="BF918" s="1047"/>
      <c r="BG918" s="1047"/>
      <c r="BH918" s="1048"/>
      <c r="BI918" s="1044">
        <f t="shared" si="1864"/>
        <v>0</v>
      </c>
      <c r="BJ918" s="1350">
        <f t="shared" si="1860"/>
        <v>0</v>
      </c>
      <c r="BK918" s="1044">
        <f t="shared" si="1865"/>
        <v>0</v>
      </c>
      <c r="BL918" s="1044">
        <f t="shared" si="1865"/>
        <v>0</v>
      </c>
      <c r="BM918" s="1044">
        <f t="shared" si="1865"/>
        <v>0</v>
      </c>
      <c r="BN918" s="1044">
        <f t="shared" si="1865"/>
        <v>0</v>
      </c>
      <c r="BO918" s="1350">
        <f t="shared" si="1862"/>
        <v>0</v>
      </c>
      <c r="BP918" s="1351">
        <f t="shared" si="1866"/>
        <v>0</v>
      </c>
      <c r="BQ918" s="1351">
        <f t="shared" si="1866"/>
        <v>0</v>
      </c>
      <c r="BR918" s="1350">
        <f t="shared" si="1866"/>
        <v>0</v>
      </c>
      <c r="BS918" s="647"/>
    </row>
    <row r="919" spans="1:71" s="665" customFormat="1" ht="15">
      <c r="A919" s="371" t="s">
        <v>209</v>
      </c>
      <c r="B919" s="321"/>
      <c r="C919" s="1364">
        <v>2177.1999999999998</v>
      </c>
      <c r="D919" s="1364">
        <v>1958.20</v>
      </c>
      <c r="E919" s="1364">
        <v>2442.10</v>
      </c>
      <c r="F919" s="1364">
        <v>2063.10</v>
      </c>
      <c r="G919" s="1364">
        <v>1860.90</v>
      </c>
      <c r="H919" s="1225">
        <v>1861.30</v>
      </c>
      <c r="I919" s="1225">
        <v>2208</v>
      </c>
      <c r="J919" s="1225">
        <v>2164.3000000000002</v>
      </c>
      <c r="K919" s="1042">
        <f t="shared" si="1850"/>
        <v>2164.6999999999998</v>
      </c>
      <c r="L919" s="1364">
        <v>2164.6999999999998</v>
      </c>
      <c r="M919" s="1225">
        <v>2560.10</v>
      </c>
      <c r="N919" s="1225">
        <v>2739</v>
      </c>
      <c r="O919" s="1225">
        <v>2714.30</v>
      </c>
      <c r="P919" s="1042">
        <f t="shared" si="1851"/>
        <v>2707.90</v>
      </c>
      <c r="Q919" s="1364">
        <v>2707.90</v>
      </c>
      <c r="R919" s="1225">
        <v>2701.60</v>
      </c>
      <c r="S919" s="1225">
        <v>2664.10</v>
      </c>
      <c r="T919" s="1225">
        <v>3153.90</v>
      </c>
      <c r="U919" s="1042">
        <f t="shared" si="1852"/>
        <v>3148.20</v>
      </c>
      <c r="V919" s="1364">
        <v>3148.20</v>
      </c>
      <c r="W919" s="1225">
        <v>3111.70</v>
      </c>
      <c r="X919" s="1225">
        <v>3383.40</v>
      </c>
      <c r="Y919" s="1225">
        <v>3312.20</v>
      </c>
      <c r="Z919" s="1042">
        <f t="shared" si="1853"/>
        <v>3306.30</v>
      </c>
      <c r="AA919" s="1364">
        <v>3306.30</v>
      </c>
      <c r="AB919" s="1225">
        <v>3859.20</v>
      </c>
      <c r="AC919" s="1225">
        <v>3859.50</v>
      </c>
      <c r="AD919" s="1225">
        <v>3859.90</v>
      </c>
      <c r="AE919" s="1042">
        <f t="shared" si="1854"/>
        <v>4404.8999999999996</v>
      </c>
      <c r="AF919" s="1364">
        <v>4404.8999999999996</v>
      </c>
      <c r="AG919" s="1225">
        <v>4405.3999999999996</v>
      </c>
      <c r="AH919" s="1225">
        <v>4406</v>
      </c>
      <c r="AI919" s="1225">
        <v>4406.50</v>
      </c>
      <c r="AJ919" s="1042">
        <f t="shared" si="1855"/>
        <v>4407.1000000000004</v>
      </c>
      <c r="AK919" s="1364">
        <v>4407.1000000000004</v>
      </c>
      <c r="AL919" s="1225">
        <v>5394</v>
      </c>
      <c r="AM919" s="1225">
        <v>5394.70</v>
      </c>
      <c r="AN919" s="1225">
        <v>5395.40</v>
      </c>
      <c r="AO919" s="1042">
        <f t="shared" si="1856"/>
        <v>5396.10</v>
      </c>
      <c r="AP919" s="1364">
        <v>5396.10</v>
      </c>
      <c r="AQ919" s="1225">
        <v>5396.80</v>
      </c>
      <c r="AR919" s="1225">
        <v>5397.50</v>
      </c>
      <c r="AS919" s="1225">
        <v>4898.20</v>
      </c>
      <c r="AT919" s="1042">
        <f t="shared" si="1857"/>
        <v>4898.80</v>
      </c>
      <c r="AU919" s="1364">
        <v>4898.80</v>
      </c>
      <c r="AV919" s="1225">
        <v>6385.60</v>
      </c>
      <c r="AW919" s="1225">
        <v>6386.50</v>
      </c>
      <c r="AX919" s="1225">
        <v>6387.40</v>
      </c>
      <c r="AY919" s="1042">
        <f t="shared" si="1858"/>
        <v>6388.30</v>
      </c>
      <c r="AZ919" s="1364">
        <v>6388.30</v>
      </c>
      <c r="BA919" s="1225">
        <v>6389.30</v>
      </c>
      <c r="BB919" s="1225">
        <v>6886.50</v>
      </c>
      <c r="BC919" s="1225">
        <v>6887.60</v>
      </c>
      <c r="BD919" s="1042">
        <f t="shared" si="1859"/>
        <v>6888.60</v>
      </c>
      <c r="BE919" s="1364">
        <v>6888.60</v>
      </c>
      <c r="BF919" s="1225">
        <v>6889.70</v>
      </c>
      <c r="BG919" s="1225">
        <v>6890.70</v>
      </c>
      <c r="BH919" s="1226">
        <v>6891.80</v>
      </c>
      <c r="BI919" s="1044">
        <f>BH919+BI848+BI846+BI849</f>
        <v>6891.80</v>
      </c>
      <c r="BJ919" s="1350">
        <f t="shared" si="1860"/>
        <v>6891.80</v>
      </c>
      <c r="BK919" s="1044">
        <f>BJ919+BK848+BK846+BK849</f>
        <v>6891.80</v>
      </c>
      <c r="BL919" s="1044">
        <f>BK919+BL848+BL846+BL849</f>
        <v>6891.80</v>
      </c>
      <c r="BM919" s="1044">
        <f>BL919+BM848+BM846+BM849</f>
        <v>6891.80</v>
      </c>
      <c r="BN919" s="1044">
        <f>BM919+BN848+BN846+BN849</f>
        <v>6891.80</v>
      </c>
      <c r="BO919" s="1350">
        <f t="shared" si="1862"/>
        <v>6891.80</v>
      </c>
      <c r="BP919" s="1351">
        <f>BO919+BP848+BP846+BP849</f>
        <v>6891.80</v>
      </c>
      <c r="BQ919" s="1351">
        <f>BP919+BQ848+BQ846+BQ849</f>
        <v>6891.80</v>
      </c>
      <c r="BR919" s="1350">
        <f>BQ919+BR848+BR846+BR849</f>
        <v>6891.80</v>
      </c>
      <c r="BS919" s="647"/>
    </row>
    <row r="920" spans="1:71" s="665" customFormat="1" ht="15">
      <c r="A920" s="1000" t="s">
        <v>210</v>
      </c>
      <c r="B920" s="261"/>
      <c r="C920" s="1324"/>
      <c r="D920" s="1324"/>
      <c r="E920" s="1324"/>
      <c r="F920" s="1324"/>
      <c r="G920" s="1324"/>
      <c r="H920" s="1029"/>
      <c r="I920" s="1029"/>
      <c r="J920" s="1029"/>
      <c r="K920" s="1027">
        <f t="shared" si="1850"/>
        <v>0</v>
      </c>
      <c r="L920" s="1365">
        <v>0</v>
      </c>
      <c r="M920" s="1029"/>
      <c r="N920" s="1228">
        <v>433.40</v>
      </c>
      <c r="O920" s="1228">
        <v>442.90</v>
      </c>
      <c r="P920" s="1027">
        <f t="shared" si="1851"/>
        <v>464.90</v>
      </c>
      <c r="Q920" s="1365">
        <v>464.90</v>
      </c>
      <c r="R920" s="1228">
        <v>467.40</v>
      </c>
      <c r="S920" s="1228">
        <v>466.80</v>
      </c>
      <c r="T920" s="1228">
        <v>472.50</v>
      </c>
      <c r="U920" s="1027">
        <f t="shared" si="1852"/>
        <v>483.70</v>
      </c>
      <c r="V920" s="1365">
        <v>483.70</v>
      </c>
      <c r="W920" s="1228">
        <v>494.20</v>
      </c>
      <c r="X920" s="1228">
        <v>501.80</v>
      </c>
      <c r="Y920" s="1228">
        <v>498.20</v>
      </c>
      <c r="Z920" s="1027">
        <f t="shared" si="1853"/>
        <v>503.70</v>
      </c>
      <c r="AA920" s="1365">
        <v>503.70</v>
      </c>
      <c r="AB920" s="1228">
        <v>514.20000000000005</v>
      </c>
      <c r="AC920" s="1228">
        <v>218.20</v>
      </c>
      <c r="AD920" s="1228">
        <v>217.40</v>
      </c>
      <c r="AE920" s="1027">
        <f t="shared" si="1854"/>
        <v>214.50</v>
      </c>
      <c r="AF920" s="1365">
        <v>214.50</v>
      </c>
      <c r="AG920" s="1228">
        <v>221.20</v>
      </c>
      <c r="AH920" s="1228">
        <v>220.10</v>
      </c>
      <c r="AI920" s="1228">
        <v>222.90</v>
      </c>
      <c r="AJ920" s="1027">
        <f t="shared" si="1855"/>
        <v>225.60</v>
      </c>
      <c r="AK920" s="1365">
        <v>225.60</v>
      </c>
      <c r="AL920" s="1228">
        <v>225.60</v>
      </c>
      <c r="AM920" s="1228">
        <v>0</v>
      </c>
      <c r="AN920" s="1029"/>
      <c r="AO920" s="1027">
        <f t="shared" si="1856"/>
        <v>0</v>
      </c>
      <c r="AP920" s="1324"/>
      <c r="AQ920" s="1029"/>
      <c r="AR920" s="1029"/>
      <c r="AS920" s="1029"/>
      <c r="AT920" s="1027">
        <f t="shared" si="1857"/>
        <v>0</v>
      </c>
      <c r="AU920" s="1324"/>
      <c r="AV920" s="1029"/>
      <c r="AW920" s="1029"/>
      <c r="AX920" s="1029"/>
      <c r="AY920" s="1027">
        <f t="shared" si="1858"/>
        <v>0</v>
      </c>
      <c r="AZ920" s="1324"/>
      <c r="BA920" s="1029"/>
      <c r="BB920" s="1029"/>
      <c r="BC920" s="1029"/>
      <c r="BD920" s="1042">
        <f t="shared" si="1859"/>
        <v>0</v>
      </c>
      <c r="BE920" s="1324"/>
      <c r="BF920" s="1029"/>
      <c r="BG920" s="1029"/>
      <c r="BH920" s="1050"/>
      <c r="BI920" s="1029">
        <f>BH920</f>
        <v>0</v>
      </c>
      <c r="BJ920" s="1324">
        <f t="shared" si="1860"/>
        <v>0</v>
      </c>
      <c r="BK920" s="1029">
        <f>BJ920</f>
        <v>0</v>
      </c>
      <c r="BL920" s="1029">
        <f>BK920</f>
        <v>0</v>
      </c>
      <c r="BM920" s="1029">
        <f>BL920</f>
        <v>0</v>
      </c>
      <c r="BN920" s="1029">
        <f>BM920</f>
        <v>0</v>
      </c>
      <c r="BO920" s="1324">
        <f t="shared" si="1862"/>
        <v>0</v>
      </c>
      <c r="BP920" s="1324">
        <f>BO920</f>
        <v>0</v>
      </c>
      <c r="BQ920" s="1324">
        <f>BP920</f>
        <v>0</v>
      </c>
      <c r="BR920" s="1324">
        <f>BQ920</f>
        <v>0</v>
      </c>
      <c r="BS920" s="647"/>
    </row>
    <row r="921" spans="1:71" s="668" customFormat="1" ht="15">
      <c r="A921" s="42" t="s">
        <v>211</v>
      </c>
      <c r="B921" s="410"/>
      <c r="C921" s="1355">
        <f t="shared" si="1867" ref="C921:AM921">SUM(C913:C920)</f>
        <v>14300.700000000001</v>
      </c>
      <c r="D921" s="1355">
        <f t="shared" si="1867"/>
        <v>15101.40</v>
      </c>
      <c r="E921" s="1355">
        <f t="shared" si="1867"/>
        <v>16038.10</v>
      </c>
      <c r="F921" s="1355">
        <f t="shared" si="1867"/>
        <v>16687.699999999997</v>
      </c>
      <c r="G921" s="1355">
        <f t="shared" si="1867"/>
        <v>18218.700000000001</v>
      </c>
      <c r="H921" s="1052">
        <f t="shared" si="1867"/>
        <v>17876.800000000003</v>
      </c>
      <c r="I921" s="1052">
        <f t="shared" si="1867"/>
        <v>18663.50</v>
      </c>
      <c r="J921" s="1052">
        <f t="shared" si="1867"/>
        <v>18990.699999999997</v>
      </c>
      <c r="K921" s="1052">
        <f t="shared" si="1867"/>
        <v>18859</v>
      </c>
      <c r="L921" s="1355">
        <f t="shared" si="1867"/>
        <v>18859</v>
      </c>
      <c r="M921" s="1052">
        <f t="shared" si="1867"/>
        <v>19678.80</v>
      </c>
      <c r="N921" s="1052">
        <f t="shared" si="1867"/>
        <v>21944.40</v>
      </c>
      <c r="O921" s="1052">
        <f t="shared" si="1867"/>
        <v>22473</v>
      </c>
      <c r="P921" s="1052">
        <f t="shared" si="1867"/>
        <v>22529.900000000001</v>
      </c>
      <c r="Q921" s="1355">
        <f t="shared" si="1867"/>
        <v>22529.900000000001</v>
      </c>
      <c r="R921" s="1052">
        <f t="shared" si="1867"/>
        <v>23161.700000000004</v>
      </c>
      <c r="S921" s="1052">
        <f t="shared" si="1867"/>
        <v>24122.700000000001</v>
      </c>
      <c r="T921" s="1052">
        <f t="shared" si="1867"/>
        <v>25526.100000000002</v>
      </c>
      <c r="U921" s="1052">
        <f t="shared" si="1867"/>
        <v>25470.40</v>
      </c>
      <c r="V921" s="1355">
        <f t="shared" si="1867"/>
        <v>25470.40</v>
      </c>
      <c r="W921" s="1052">
        <f t="shared" si="1867"/>
        <v>26287.600000000006</v>
      </c>
      <c r="X921" s="1052">
        <f t="shared" si="1867"/>
        <v>27698.299999999999</v>
      </c>
      <c r="Y921" s="1052">
        <f t="shared" si="1867"/>
        <v>29643.20</v>
      </c>
      <c r="Z921" s="1052">
        <f t="shared" si="1867"/>
        <v>29416.40</v>
      </c>
      <c r="AA921" s="1355">
        <f t="shared" si="1867"/>
        <v>29416.40</v>
      </c>
      <c r="AB921" s="1052">
        <f t="shared" si="1867"/>
        <v>31007.700000000001</v>
      </c>
      <c r="AC921" s="1052">
        <f t="shared" si="1867"/>
        <v>32362.699999999997</v>
      </c>
      <c r="AD921" s="1052">
        <f t="shared" si="1867"/>
        <v>33684.900000000001</v>
      </c>
      <c r="AE921" s="1052">
        <f t="shared" si="1867"/>
        <v>35753.199999999997</v>
      </c>
      <c r="AF921" s="1355">
        <f t="shared" si="1867"/>
        <v>35753.199999999997</v>
      </c>
      <c r="AG921" s="1052">
        <f t="shared" si="1867"/>
        <v>36739.60</v>
      </c>
      <c r="AH921" s="1052">
        <f t="shared" si="1867"/>
        <v>37993.400000000001</v>
      </c>
      <c r="AI921" s="1052">
        <f t="shared" si="1867"/>
        <v>39884.800000000003</v>
      </c>
      <c r="AJ921" s="1052">
        <f t="shared" si="1867"/>
        <v>41222.099999999999</v>
      </c>
      <c r="AK921" s="1355">
        <f t="shared" si="1867"/>
        <v>41222.099999999999</v>
      </c>
      <c r="AL921" s="1052">
        <f t="shared" si="1867"/>
        <v>41913.699999999997</v>
      </c>
      <c r="AM921" s="1052">
        <f t="shared" si="1867"/>
        <v>42735.499999999993</v>
      </c>
      <c r="AN921" s="1052">
        <f t="shared" si="1868" ref="AN921:AU921">SUM(AN913:AN920)</f>
        <v>44803.600000000006</v>
      </c>
      <c r="AO921" s="1052">
        <f t="shared" si="1868"/>
        <v>47059.700000000004</v>
      </c>
      <c r="AP921" s="1355">
        <f t="shared" si="1868"/>
        <v>47059.700000000004</v>
      </c>
      <c r="AQ921" s="1052">
        <f t="shared" si="1868"/>
        <v>47576.80</v>
      </c>
      <c r="AR921" s="1052">
        <f t="shared" si="1868"/>
        <v>51148.700000000004</v>
      </c>
      <c r="AS921" s="1052">
        <f t="shared" si="1868"/>
        <v>54059.999999999993</v>
      </c>
      <c r="AT921" s="1052">
        <f t="shared" si="1868"/>
        <v>52900.699999999997</v>
      </c>
      <c r="AU921" s="1355">
        <f t="shared" si="1868"/>
        <v>52900.699999999997</v>
      </c>
      <c r="AV921" s="1052">
        <f t="shared" si="1869" ref="AV921:BJ921">SUM(AV913:AV920)</f>
        <v>56878.40</v>
      </c>
      <c r="AW921" s="1052">
        <f t="shared" si="1869"/>
        <v>57404.50</v>
      </c>
      <c r="AX921" s="1052">
        <f t="shared" si="1869"/>
        <v>60748</v>
      </c>
      <c r="AY921" s="1052">
        <f t="shared" si="1869"/>
        <v>59574</v>
      </c>
      <c r="AZ921" s="1355">
        <f t="shared" si="1869"/>
        <v>59574</v>
      </c>
      <c r="BA921" s="1052">
        <f t="shared" si="1870" ref="BA921:BI921">SUM(BA913:BA920)</f>
        <v>63538.699999999997</v>
      </c>
      <c r="BB921" s="1052">
        <f t="shared" si="1870"/>
        <v>66233.899999999994</v>
      </c>
      <c r="BC921" s="1052">
        <f t="shared" si="1870"/>
        <v>68257.300000000003</v>
      </c>
      <c r="BD921" s="1052">
        <f t="shared" si="1870"/>
        <v>68413.699999999997</v>
      </c>
      <c r="BE921" s="1355">
        <f t="shared" si="1870"/>
        <v>68413.699999999997</v>
      </c>
      <c r="BF921" s="1052">
        <f>SUM(BF913:BF920)</f>
        <v>72316.600000000006</v>
      </c>
      <c r="BG921" s="1052">
        <f>SUM(BG913:BG920)</f>
        <v>74552.599999999991</v>
      </c>
      <c r="BH921" s="1053">
        <f>SUM(BH913:BH920)</f>
        <v>78043.20</v>
      </c>
      <c r="BI921" s="1054">
        <f t="shared" si="1870"/>
        <v>79417.311999153317</v>
      </c>
      <c r="BJ921" s="1356">
        <f t="shared" si="1869"/>
        <v>79417.311999153317</v>
      </c>
      <c r="BK921" s="1054">
        <f t="shared" si="1871" ref="BK921:BR921">SUM(BK913:BK920)</f>
        <v>81110.722578383269</v>
      </c>
      <c r="BL921" s="1054">
        <f t="shared" si="1871"/>
        <v>83245.034751652347</v>
      </c>
      <c r="BM921" s="1054">
        <f t="shared" si="1871"/>
        <v>85402.507869363908</v>
      </c>
      <c r="BN921" s="1054">
        <f t="shared" si="1871"/>
        <v>86914.102975050424</v>
      </c>
      <c r="BO921" s="1356">
        <f t="shared" si="1871"/>
        <v>86914.102975050424</v>
      </c>
      <c r="BP921" s="1356">
        <f t="shared" si="1871"/>
        <v>94965.130109764345</v>
      </c>
      <c r="BQ921" s="1356">
        <f t="shared" si="1871"/>
        <v>103341.41874072071</v>
      </c>
      <c r="BR921" s="1356">
        <f t="shared" si="1871"/>
        <v>112056.1094323677</v>
      </c>
      <c r="BS921" s="648"/>
    </row>
    <row r="922" spans="1:71" s="668" customFormat="1" ht="15">
      <c r="A922" s="904"/>
      <c r="B922" s="367"/>
      <c r="C922" s="1322"/>
      <c r="D922" s="1322"/>
      <c r="E922" s="1322"/>
      <c r="F922" s="1322"/>
      <c r="G922" s="1322"/>
      <c r="H922" s="1031"/>
      <c r="I922" s="1031"/>
      <c r="J922" s="1031"/>
      <c r="K922" s="1031"/>
      <c r="L922" s="1322"/>
      <c r="M922" s="1031"/>
      <c r="N922" s="1031"/>
      <c r="O922" s="1031"/>
      <c r="P922" s="1031"/>
      <c r="Q922" s="1322"/>
      <c r="R922" s="1031"/>
      <c r="S922" s="1031"/>
      <c r="T922" s="1031"/>
      <c r="U922" s="1031"/>
      <c r="V922" s="1322"/>
      <c r="W922" s="1031"/>
      <c r="X922" s="1031"/>
      <c r="Y922" s="1031"/>
      <c r="Z922" s="1031"/>
      <c r="AA922" s="1322"/>
      <c r="AB922" s="1031"/>
      <c r="AC922" s="1031"/>
      <c r="AD922" s="1031"/>
      <c r="AE922" s="1031"/>
      <c r="AF922" s="1322"/>
      <c r="AG922" s="1031"/>
      <c r="AH922" s="1031"/>
      <c r="AI922" s="1031"/>
      <c r="AJ922" s="1031"/>
      <c r="AK922" s="1322"/>
      <c r="AL922" s="1031"/>
      <c r="AM922" s="1031"/>
      <c r="AN922" s="1031"/>
      <c r="AO922" s="1031"/>
      <c r="AP922" s="1322"/>
      <c r="AQ922" s="1031"/>
      <c r="AR922" s="1031"/>
      <c r="AS922" s="1031"/>
      <c r="AT922" s="1031"/>
      <c r="AU922" s="1322"/>
      <c r="AV922" s="1031"/>
      <c r="AW922" s="1031"/>
      <c r="AX922" s="1031"/>
      <c r="AY922" s="1031"/>
      <c r="AZ922" s="1322"/>
      <c r="BA922" s="1031"/>
      <c r="BB922" s="1031"/>
      <c r="BC922" s="1031"/>
      <c r="BD922" s="1031"/>
      <c r="BE922" s="1322"/>
      <c r="BF922" s="1031"/>
      <c r="BG922" s="1031"/>
      <c r="BH922" s="1049"/>
      <c r="BI922" s="1023"/>
      <c r="BJ922" s="1321"/>
      <c r="BK922" s="1023"/>
      <c r="BL922" s="1023"/>
      <c r="BM922" s="1023"/>
      <c r="BN922" s="1023"/>
      <c r="BO922" s="1321"/>
      <c r="BP922" s="1322"/>
      <c r="BQ922" s="1322"/>
      <c r="BR922" s="1321"/>
      <c r="BS922" s="648"/>
    </row>
    <row r="923" spans="1:71" s="668" customFormat="1" ht="15">
      <c r="A923" s="45" t="s">
        <v>212</v>
      </c>
      <c r="B923" s="367"/>
      <c r="C923" s="1322"/>
      <c r="D923" s="1322"/>
      <c r="E923" s="1322"/>
      <c r="F923" s="1322"/>
      <c r="G923" s="1322"/>
      <c r="H923" s="1031"/>
      <c r="I923" s="1031"/>
      <c r="J923" s="1031"/>
      <c r="K923" s="1031"/>
      <c r="L923" s="1322"/>
      <c r="M923" s="1031"/>
      <c r="N923" s="1031"/>
      <c r="O923" s="1031"/>
      <c r="P923" s="1031"/>
      <c r="Q923" s="1322"/>
      <c r="R923" s="1031"/>
      <c r="S923" s="1031"/>
      <c r="T923" s="1031"/>
      <c r="U923" s="1031"/>
      <c r="V923" s="1322"/>
      <c r="W923" s="1031"/>
      <c r="X923" s="1031"/>
      <c r="Y923" s="1031"/>
      <c r="Z923" s="1031"/>
      <c r="AA923" s="1322"/>
      <c r="AB923" s="1031"/>
      <c r="AC923" s="1031"/>
      <c r="AD923" s="1031"/>
      <c r="AE923" s="1031"/>
      <c r="AF923" s="1322"/>
      <c r="AG923" s="1031"/>
      <c r="AH923" s="1031"/>
      <c r="AI923" s="1031"/>
      <c r="AJ923" s="1031"/>
      <c r="AK923" s="1322"/>
      <c r="AL923" s="1031"/>
      <c r="AM923" s="1031"/>
      <c r="AN923" s="1031"/>
      <c r="AO923" s="1031"/>
      <c r="AP923" s="1322"/>
      <c r="AQ923" s="1031"/>
      <c r="AR923" s="1031"/>
      <c r="AS923" s="1031"/>
      <c r="AT923" s="1031"/>
      <c r="AU923" s="1322"/>
      <c r="AV923" s="1031"/>
      <c r="AW923" s="1031"/>
      <c r="AX923" s="1031"/>
      <c r="AY923" s="1031"/>
      <c r="AZ923" s="1322"/>
      <c r="BA923" s="1031"/>
      <c r="BB923" s="1031"/>
      <c r="BC923" s="1031"/>
      <c r="BD923" s="1031"/>
      <c r="BE923" s="1322"/>
      <c r="BF923" s="1031"/>
      <c r="BG923" s="1031"/>
      <c r="BH923" s="1049"/>
      <c r="BI923" s="1023"/>
      <c r="BJ923" s="1321"/>
      <c r="BK923" s="1023"/>
      <c r="BL923" s="1023"/>
      <c r="BM923" s="1023"/>
      <c r="BN923" s="1023"/>
      <c r="BO923" s="1321"/>
      <c r="BP923" s="1322"/>
      <c r="BQ923" s="1322"/>
      <c r="BR923" s="1321"/>
      <c r="BS923" s="648"/>
    </row>
    <row r="924" spans="1:71" s="665" customFormat="1" ht="15">
      <c r="A924" s="999" t="s">
        <v>123</v>
      </c>
      <c r="B924" s="321"/>
      <c r="C924" s="1351"/>
      <c r="D924" s="1351"/>
      <c r="E924" s="1351"/>
      <c r="F924" s="1351"/>
      <c r="G924" s="1351"/>
      <c r="H924" s="1047"/>
      <c r="I924" s="1047"/>
      <c r="J924" s="1047"/>
      <c r="K924" s="1047">
        <f>L924</f>
        <v>0</v>
      </c>
      <c r="L924" s="1351"/>
      <c r="M924" s="1047"/>
      <c r="N924" s="1047"/>
      <c r="O924" s="1047"/>
      <c r="P924" s="1047">
        <f>Q924</f>
        <v>0</v>
      </c>
      <c r="Q924" s="1351"/>
      <c r="R924" s="1047"/>
      <c r="S924" s="1047"/>
      <c r="T924" s="1047"/>
      <c r="U924" s="1047">
        <f>V924</f>
        <v>0</v>
      </c>
      <c r="V924" s="1351"/>
      <c r="W924" s="1047"/>
      <c r="X924" s="1047"/>
      <c r="Y924" s="1047"/>
      <c r="Z924" s="1047">
        <f>AA924</f>
        <v>0</v>
      </c>
      <c r="AA924" s="1351"/>
      <c r="AB924" s="1225">
        <v>493.90</v>
      </c>
      <c r="AC924" s="1225">
        <v>493.90</v>
      </c>
      <c r="AD924" s="1225">
        <v>493.90</v>
      </c>
      <c r="AE924" s="1047">
        <f>AF924</f>
        <v>493.90</v>
      </c>
      <c r="AF924" s="1364">
        <v>493.90</v>
      </c>
      <c r="AG924" s="1225">
        <v>493.90</v>
      </c>
      <c r="AH924" s="1225">
        <v>493.90</v>
      </c>
      <c r="AI924" s="1225">
        <v>493.90</v>
      </c>
      <c r="AJ924" s="1047">
        <f>AK924</f>
        <v>493.90</v>
      </c>
      <c r="AK924" s="1364">
        <v>493.90</v>
      </c>
      <c r="AL924" s="1225">
        <v>493.90</v>
      </c>
      <c r="AM924" s="1225">
        <v>493.90</v>
      </c>
      <c r="AN924" s="1225">
        <v>493.90</v>
      </c>
      <c r="AO924" s="1047">
        <f>AP924</f>
        <v>493.90</v>
      </c>
      <c r="AP924" s="1364">
        <v>493.90</v>
      </c>
      <c r="AQ924" s="1225">
        <v>493.90</v>
      </c>
      <c r="AR924" s="1225">
        <v>493.90</v>
      </c>
      <c r="AS924" s="1225">
        <v>493.90</v>
      </c>
      <c r="AT924" s="1047">
        <f>AU924</f>
        <v>493.90</v>
      </c>
      <c r="AU924" s="1364">
        <v>493.90</v>
      </c>
      <c r="AV924" s="1225">
        <v>493.90</v>
      </c>
      <c r="AW924" s="1225">
        <v>493.90</v>
      </c>
      <c r="AX924" s="1225">
        <v>493.90</v>
      </c>
      <c r="AY924" s="1047">
        <f>AZ924</f>
        <v>493.90</v>
      </c>
      <c r="AZ924" s="1364">
        <v>493.90</v>
      </c>
      <c r="BA924" s="1225">
        <v>493.90</v>
      </c>
      <c r="BB924" s="1225">
        <v>493.90</v>
      </c>
      <c r="BC924" s="1225">
        <v>493.90</v>
      </c>
      <c r="BD924" s="1042">
        <f>BE924</f>
        <v>493.90</v>
      </c>
      <c r="BE924" s="1364">
        <v>493.90</v>
      </c>
      <c r="BF924" s="1225">
        <v>0</v>
      </c>
      <c r="BG924" s="1047"/>
      <c r="BH924" s="1048"/>
      <c r="BI924" s="1044">
        <f t="shared" si="1872" ref="BI924:BR924">BH924</f>
        <v>0</v>
      </c>
      <c r="BJ924" s="1350">
        <f t="shared" si="1872"/>
        <v>0</v>
      </c>
      <c r="BK924" s="1044">
        <f t="shared" si="1872"/>
        <v>0</v>
      </c>
      <c r="BL924" s="1044">
        <f t="shared" si="1872"/>
        <v>0</v>
      </c>
      <c r="BM924" s="1044">
        <f t="shared" si="1872"/>
        <v>0</v>
      </c>
      <c r="BN924" s="1044">
        <f t="shared" si="1872"/>
        <v>0</v>
      </c>
      <c r="BO924" s="1350">
        <f t="shared" si="1872"/>
        <v>0</v>
      </c>
      <c r="BP924" s="1351">
        <f t="shared" si="1872"/>
        <v>0</v>
      </c>
      <c r="BQ924" s="1351">
        <f t="shared" si="1872"/>
        <v>0</v>
      </c>
      <c r="BR924" s="1350">
        <f t="shared" si="1872"/>
        <v>0</v>
      </c>
      <c r="BS924" s="647"/>
    </row>
    <row r="925" spans="1:71" s="665" customFormat="1" ht="15">
      <c r="A925" s="999" t="s">
        <v>213</v>
      </c>
      <c r="B925" s="321"/>
      <c r="C925" s="1364">
        <v>672.60</v>
      </c>
      <c r="D925" s="1364">
        <v>662.40</v>
      </c>
      <c r="E925" s="1364">
        <v>613</v>
      </c>
      <c r="F925" s="1364">
        <v>604.60</v>
      </c>
      <c r="G925" s="1364">
        <v>595.79999999999995</v>
      </c>
      <c r="H925" s="1225">
        <v>593.10</v>
      </c>
      <c r="I925" s="1225">
        <v>591.50</v>
      </c>
      <c r="J925" s="1225">
        <v>589.20000000000005</v>
      </c>
      <c r="K925" s="1047">
        <f>L925</f>
        <v>587.79999999999995</v>
      </c>
      <c r="L925" s="1364">
        <v>587.79999999999995</v>
      </c>
      <c r="M925" s="1225">
        <v>587.29999999999995</v>
      </c>
      <c r="N925" s="1225">
        <v>585.90</v>
      </c>
      <c r="O925" s="1225">
        <v>584.60</v>
      </c>
      <c r="P925" s="1047">
        <f>Q925</f>
        <v>583.60</v>
      </c>
      <c r="Q925" s="1364">
        <v>583.60</v>
      </c>
      <c r="R925" s="1225">
        <v>583</v>
      </c>
      <c r="S925" s="1225">
        <v>581.90</v>
      </c>
      <c r="T925" s="1225">
        <v>580.79999999999995</v>
      </c>
      <c r="U925" s="1047">
        <f>V925</f>
        <v>579.90</v>
      </c>
      <c r="V925" s="1364">
        <v>579.90</v>
      </c>
      <c r="W925" s="1225">
        <v>580.90</v>
      </c>
      <c r="X925" s="1225">
        <v>581</v>
      </c>
      <c r="Y925" s="1225">
        <v>581.60</v>
      </c>
      <c r="Z925" s="1047">
        <f>AA925</f>
        <v>581.70000000000005</v>
      </c>
      <c r="AA925" s="1364">
        <v>581.70000000000005</v>
      </c>
      <c r="AB925" s="1225">
        <v>582.40</v>
      </c>
      <c r="AC925" s="1225">
        <v>582.50</v>
      </c>
      <c r="AD925" s="1225">
        <v>583.10</v>
      </c>
      <c r="AE925" s="1047">
        <f>AF925</f>
        <v>583.20000000000005</v>
      </c>
      <c r="AF925" s="1364">
        <v>583.20000000000005</v>
      </c>
      <c r="AG925" s="1225">
        <v>584</v>
      </c>
      <c r="AH925" s="1225">
        <v>584.10</v>
      </c>
      <c r="AI925" s="1225">
        <v>584.60</v>
      </c>
      <c r="AJ925" s="1047">
        <f>AK925</f>
        <v>584.60</v>
      </c>
      <c r="AK925" s="1364">
        <v>584.60</v>
      </c>
      <c r="AL925" s="1225">
        <v>585.29999999999995</v>
      </c>
      <c r="AM925" s="1225">
        <v>585.40</v>
      </c>
      <c r="AN925" s="1225">
        <v>585.60</v>
      </c>
      <c r="AO925" s="1047">
        <f>AP925</f>
        <v>585.20000000000005</v>
      </c>
      <c r="AP925" s="1364">
        <v>585.20000000000005</v>
      </c>
      <c r="AQ925" s="1225">
        <v>585.20000000000005</v>
      </c>
      <c r="AR925" s="1225">
        <v>585.20000000000005</v>
      </c>
      <c r="AS925" s="1225">
        <v>585</v>
      </c>
      <c r="AT925" s="1047">
        <f>AU925</f>
        <v>584.40</v>
      </c>
      <c r="AU925" s="1364">
        <v>584.40</v>
      </c>
      <c r="AV925" s="1225">
        <v>584.90</v>
      </c>
      <c r="AW925" s="1225">
        <v>584.90</v>
      </c>
      <c r="AX925" s="1225">
        <v>585.10</v>
      </c>
      <c r="AY925" s="1047">
        <f>AZ925</f>
        <v>584.90</v>
      </c>
      <c r="AZ925" s="1364">
        <v>584.90</v>
      </c>
      <c r="BA925" s="1225">
        <v>585.40</v>
      </c>
      <c r="BB925" s="1225">
        <v>585.29999999999995</v>
      </c>
      <c r="BC925" s="1225">
        <v>585</v>
      </c>
      <c r="BD925" s="1047">
        <f>BE925</f>
        <v>585.29999999999995</v>
      </c>
      <c r="BE925" s="1364">
        <v>585.29999999999995</v>
      </c>
      <c r="BF925" s="1225">
        <v>585.70000000000005</v>
      </c>
      <c r="BG925" s="1225">
        <v>585.70000000000005</v>
      </c>
      <c r="BH925" s="1226">
        <v>585.79999999999995</v>
      </c>
      <c r="BI925" s="1044">
        <f t="shared" si="1873" ref="BI925:BR925">BH925</f>
        <v>585.79999999999995</v>
      </c>
      <c r="BJ925" s="1350">
        <f t="shared" si="1873"/>
        <v>585.79999999999995</v>
      </c>
      <c r="BK925" s="1044">
        <f t="shared" si="1873"/>
        <v>585.79999999999995</v>
      </c>
      <c r="BL925" s="1044">
        <f t="shared" si="1873"/>
        <v>585.79999999999995</v>
      </c>
      <c r="BM925" s="1044">
        <f t="shared" si="1873"/>
        <v>585.79999999999995</v>
      </c>
      <c r="BN925" s="1044">
        <f t="shared" si="1873"/>
        <v>585.79999999999995</v>
      </c>
      <c r="BO925" s="1350">
        <f t="shared" si="1873"/>
        <v>585.79999999999995</v>
      </c>
      <c r="BP925" s="1351">
        <f t="shared" si="1873"/>
        <v>585.79999999999995</v>
      </c>
      <c r="BQ925" s="1351">
        <f t="shared" si="1873"/>
        <v>585.79999999999995</v>
      </c>
      <c r="BR925" s="1350">
        <f t="shared" si="1873"/>
        <v>585.79999999999995</v>
      </c>
      <c r="BS925" s="647"/>
    </row>
    <row r="926" spans="1:71" s="665" customFormat="1" ht="15">
      <c r="A926" s="999" t="s">
        <v>214</v>
      </c>
      <c r="B926" s="321"/>
      <c r="C926" s="1364">
        <v>939.70</v>
      </c>
      <c r="D926" s="1364">
        <v>1007.10</v>
      </c>
      <c r="E926" s="1364">
        <v>1006.20</v>
      </c>
      <c r="F926" s="1364">
        <v>1077</v>
      </c>
      <c r="G926" s="1364">
        <v>1142</v>
      </c>
      <c r="H926" s="1225">
        <v>1159</v>
      </c>
      <c r="I926" s="1225">
        <v>1169.30</v>
      </c>
      <c r="J926" s="1225">
        <v>1169.9000000000001</v>
      </c>
      <c r="K926" s="1047">
        <f>L926</f>
        <v>1184.30</v>
      </c>
      <c r="L926" s="1364">
        <v>1184.30</v>
      </c>
      <c r="M926" s="1225">
        <v>1196.70</v>
      </c>
      <c r="N926" s="1225">
        <v>1177</v>
      </c>
      <c r="O926" s="1225">
        <v>1197.30</v>
      </c>
      <c r="P926" s="1047">
        <f>Q926</f>
        <v>1218.80</v>
      </c>
      <c r="Q926" s="1364">
        <v>1218.80</v>
      </c>
      <c r="R926" s="1225">
        <v>1231.30</v>
      </c>
      <c r="S926" s="1225">
        <v>1264.5999999999999</v>
      </c>
      <c r="T926" s="1225">
        <v>1284.70</v>
      </c>
      <c r="U926" s="1047">
        <f>V926</f>
        <v>1303.4000000000001</v>
      </c>
      <c r="V926" s="1364">
        <v>1303.4000000000001</v>
      </c>
      <c r="W926" s="1225">
        <v>1331.10</v>
      </c>
      <c r="X926" s="1225">
        <v>1351</v>
      </c>
      <c r="Y926" s="1225">
        <v>1365.10</v>
      </c>
      <c r="Z926" s="1047">
        <f>AA926</f>
        <v>1389.20</v>
      </c>
      <c r="AA926" s="1364">
        <v>1389.20</v>
      </c>
      <c r="AB926" s="1225">
        <v>1401.60</v>
      </c>
      <c r="AC926" s="1225">
        <v>1425.90</v>
      </c>
      <c r="AD926" s="1225">
        <v>1443.40</v>
      </c>
      <c r="AE926" s="1047">
        <f>AF926</f>
        <v>1479</v>
      </c>
      <c r="AF926" s="1364">
        <v>1479</v>
      </c>
      <c r="AG926" s="1225">
        <v>1496.60</v>
      </c>
      <c r="AH926" s="1225">
        <v>1523.30</v>
      </c>
      <c r="AI926" s="1225">
        <v>1539.10</v>
      </c>
      <c r="AJ926" s="1047">
        <f>AK926</f>
        <v>1573.40</v>
      </c>
      <c r="AK926" s="1364">
        <v>1573.40</v>
      </c>
      <c r="AL926" s="1225">
        <v>1601.90</v>
      </c>
      <c r="AM926" s="1225">
        <v>1614.50</v>
      </c>
      <c r="AN926" s="1225">
        <v>1629.40</v>
      </c>
      <c r="AO926" s="1047">
        <f>AP926</f>
        <v>1672.90</v>
      </c>
      <c r="AP926" s="1364">
        <v>1672.90</v>
      </c>
      <c r="AQ926" s="1225">
        <v>1685.50</v>
      </c>
      <c r="AR926" s="1225">
        <v>1712.30</v>
      </c>
      <c r="AS926" s="1225">
        <v>1735.90</v>
      </c>
      <c r="AT926" s="1047">
        <f>AU926</f>
        <v>1772.90</v>
      </c>
      <c r="AU926" s="1364">
        <v>1772.90</v>
      </c>
      <c r="AV926" s="1225">
        <v>1788.60</v>
      </c>
      <c r="AW926" s="1225">
        <v>1815.20</v>
      </c>
      <c r="AX926" s="1225">
        <v>1839.60</v>
      </c>
      <c r="AY926" s="1047">
        <f>AZ926</f>
        <v>1893</v>
      </c>
      <c r="AZ926" s="1364">
        <v>1893</v>
      </c>
      <c r="BA926" s="1225">
        <v>1907.70</v>
      </c>
      <c r="BB926" s="1225">
        <v>1935.70</v>
      </c>
      <c r="BC926" s="1225">
        <v>1977.90</v>
      </c>
      <c r="BD926" s="1047">
        <f>BE926</f>
        <v>2013.10</v>
      </c>
      <c r="BE926" s="1364">
        <v>2013.10</v>
      </c>
      <c r="BF926" s="1225">
        <v>2028.70</v>
      </c>
      <c r="BG926" s="1225">
        <v>2060.50</v>
      </c>
      <c r="BH926" s="1226">
        <v>2096.1999999999998</v>
      </c>
      <c r="BI926" s="1044">
        <f>BH926+BI853</f>
        <v>2096.1999999999998</v>
      </c>
      <c r="BJ926" s="1350">
        <f>BI926</f>
        <v>2096.1999999999998</v>
      </c>
      <c r="BK926" s="1044">
        <f>BJ926+BK853</f>
        <v>2096.1999999999998</v>
      </c>
      <c r="BL926" s="1044">
        <f>BK926+BL853</f>
        <v>2096.1999999999998</v>
      </c>
      <c r="BM926" s="1044">
        <f>BL926+BM853</f>
        <v>2096.1999999999998</v>
      </c>
      <c r="BN926" s="1044">
        <f>BM926+BN853</f>
        <v>2096.1999999999998</v>
      </c>
      <c r="BO926" s="1350">
        <f>BN926</f>
        <v>2096.1999999999998</v>
      </c>
      <c r="BP926" s="1351">
        <f>BO926+BP853</f>
        <v>2096.1999999999998</v>
      </c>
      <c r="BQ926" s="1351">
        <f>BP926+BQ853</f>
        <v>2096.1999999999998</v>
      </c>
      <c r="BR926" s="1350">
        <f>BQ926+BR853</f>
        <v>2096.1999999999998</v>
      </c>
      <c r="BS926" s="647"/>
    </row>
    <row r="927" spans="1:71" s="665" customFormat="1" ht="15">
      <c r="A927" s="999" t="s">
        <v>215</v>
      </c>
      <c r="B927" s="321"/>
      <c r="C927" s="1364">
        <v>3683.10</v>
      </c>
      <c r="D927" s="1364">
        <v>3595.70</v>
      </c>
      <c r="E927" s="1364">
        <v>3495</v>
      </c>
      <c r="F927" s="1364">
        <v>3454.40</v>
      </c>
      <c r="G927" s="1364">
        <v>3500</v>
      </c>
      <c r="H927" s="1225">
        <v>3735.20</v>
      </c>
      <c r="I927" s="1225">
        <v>3989.50</v>
      </c>
      <c r="J927" s="1225">
        <v>4203.50</v>
      </c>
      <c r="K927" s="1047">
        <f>L927</f>
        <v>4133.3999999999996</v>
      </c>
      <c r="L927" s="1364">
        <v>4133.3999999999996</v>
      </c>
      <c r="M927" s="1225">
        <v>4368.6000000000004</v>
      </c>
      <c r="N927" s="1225">
        <v>4694.8999999999996</v>
      </c>
      <c r="O927" s="1225">
        <v>4910.8999999999996</v>
      </c>
      <c r="P927" s="1047">
        <f>Q927</f>
        <v>4686.6000000000004</v>
      </c>
      <c r="Q927" s="1364">
        <v>4686.6000000000004</v>
      </c>
      <c r="R927" s="1225">
        <v>4877.6000000000004</v>
      </c>
      <c r="S927" s="1225">
        <v>5031.20</v>
      </c>
      <c r="T927" s="1225">
        <v>5183.1000000000004</v>
      </c>
      <c r="U927" s="1047">
        <f>V927</f>
        <v>5140.3999999999996</v>
      </c>
      <c r="V927" s="1364">
        <v>5140.3999999999996</v>
      </c>
      <c r="W927" s="1225">
        <v>5543.40</v>
      </c>
      <c r="X927" s="1225">
        <v>5908.80</v>
      </c>
      <c r="Y927" s="1225">
        <v>6116.50</v>
      </c>
      <c r="Z927" s="1047">
        <f>AA927</f>
        <v>6031.70</v>
      </c>
      <c r="AA927" s="1364">
        <v>6031.70</v>
      </c>
      <c r="AB927" s="1225">
        <v>8017.90</v>
      </c>
      <c r="AC927" s="1225">
        <v>8720.40</v>
      </c>
      <c r="AD927" s="1225">
        <v>9602.10</v>
      </c>
      <c r="AE927" s="1047">
        <f>AF927</f>
        <v>8386.60</v>
      </c>
      <c r="AF927" s="1364">
        <v>8386.60</v>
      </c>
      <c r="AG927" s="1225">
        <v>9358.10</v>
      </c>
      <c r="AH927" s="1225">
        <v>10276.40</v>
      </c>
      <c r="AI927" s="1225">
        <v>10995.20</v>
      </c>
      <c r="AJ927" s="1047">
        <f>AK927</f>
        <v>10679.60</v>
      </c>
      <c r="AK927" s="1364">
        <v>10679.60</v>
      </c>
      <c r="AL927" s="1225">
        <v>11266.20</v>
      </c>
      <c r="AM927" s="1225">
        <v>13001.80</v>
      </c>
      <c r="AN927" s="1225">
        <v>14427.700000000001</v>
      </c>
      <c r="AO927" s="1047">
        <f>AP927</f>
        <v>13354.90</v>
      </c>
      <c r="AP927" s="1364">
        <v>13354.90</v>
      </c>
      <c r="AQ927" s="1225">
        <v>14679.60</v>
      </c>
      <c r="AR927" s="1225">
        <v>15401</v>
      </c>
      <c r="AS927" s="1225">
        <v>15390</v>
      </c>
      <c r="AT927" s="1047">
        <f>AU927</f>
        <v>15339.700000000001</v>
      </c>
      <c r="AU927" s="1364">
        <v>15339.700000000001</v>
      </c>
      <c r="AV927" s="1225">
        <v>15569.60</v>
      </c>
      <c r="AW927" s="1225">
        <v>14967.700000000001</v>
      </c>
      <c r="AX927" s="1225">
        <v>14987.50</v>
      </c>
      <c r="AY927" s="1047">
        <f>AZ927</f>
        <v>15721.20</v>
      </c>
      <c r="AZ927" s="1364">
        <v>15721.20</v>
      </c>
      <c r="BA927" s="1225">
        <v>16080.10</v>
      </c>
      <c r="BB927" s="1225">
        <v>16350.40</v>
      </c>
      <c r="BC927" s="1225">
        <v>17380.900000000001</v>
      </c>
      <c r="BD927" s="1047">
        <f>BE927</f>
        <v>18800.50</v>
      </c>
      <c r="BE927" s="1364">
        <v>18800.50</v>
      </c>
      <c r="BF927" s="1225">
        <v>21020.50</v>
      </c>
      <c r="BG927" s="1225">
        <v>22410</v>
      </c>
      <c r="BH927" s="1226">
        <v>24631.700000000001</v>
      </c>
      <c r="BI927" s="1044">
        <f ca="1">BH927+BI851+BI802</f>
        <v>26224.361149051841</v>
      </c>
      <c r="BJ927" s="1350">
        <f ca="1">BI927</f>
        <v>26224.361149051841</v>
      </c>
      <c r="BK927" s="1044">
        <f ca="1">BJ927+BK851+BK802</f>
        <v>28206.220448595795</v>
      </c>
      <c r="BL927" s="1044">
        <f ca="1">BK927+BL851+BL802</f>
        <v>29583.386398722381</v>
      </c>
      <c r="BM927" s="1044">
        <f ca="1">BL927+BM851+BM802</f>
        <v>30781.090369570316</v>
      </c>
      <c r="BN927" s="1044">
        <f ca="1">BM927+BN851+BN802</f>
        <v>32927.447177216804</v>
      </c>
      <c r="BO927" s="1350">
        <f ca="1">BN927</f>
        <v>32927.447177216804</v>
      </c>
      <c r="BP927" s="1351">
        <f ca="1">BO927+BP851+BP802</f>
        <v>40148.927593048051</v>
      </c>
      <c r="BQ927" s="1351">
        <f ca="1">BP927+BQ851+BQ802</f>
        <v>47789.429993525526</v>
      </c>
      <c r="BR927" s="1350">
        <f ca="1">BQ927+BR851+BR802</f>
        <v>55870.619009539638</v>
      </c>
      <c r="BS927" s="647"/>
    </row>
    <row r="928" spans="1:71" s="665" customFormat="1" ht="15">
      <c r="A928" s="1001" t="s">
        <v>216</v>
      </c>
      <c r="B928" s="261"/>
      <c r="C928" s="1365">
        <v>453.20</v>
      </c>
      <c r="D928" s="1365">
        <v>783.70</v>
      </c>
      <c r="E928" s="1365">
        <v>692.50</v>
      </c>
      <c r="F928" s="1365">
        <v>871</v>
      </c>
      <c r="G928" s="1365">
        <v>951.70</v>
      </c>
      <c r="H928" s="1228">
        <v>951.30</v>
      </c>
      <c r="I928" s="1228">
        <v>1038.9000000000001</v>
      </c>
      <c r="J928" s="1228">
        <v>972.70</v>
      </c>
      <c r="K928" s="1029">
        <f>L928</f>
        <v>1023.10</v>
      </c>
      <c r="L928" s="1365">
        <v>1023.10</v>
      </c>
      <c r="M928" s="1228">
        <v>1049.30</v>
      </c>
      <c r="N928" s="1228">
        <v>902</v>
      </c>
      <c r="O928" s="1228">
        <v>769.20</v>
      </c>
      <c r="P928" s="1029">
        <f>Q928</f>
        <v>800.40</v>
      </c>
      <c r="Q928" s="1365">
        <v>800.40</v>
      </c>
      <c r="R928" s="1228">
        <v>868</v>
      </c>
      <c r="S928" s="1228">
        <v>957.80</v>
      </c>
      <c r="T928" s="1228">
        <v>1046.0999999999999</v>
      </c>
      <c r="U928" s="1029">
        <f>V928</f>
        <v>933.40</v>
      </c>
      <c r="V928" s="1365">
        <v>933.40</v>
      </c>
      <c r="W928" s="1228">
        <v>1067.50</v>
      </c>
      <c r="X928" s="1228">
        <v>1150.70</v>
      </c>
      <c r="Y928" s="1228">
        <v>1226.20</v>
      </c>
      <c r="Z928" s="1029">
        <f>AA928</f>
        <v>1282.20</v>
      </c>
      <c r="AA928" s="1365">
        <v>1282.20</v>
      </c>
      <c r="AB928" s="1228">
        <v>-172.60</v>
      </c>
      <c r="AC928" s="1228">
        <v>-221.90</v>
      </c>
      <c r="AD928" s="1228">
        <v>-263.70</v>
      </c>
      <c r="AE928" s="1029">
        <f>AF928</f>
        <v>-120.90000000000001</v>
      </c>
      <c r="AF928" s="1365">
        <v>-120.90000000000001</v>
      </c>
      <c r="AG928" s="1228">
        <v>178.10</v>
      </c>
      <c r="AH928" s="1228">
        <v>453.10</v>
      </c>
      <c r="AI928" s="1228">
        <v>510.50</v>
      </c>
      <c r="AJ928" s="1029">
        <f>AK928</f>
        <v>341.70</v>
      </c>
      <c r="AK928" s="1365">
        <v>341.70</v>
      </c>
      <c r="AL928" s="1228">
        <v>404.20</v>
      </c>
      <c r="AM928" s="1228">
        <v>975</v>
      </c>
      <c r="AN928" s="1228">
        <v>950.60</v>
      </c>
      <c r="AO928" s="1029">
        <f>AP928</f>
        <v>931.70</v>
      </c>
      <c r="AP928" s="1365">
        <v>931.70</v>
      </c>
      <c r="AQ928" s="1228">
        <v>392.30</v>
      </c>
      <c r="AR928" s="1228">
        <v>483.20</v>
      </c>
      <c r="AS928" s="1228">
        <v>353.30</v>
      </c>
      <c r="AT928" s="1029">
        <f>AU928</f>
        <v>40.700000000000003</v>
      </c>
      <c r="AU928" s="1365">
        <v>40.700000000000003</v>
      </c>
      <c r="AV928" s="1228">
        <v>-1385.80</v>
      </c>
      <c r="AW928" s="1228">
        <v>-2209</v>
      </c>
      <c r="AX928" s="1228">
        <v>-3129.90</v>
      </c>
      <c r="AY928" s="1029">
        <f>AZ928</f>
        <v>-2802</v>
      </c>
      <c r="AZ928" s="1365">
        <v>-2802</v>
      </c>
      <c r="BA928" s="1228">
        <v>-2198.6999999999998</v>
      </c>
      <c r="BB928" s="1228">
        <v>-2654</v>
      </c>
      <c r="BC928" s="1228">
        <v>-3042.40</v>
      </c>
      <c r="BD928" s="1029">
        <f>BE928</f>
        <v>-1615.70</v>
      </c>
      <c r="BE928" s="1365">
        <v>-1615.70</v>
      </c>
      <c r="BF928" s="1228">
        <v>-1823.60</v>
      </c>
      <c r="BG928" s="1228">
        <v>-1715.80</v>
      </c>
      <c r="BH928" s="1229">
        <v>-154.40000000000001</v>
      </c>
      <c r="BI928" s="1029">
        <f>BH928</f>
        <v>-154.40000000000001</v>
      </c>
      <c r="BJ928" s="1324">
        <f>BI928</f>
        <v>-154.40000000000001</v>
      </c>
      <c r="BK928" s="1029">
        <f>BJ928</f>
        <v>-154.40000000000001</v>
      </c>
      <c r="BL928" s="1029">
        <f>BK928</f>
        <v>-154.40000000000001</v>
      </c>
      <c r="BM928" s="1029">
        <f>BL928</f>
        <v>-154.40000000000001</v>
      </c>
      <c r="BN928" s="1029">
        <f>BM928</f>
        <v>-154.40000000000001</v>
      </c>
      <c r="BO928" s="1324">
        <f>BN928</f>
        <v>-154.40000000000001</v>
      </c>
      <c r="BP928" s="1324">
        <f>BO928</f>
        <v>-154.40000000000001</v>
      </c>
      <c r="BQ928" s="1324">
        <f>BP928</f>
        <v>-154.40000000000001</v>
      </c>
      <c r="BR928" s="1324">
        <f>BQ928</f>
        <v>-154.40000000000001</v>
      </c>
      <c r="BS928" s="647"/>
    </row>
    <row r="929" spans="1:71" s="668" customFormat="1" ht="15">
      <c r="A929" s="475" t="s">
        <v>217</v>
      </c>
      <c r="B929" s="410"/>
      <c r="C929" s="1356">
        <f t="shared" si="1874" ref="C929:AT929">SUM(C924:C928)</f>
        <v>5748.60</v>
      </c>
      <c r="D929" s="1356">
        <f t="shared" si="1874"/>
        <v>6048.90</v>
      </c>
      <c r="E929" s="1356">
        <f t="shared" si="1874"/>
        <v>5806.70</v>
      </c>
      <c r="F929" s="1356">
        <f t="shared" si="1874"/>
        <v>6007</v>
      </c>
      <c r="G929" s="1356">
        <f t="shared" si="1874"/>
        <v>6189.50</v>
      </c>
      <c r="H929" s="1054">
        <f t="shared" si="1874"/>
        <v>6438.60</v>
      </c>
      <c r="I929" s="1054">
        <f t="shared" si="1874"/>
        <v>6789.2000000000007</v>
      </c>
      <c r="J929" s="1054">
        <f t="shared" si="1874"/>
        <v>6935.30</v>
      </c>
      <c r="K929" s="1054">
        <f t="shared" si="1874"/>
        <v>6928.60</v>
      </c>
      <c r="L929" s="1356">
        <f t="shared" si="1874"/>
        <v>6928.60</v>
      </c>
      <c r="M929" s="1054">
        <f t="shared" si="1874"/>
        <v>7201.90</v>
      </c>
      <c r="N929" s="1054">
        <f t="shared" si="1874"/>
        <v>7359.7999999999993</v>
      </c>
      <c r="O929" s="1054">
        <f t="shared" si="1874"/>
        <v>7461.9999999999991</v>
      </c>
      <c r="P929" s="1054">
        <f t="shared" si="1874"/>
        <v>7289.40</v>
      </c>
      <c r="Q929" s="1356">
        <f t="shared" si="1874"/>
        <v>7289.40</v>
      </c>
      <c r="R929" s="1054">
        <f t="shared" si="1874"/>
        <v>7559.90</v>
      </c>
      <c r="S929" s="1054">
        <f t="shared" si="1874"/>
        <v>7835.50</v>
      </c>
      <c r="T929" s="1054">
        <f t="shared" si="1874"/>
        <v>8094.7000000000007</v>
      </c>
      <c r="U929" s="1054">
        <f t="shared" si="1874"/>
        <v>7957.10</v>
      </c>
      <c r="V929" s="1356">
        <f t="shared" si="1874"/>
        <v>7957.10</v>
      </c>
      <c r="W929" s="1054">
        <f t="shared" si="1874"/>
        <v>8522.90</v>
      </c>
      <c r="X929" s="1054">
        <f t="shared" si="1874"/>
        <v>8991.50</v>
      </c>
      <c r="Y929" s="1054">
        <f t="shared" si="1874"/>
        <v>9289.40</v>
      </c>
      <c r="Z929" s="1054">
        <f t="shared" si="1874"/>
        <v>9284.8000000000011</v>
      </c>
      <c r="AA929" s="1356">
        <f t="shared" si="1874"/>
        <v>9284.8000000000011</v>
      </c>
      <c r="AB929" s="1054">
        <f t="shared" si="1874"/>
        <v>10323.199999999999</v>
      </c>
      <c r="AC929" s="1054">
        <f t="shared" si="1874"/>
        <v>11000.80</v>
      </c>
      <c r="AD929" s="1054">
        <f t="shared" si="1874"/>
        <v>11858.80</v>
      </c>
      <c r="AE929" s="1054">
        <f t="shared" si="1874"/>
        <v>10821.80</v>
      </c>
      <c r="AF929" s="1356">
        <f t="shared" si="1874"/>
        <v>10821.80</v>
      </c>
      <c r="AG929" s="1054">
        <f t="shared" si="1874"/>
        <v>12110.700000000001</v>
      </c>
      <c r="AH929" s="1054">
        <f t="shared" si="1874"/>
        <v>13330.80</v>
      </c>
      <c r="AI929" s="1054">
        <f t="shared" si="1874"/>
        <v>14123.300000000001</v>
      </c>
      <c r="AJ929" s="1054">
        <f t="shared" si="1874"/>
        <v>13673.20</v>
      </c>
      <c r="AK929" s="1356">
        <f t="shared" si="1874"/>
        <v>13673.20</v>
      </c>
      <c r="AL929" s="1054">
        <f t="shared" si="1874"/>
        <v>14351.500000000002</v>
      </c>
      <c r="AM929" s="1054">
        <f t="shared" si="1874"/>
        <v>16670.60</v>
      </c>
      <c r="AN929" s="1054">
        <f t="shared" si="1874"/>
        <v>18087.20</v>
      </c>
      <c r="AO929" s="1054">
        <f t="shared" si="1874"/>
        <v>17038.60</v>
      </c>
      <c r="AP929" s="1356">
        <f t="shared" si="1874"/>
        <v>17038.60</v>
      </c>
      <c r="AQ929" s="1054">
        <f t="shared" si="1874"/>
        <v>17836.50</v>
      </c>
      <c r="AR929" s="1054">
        <f t="shared" si="1874"/>
        <v>18675.600000000002</v>
      </c>
      <c r="AS929" s="1054">
        <f t="shared" si="1874"/>
        <v>18558.099999999999</v>
      </c>
      <c r="AT929" s="1054">
        <f t="shared" si="1874"/>
        <v>18231.600000000002</v>
      </c>
      <c r="AU929" s="1500">
        <v>18231.60</v>
      </c>
      <c r="AV929" s="1054">
        <f>SUM(AV924:AV928)</f>
        <v>17051.20</v>
      </c>
      <c r="AW929" s="1296">
        <v>15652.700000000001</v>
      </c>
      <c r="AX929" s="1054">
        <f t="shared" si="1875" ref="AX929:BH929">SUM(AX924:AX928)</f>
        <v>14776.20</v>
      </c>
      <c r="AY929" s="1054">
        <f t="shared" si="1875"/>
        <v>15891</v>
      </c>
      <c r="AZ929" s="1356">
        <f t="shared" si="1875"/>
        <v>15891</v>
      </c>
      <c r="BA929" s="1054">
        <f t="shared" si="1875"/>
        <v>16868.399999999998</v>
      </c>
      <c r="BB929" s="1054">
        <f t="shared" si="1875"/>
        <v>16711.299999999999</v>
      </c>
      <c r="BC929" s="1054">
        <f t="shared" si="1875"/>
        <v>17395.299999999999</v>
      </c>
      <c r="BD929" s="1054">
        <f t="shared" si="1875"/>
        <v>20277.099999999999</v>
      </c>
      <c r="BE929" s="1322">
        <f t="shared" si="1875"/>
        <v>20277.099999999999</v>
      </c>
      <c r="BF929" s="1054">
        <f t="shared" si="1875"/>
        <v>21811.300000000003</v>
      </c>
      <c r="BG929" s="1054">
        <f t="shared" si="1875"/>
        <v>23340.40</v>
      </c>
      <c r="BH929" s="1100">
        <f t="shared" si="1875"/>
        <v>27159.299999999999</v>
      </c>
      <c r="BI929" s="1054">
        <f ca="1">SUM(BI924:BI928)</f>
        <v>28751.96114905184</v>
      </c>
      <c r="BJ929" s="1356">
        <f ca="1" t="shared" si="1876" ref="BJ929">SUM(BJ924:BJ928)</f>
        <v>28751.96114905184</v>
      </c>
      <c r="BK929" s="1054">
        <f ca="1" t="shared" si="1877" ref="BK929:BR929">SUM(BK924:BK928)</f>
        <v>30733.820448595794</v>
      </c>
      <c r="BL929" s="1054">
        <f t="shared" ca="1" si="1877"/>
        <v>32110.98639872238</v>
      </c>
      <c r="BM929" s="1054">
        <f t="shared" ca="1" si="1877"/>
        <v>33308.690369570315</v>
      </c>
      <c r="BN929" s="1054">
        <f t="shared" ca="1" si="1877"/>
        <v>35455.047177216802</v>
      </c>
      <c r="BO929" s="1356">
        <f t="shared" ca="1" si="1877"/>
        <v>35455.047177216802</v>
      </c>
      <c r="BP929" s="1356">
        <f t="shared" ca="1" si="1877"/>
        <v>42676.527593048049</v>
      </c>
      <c r="BQ929" s="1356">
        <f t="shared" ca="1" si="1877"/>
        <v>50317.029993525524</v>
      </c>
      <c r="BR929" s="1356">
        <f t="shared" ca="1" si="1877"/>
        <v>58398.219009539636</v>
      </c>
      <c r="BS929" s="648"/>
    </row>
    <row r="930" spans="1:71" s="665" customFormat="1" ht="15">
      <c r="A930" s="371" t="s">
        <v>218</v>
      </c>
      <c r="B930" s="321"/>
      <c r="C930" s="1351"/>
      <c r="D930" s="1351"/>
      <c r="E930" s="1351"/>
      <c r="F930" s="1351"/>
      <c r="G930" s="1351"/>
      <c r="H930" s="1047"/>
      <c r="I930" s="1047"/>
      <c r="J930" s="1047"/>
      <c r="K930" s="1042">
        <f>L930</f>
        <v>0</v>
      </c>
      <c r="L930" s="1351"/>
      <c r="M930" s="1047"/>
      <c r="N930" s="1047"/>
      <c r="O930" s="1047"/>
      <c r="P930" s="1042">
        <f>Q930</f>
        <v>0</v>
      </c>
      <c r="Q930" s="1351"/>
      <c r="R930" s="1047"/>
      <c r="S930" s="1047"/>
      <c r="T930" s="1047"/>
      <c r="U930" s="1042">
        <f>V930</f>
        <v>0</v>
      </c>
      <c r="V930" s="1351"/>
      <c r="W930" s="1047"/>
      <c r="X930" s="1047"/>
      <c r="Y930" s="1047"/>
      <c r="Z930" s="1042">
        <f>AA930</f>
        <v>0</v>
      </c>
      <c r="AA930" s="1351"/>
      <c r="AB930" s="1047"/>
      <c r="AC930" s="1047"/>
      <c r="AD930" s="1047"/>
      <c r="AE930" s="1042">
        <f>AF930</f>
        <v>0</v>
      </c>
      <c r="AF930" s="1351"/>
      <c r="AG930" s="1047"/>
      <c r="AH930" s="1047"/>
      <c r="AI930" s="1047"/>
      <c r="AJ930" s="1042">
        <f>AK930</f>
        <v>0</v>
      </c>
      <c r="AK930" s="1351"/>
      <c r="AL930" s="1047"/>
      <c r="AM930" s="1047"/>
      <c r="AN930" s="1047"/>
      <c r="AO930" s="1042">
        <f>AP930</f>
        <v>0</v>
      </c>
      <c r="AP930" s="1351"/>
      <c r="AQ930" s="1047"/>
      <c r="AR930" s="1047"/>
      <c r="AS930" s="1047"/>
      <c r="AT930" s="1042">
        <f>AU930</f>
        <v>0</v>
      </c>
      <c r="AU930" s="1351"/>
      <c r="AV930" s="1047"/>
      <c r="AW930" s="1047"/>
      <c r="AX930" s="1047"/>
      <c r="AY930" s="1042">
        <f>AZ930</f>
        <v>0</v>
      </c>
      <c r="AZ930" s="1351"/>
      <c r="BA930" s="1047"/>
      <c r="BB930" s="1047"/>
      <c r="BC930" s="1047"/>
      <c r="BD930" s="1042">
        <f>BE930</f>
        <v>0</v>
      </c>
      <c r="BE930" s="1351"/>
      <c r="BF930" s="1047"/>
      <c r="BG930" s="1047"/>
      <c r="BH930" s="1048"/>
      <c r="BI930" s="1044">
        <f>BH930+BI629</f>
        <v>0</v>
      </c>
      <c r="BJ930" s="1350">
        <f>BI930</f>
        <v>0</v>
      </c>
      <c r="BK930" s="1044">
        <f>BJ930+BK629</f>
        <v>0</v>
      </c>
      <c r="BL930" s="1044">
        <f>BK930+BL629</f>
        <v>0</v>
      </c>
      <c r="BM930" s="1044">
        <f>BL930+BM629</f>
        <v>0</v>
      </c>
      <c r="BN930" s="1044">
        <f>BM930+BN629</f>
        <v>0</v>
      </c>
      <c r="BO930" s="1350">
        <f>BN930</f>
        <v>0</v>
      </c>
      <c r="BP930" s="1351">
        <f>BO930+BP629</f>
        <v>0</v>
      </c>
      <c r="BQ930" s="1351">
        <f>BP930+BQ629</f>
        <v>0</v>
      </c>
      <c r="BR930" s="1350">
        <f>BQ930+BR629</f>
        <v>0</v>
      </c>
      <c r="BS930" s="647"/>
    </row>
    <row r="931" spans="1:71" s="668" customFormat="1" ht="15">
      <c r="A931" s="25" t="s">
        <v>219</v>
      </c>
      <c r="B931" s="367"/>
      <c r="C931" s="1320">
        <f t="shared" si="1878" ref="C931:AM931">C929+C921+C930</f>
        <v>20049.299999999999</v>
      </c>
      <c r="D931" s="1320">
        <f t="shared" si="1878"/>
        <v>21150.299999999999</v>
      </c>
      <c r="E931" s="1320">
        <f t="shared" si="1878"/>
        <v>21844.80</v>
      </c>
      <c r="F931" s="1320">
        <f t="shared" si="1878"/>
        <v>22694.699999999997</v>
      </c>
      <c r="G931" s="1320">
        <f t="shared" si="1878"/>
        <v>24408.200000000001</v>
      </c>
      <c r="H931" s="1021">
        <f t="shared" si="1878"/>
        <v>24315.400000000001</v>
      </c>
      <c r="I931" s="1021">
        <f t="shared" si="1878"/>
        <v>25452.700000000001</v>
      </c>
      <c r="J931" s="1021">
        <f t="shared" si="1878"/>
        <v>25925.999999999996</v>
      </c>
      <c r="K931" s="1021">
        <f t="shared" si="1878"/>
        <v>25787.60</v>
      </c>
      <c r="L931" s="1320">
        <f t="shared" si="1878"/>
        <v>25787.60</v>
      </c>
      <c r="M931" s="1021">
        <f t="shared" si="1878"/>
        <v>26880.700000000001</v>
      </c>
      <c r="N931" s="1021">
        <f t="shared" si="1878"/>
        <v>29304.200000000001</v>
      </c>
      <c r="O931" s="1021">
        <f t="shared" si="1878"/>
        <v>29935</v>
      </c>
      <c r="P931" s="1021">
        <f t="shared" si="1878"/>
        <v>29819.300000000003</v>
      </c>
      <c r="Q931" s="1320">
        <f t="shared" si="1878"/>
        <v>29819.300000000003</v>
      </c>
      <c r="R931" s="1021">
        <f t="shared" si="1878"/>
        <v>30721.600000000006</v>
      </c>
      <c r="S931" s="1021">
        <f t="shared" si="1878"/>
        <v>31958.200000000001</v>
      </c>
      <c r="T931" s="1021">
        <f t="shared" si="1878"/>
        <v>33620.800000000003</v>
      </c>
      <c r="U931" s="1021">
        <f t="shared" si="1878"/>
        <v>33427.50</v>
      </c>
      <c r="V931" s="1320">
        <f t="shared" si="1878"/>
        <v>33427.50</v>
      </c>
      <c r="W931" s="1021">
        <f t="shared" si="1878"/>
        <v>34810.500000000007</v>
      </c>
      <c r="X931" s="1021">
        <f t="shared" si="1878"/>
        <v>36689.800000000003</v>
      </c>
      <c r="Y931" s="1021">
        <f t="shared" si="1878"/>
        <v>38932.599999999999</v>
      </c>
      <c r="Z931" s="1021">
        <f t="shared" si="1878"/>
        <v>38701.200000000004</v>
      </c>
      <c r="AA931" s="1320">
        <f t="shared" si="1878"/>
        <v>38701.200000000004</v>
      </c>
      <c r="AB931" s="1021">
        <f t="shared" si="1878"/>
        <v>41330.900000000001</v>
      </c>
      <c r="AC931" s="1021">
        <f t="shared" si="1878"/>
        <v>43363.50</v>
      </c>
      <c r="AD931" s="1021">
        <f t="shared" si="1878"/>
        <v>45543.699999999997</v>
      </c>
      <c r="AE931" s="1021">
        <f t="shared" si="1878"/>
        <v>46575</v>
      </c>
      <c r="AF931" s="1320">
        <f t="shared" si="1878"/>
        <v>46575</v>
      </c>
      <c r="AG931" s="1021">
        <f t="shared" si="1878"/>
        <v>48850.300000000003</v>
      </c>
      <c r="AH931" s="1021">
        <f t="shared" si="1878"/>
        <v>51324.200000000004</v>
      </c>
      <c r="AI931" s="1021">
        <f t="shared" si="1878"/>
        <v>54008.100000000006</v>
      </c>
      <c r="AJ931" s="1021">
        <f t="shared" si="1878"/>
        <v>54895.300000000003</v>
      </c>
      <c r="AK931" s="1320">
        <f t="shared" si="1878"/>
        <v>54895.300000000003</v>
      </c>
      <c r="AL931" s="1021">
        <f t="shared" si="1878"/>
        <v>56265.199999999997</v>
      </c>
      <c r="AM931" s="1021">
        <f t="shared" si="1878"/>
        <v>59406.099999999991</v>
      </c>
      <c r="AN931" s="1021">
        <f t="shared" si="1879" ref="AN931:AU931">AN929+AN921+AN930</f>
        <v>62890.800000000003</v>
      </c>
      <c r="AO931" s="1021">
        <f t="shared" si="1879"/>
        <v>64098.300000000003</v>
      </c>
      <c r="AP931" s="1320">
        <f t="shared" si="1879"/>
        <v>64098.300000000003</v>
      </c>
      <c r="AQ931" s="1021">
        <f t="shared" si="1879"/>
        <v>65413.300000000003</v>
      </c>
      <c r="AR931" s="1021">
        <f t="shared" si="1879"/>
        <v>69824.300000000003</v>
      </c>
      <c r="AS931" s="1021">
        <f t="shared" si="1879"/>
        <v>72618.099999999991</v>
      </c>
      <c r="AT931" s="1021">
        <f t="shared" si="1879"/>
        <v>71132.300000000003</v>
      </c>
      <c r="AU931" s="1320">
        <f t="shared" si="1879"/>
        <v>71132.299999999988</v>
      </c>
      <c r="AV931" s="1021">
        <f t="shared" si="1880" ref="AV931:BJ931">AV929+AV921+AV930</f>
        <v>73929.600000000006</v>
      </c>
      <c r="AW931" s="1021">
        <f t="shared" si="1880"/>
        <v>73057.199999999997</v>
      </c>
      <c r="AX931" s="1021">
        <f t="shared" si="1880"/>
        <v>75524.199999999997</v>
      </c>
      <c r="AY931" s="1021">
        <f t="shared" si="1880"/>
        <v>75465</v>
      </c>
      <c r="AZ931" s="1320">
        <f t="shared" si="1880"/>
        <v>75465</v>
      </c>
      <c r="BA931" s="1021">
        <f t="shared" si="1881" ref="BA931:BI931">BA929+BA921+BA930</f>
        <v>80407.099999999991</v>
      </c>
      <c r="BB931" s="1021">
        <f t="shared" si="1881"/>
        <v>82945.199999999997</v>
      </c>
      <c r="BC931" s="1021">
        <f t="shared" si="1881"/>
        <v>85652.600000000006</v>
      </c>
      <c r="BD931" s="1021">
        <f t="shared" si="1881"/>
        <v>88690.799999999988</v>
      </c>
      <c r="BE931" s="1320">
        <f t="shared" si="1881"/>
        <v>88690.799999999988</v>
      </c>
      <c r="BF931" s="1021">
        <f>BF929+BF921+BF930</f>
        <v>94127.900000000009</v>
      </c>
      <c r="BG931" s="1021">
        <f>BG929+BG921+BG930</f>
        <v>97893</v>
      </c>
      <c r="BH931" s="1022">
        <f>BH929+BH921+BH930</f>
        <v>105202.50</v>
      </c>
      <c r="BI931" s="1023">
        <f t="shared" ca="1" si="1881"/>
        <v>108169.27314820516</v>
      </c>
      <c r="BJ931" s="1321">
        <f t="shared" ca="1" si="1880"/>
        <v>108169.27314820516</v>
      </c>
      <c r="BK931" s="1023">
        <f ca="1" t="shared" si="1882" ref="BK931:BR931">BK929+BK921+BK930</f>
        <v>111844.54302697907</v>
      </c>
      <c r="BL931" s="1023">
        <f t="shared" ca="1" si="1882"/>
        <v>115356.02115037473</v>
      </c>
      <c r="BM931" s="1023">
        <f t="shared" ca="1" si="1882"/>
        <v>118711.19823893422</v>
      </c>
      <c r="BN931" s="1023">
        <f t="shared" ca="1" si="1882"/>
        <v>122369.15015226722</v>
      </c>
      <c r="BO931" s="1321">
        <f t="shared" ca="1" si="1882"/>
        <v>122369.15015226722</v>
      </c>
      <c r="BP931" s="1322">
        <f t="shared" ca="1" si="1882"/>
        <v>137641.6577028124</v>
      </c>
      <c r="BQ931" s="1322">
        <f t="shared" ca="1" si="1882"/>
        <v>153658.44873424622</v>
      </c>
      <c r="BR931" s="1321">
        <f t="shared" ca="1" si="1882"/>
        <v>170454.32844190733</v>
      </c>
      <c r="BS931" s="648"/>
    </row>
    <row r="932" spans="1:71" s="665" customFormat="1" ht="15">
      <c r="A932" s="992"/>
      <c r="B932" s="992"/>
      <c r="C932" s="1047"/>
      <c r="D932" s="1047"/>
      <c r="E932" s="1047"/>
      <c r="F932" s="1047"/>
      <c r="G932" s="1047"/>
      <c r="H932" s="1047"/>
      <c r="I932" s="1047"/>
      <c r="J932" s="1047"/>
      <c r="K932" s="1047"/>
      <c r="L932" s="1047"/>
      <c r="M932" s="1047"/>
      <c r="N932" s="1047"/>
      <c r="O932" s="1047"/>
      <c r="P932" s="1047"/>
      <c r="Q932" s="1047"/>
      <c r="R932" s="1047"/>
      <c r="S932" s="1047"/>
      <c r="T932" s="1047"/>
      <c r="U932" s="1047"/>
      <c r="V932" s="1047"/>
      <c r="W932" s="1047"/>
      <c r="X932" s="1047"/>
      <c r="Y932" s="1047"/>
      <c r="Z932" s="1047"/>
      <c r="AA932" s="1047"/>
      <c r="AB932" s="1047"/>
      <c r="AC932" s="1047"/>
      <c r="AD932" s="1047"/>
      <c r="AE932" s="1047"/>
      <c r="AF932" s="1047"/>
      <c r="AG932" s="1047"/>
      <c r="AH932" s="1047"/>
      <c r="AI932" s="1047"/>
      <c r="AJ932" s="1047"/>
      <c r="AK932" s="1047"/>
      <c r="AL932" s="1047"/>
      <c r="AM932" s="1047"/>
      <c r="AN932" s="1047"/>
      <c r="AO932" s="1047"/>
      <c r="AP932" s="1047"/>
      <c r="AQ932" s="1047"/>
      <c r="AR932" s="1047"/>
      <c r="AS932" s="1047"/>
      <c r="AT932" s="1047"/>
      <c r="AU932" s="1047"/>
      <c r="AV932" s="1047"/>
      <c r="AW932" s="1047"/>
      <c r="AX932" s="1047"/>
      <c r="AY932" s="1047"/>
      <c r="AZ932" s="1047"/>
      <c r="BA932" s="1047"/>
      <c r="BB932" s="1047"/>
      <c r="BC932" s="1047"/>
      <c r="BD932" s="1047"/>
      <c r="BE932" s="1047"/>
      <c r="BF932" s="1047"/>
      <c r="BG932" s="1047"/>
      <c r="BH932" s="1048"/>
      <c r="BI932" s="1044"/>
      <c r="BJ932" s="1044"/>
      <c r="BK932" s="1044"/>
      <c r="BL932" s="1044"/>
      <c r="BM932" s="1044"/>
      <c r="BN932" s="1044"/>
      <c r="BO932" s="1044"/>
      <c r="BP932" s="1047"/>
      <c r="BQ932" s="1047"/>
      <c r="BR932" s="1044"/>
      <c r="BS932" s="647"/>
    </row>
    <row r="933" spans="1:71" s="665" customFormat="1" ht="15">
      <c r="A933" s="17" t="s">
        <v>220</v>
      </c>
      <c r="B933" s="17"/>
      <c r="C933" s="1166">
        <f t="shared" si="1883" ref="C933:AM933">ROUND(C910-C931,6)</f>
        <v>0</v>
      </c>
      <c r="D933" s="1166">
        <f t="shared" si="1883"/>
        <v>0</v>
      </c>
      <c r="E933" s="1166">
        <f t="shared" si="1883"/>
        <v>0</v>
      </c>
      <c r="F933" s="1166">
        <f t="shared" si="1883"/>
        <v>0</v>
      </c>
      <c r="G933" s="1166">
        <f t="shared" si="1883"/>
        <v>0</v>
      </c>
      <c r="H933" s="1166">
        <f t="shared" si="1883"/>
        <v>0</v>
      </c>
      <c r="I933" s="1166">
        <f t="shared" si="1883"/>
        <v>0</v>
      </c>
      <c r="J933" s="1166">
        <f t="shared" si="1883"/>
        <v>0</v>
      </c>
      <c r="K933" s="1166">
        <f t="shared" si="1883"/>
        <v>0</v>
      </c>
      <c r="L933" s="1166">
        <f t="shared" si="1883"/>
        <v>0</v>
      </c>
      <c r="M933" s="1166">
        <f t="shared" si="1883"/>
        <v>0</v>
      </c>
      <c r="N933" s="1166">
        <f t="shared" si="1883"/>
        <v>0</v>
      </c>
      <c r="O933" s="1166">
        <f t="shared" si="1883"/>
        <v>0</v>
      </c>
      <c r="P933" s="1166">
        <f t="shared" si="1883"/>
        <v>0</v>
      </c>
      <c r="Q933" s="1166">
        <f t="shared" si="1883"/>
        <v>0</v>
      </c>
      <c r="R933" s="1166">
        <f t="shared" si="1883"/>
        <v>0</v>
      </c>
      <c r="S933" s="1166">
        <f t="shared" si="1883"/>
        <v>0</v>
      </c>
      <c r="T933" s="1166">
        <f t="shared" si="1883"/>
        <v>0</v>
      </c>
      <c r="U933" s="1166">
        <f t="shared" si="1883"/>
        <v>0</v>
      </c>
      <c r="V933" s="1166">
        <f t="shared" si="1883"/>
        <v>0</v>
      </c>
      <c r="W933" s="1166">
        <f t="shared" si="1883"/>
        <v>0</v>
      </c>
      <c r="X933" s="1166">
        <f t="shared" si="1883"/>
        <v>0</v>
      </c>
      <c r="Y933" s="1166">
        <f t="shared" si="1883"/>
        <v>0</v>
      </c>
      <c r="Z933" s="1166">
        <f t="shared" si="1883"/>
        <v>0</v>
      </c>
      <c r="AA933" s="1166">
        <f t="shared" si="1883"/>
        <v>0</v>
      </c>
      <c r="AB933" s="1166">
        <f t="shared" si="1883"/>
        <v>0</v>
      </c>
      <c r="AC933" s="1166">
        <f t="shared" si="1883"/>
        <v>0</v>
      </c>
      <c r="AD933" s="1166">
        <f t="shared" si="1883"/>
        <v>0</v>
      </c>
      <c r="AE933" s="1166">
        <f t="shared" si="1883"/>
        <v>0</v>
      </c>
      <c r="AF933" s="1166">
        <f t="shared" si="1883"/>
        <v>0</v>
      </c>
      <c r="AG933" s="1166">
        <f t="shared" si="1883"/>
        <v>0</v>
      </c>
      <c r="AH933" s="1166">
        <f t="shared" si="1883"/>
        <v>0</v>
      </c>
      <c r="AI933" s="1166">
        <f t="shared" si="1883"/>
        <v>0</v>
      </c>
      <c r="AJ933" s="1166">
        <f t="shared" si="1883"/>
        <v>0</v>
      </c>
      <c r="AK933" s="1166">
        <f t="shared" si="1883"/>
        <v>0</v>
      </c>
      <c r="AL933" s="1166">
        <f t="shared" si="1883"/>
        <v>0</v>
      </c>
      <c r="AM933" s="1166">
        <f t="shared" si="1883"/>
        <v>0</v>
      </c>
      <c r="AN933" s="1166">
        <f t="shared" si="1884" ref="AN933:AU933">ROUND(AN910-AN931,6)</f>
        <v>0</v>
      </c>
      <c r="AO933" s="1166">
        <f t="shared" si="1884"/>
        <v>0</v>
      </c>
      <c r="AP933" s="1166">
        <f t="shared" si="1884"/>
        <v>0</v>
      </c>
      <c r="AQ933" s="1166">
        <f t="shared" si="1884"/>
        <v>0</v>
      </c>
      <c r="AR933" s="1166">
        <f t="shared" si="1884"/>
        <v>0</v>
      </c>
      <c r="AS933" s="1166">
        <f t="shared" si="1884"/>
        <v>0</v>
      </c>
      <c r="AT933" s="1166">
        <f t="shared" si="1884"/>
        <v>0</v>
      </c>
      <c r="AU933" s="1166">
        <f t="shared" si="1884"/>
        <v>0</v>
      </c>
      <c r="AV933" s="1166">
        <f t="shared" si="1885" ref="AV933:BJ933">ROUND(AV910-AV931,6)</f>
        <v>0</v>
      </c>
      <c r="AW933" s="1166">
        <f t="shared" si="1885"/>
        <v>0</v>
      </c>
      <c r="AX933" s="1166">
        <f t="shared" si="1885"/>
        <v>0</v>
      </c>
      <c r="AY933" s="1166">
        <f t="shared" si="1885"/>
        <v>0</v>
      </c>
      <c r="AZ933" s="1166">
        <f t="shared" si="1885"/>
        <v>0</v>
      </c>
      <c r="BA933" s="1166">
        <f t="shared" si="1886" ref="BA933:BI933">ROUND(BA910-BA931,6)</f>
        <v>0</v>
      </c>
      <c r="BB933" s="1166">
        <f t="shared" si="1886"/>
        <v>0</v>
      </c>
      <c r="BC933" s="1166">
        <f t="shared" si="1886"/>
        <v>0</v>
      </c>
      <c r="BD933" s="1166">
        <f t="shared" si="1886"/>
        <v>0</v>
      </c>
      <c r="BE933" s="1166">
        <f t="shared" si="1886"/>
        <v>0</v>
      </c>
      <c r="BF933" s="1166">
        <f>ROUND(BF910-BF931,6)</f>
        <v>0</v>
      </c>
      <c r="BG933" s="1166">
        <f>ROUND(BG910-BG931,6)</f>
        <v>0</v>
      </c>
      <c r="BH933" s="1167">
        <f>ROUND(BH910-BH931,6)</f>
        <v>0</v>
      </c>
      <c r="BI933" s="1168">
        <f t="shared" ca="1" si="1886"/>
        <v>0</v>
      </c>
      <c r="BJ933" s="1168">
        <f t="shared" ca="1" si="1885"/>
        <v>0</v>
      </c>
      <c r="BK933" s="1168">
        <f ca="1" t="shared" si="1887" ref="BK933:BR933">ROUND(BK910-BK931,6)</f>
        <v>0</v>
      </c>
      <c r="BL933" s="1168">
        <f t="shared" ca="1" si="1887"/>
        <v>0</v>
      </c>
      <c r="BM933" s="1168">
        <f t="shared" ca="1" si="1887"/>
        <v>0</v>
      </c>
      <c r="BN933" s="1168">
        <f t="shared" ca="1" si="1887"/>
        <v>0</v>
      </c>
      <c r="BO933" s="1168">
        <f t="shared" ca="1" si="1887"/>
        <v>0</v>
      </c>
      <c r="BP933" s="1166">
        <f t="shared" ca="1" si="1887"/>
        <v>0</v>
      </c>
      <c r="BQ933" s="1166">
        <f t="shared" ca="1" si="1887"/>
        <v>0</v>
      </c>
      <c r="BR933" s="1168">
        <f t="shared" ca="1" si="1887"/>
        <v>0</v>
      </c>
      <c r="BS933" s="647"/>
    </row>
    <row r="934" spans="1:71" s="665" customFormat="1" ht="15">
      <c r="A934" s="992"/>
      <c r="B934" s="992"/>
      <c r="C934" s="1047"/>
      <c r="D934" s="1047"/>
      <c r="E934" s="1047"/>
      <c r="F934" s="1047"/>
      <c r="G934" s="1047"/>
      <c r="H934" s="1047"/>
      <c r="I934" s="1047"/>
      <c r="J934" s="1047"/>
      <c r="K934" s="1047"/>
      <c r="L934" s="1047"/>
      <c r="M934" s="1047"/>
      <c r="N934" s="1047"/>
      <c r="O934" s="1047"/>
      <c r="P934" s="1047"/>
      <c r="Q934" s="1047"/>
      <c r="R934" s="1047"/>
      <c r="S934" s="1047"/>
      <c r="T934" s="1047"/>
      <c r="U934" s="1047"/>
      <c r="V934" s="1047"/>
      <c r="W934" s="1047"/>
      <c r="X934" s="1047"/>
      <c r="Y934" s="1047"/>
      <c r="Z934" s="1047"/>
      <c r="AA934" s="1047"/>
      <c r="AB934" s="1047"/>
      <c r="AC934" s="1047"/>
      <c r="AD934" s="1047"/>
      <c r="AE934" s="1047"/>
      <c r="AF934" s="1047"/>
      <c r="AG934" s="1047"/>
      <c r="AH934" s="1047"/>
      <c r="AI934" s="1047"/>
      <c r="AJ934" s="1047"/>
      <c r="AK934" s="1047"/>
      <c r="AL934" s="1047"/>
      <c r="AM934" s="1047"/>
      <c r="AN934" s="1047"/>
      <c r="AO934" s="1047"/>
      <c r="AP934" s="1047"/>
      <c r="AQ934" s="1047"/>
      <c r="AR934" s="1047"/>
      <c r="AS934" s="1047"/>
      <c r="AT934" s="1047"/>
      <c r="AU934" s="1047"/>
      <c r="AV934" s="1047"/>
      <c r="AW934" s="1047"/>
      <c r="AX934" s="1047"/>
      <c r="AY934" s="1047"/>
      <c r="AZ934" s="1047"/>
      <c r="BA934" s="1047"/>
      <c r="BB934" s="1047"/>
      <c r="BC934" s="1047"/>
      <c r="BD934" s="1047"/>
      <c r="BE934" s="1047"/>
      <c r="BF934" s="1047"/>
      <c r="BG934" s="1047"/>
      <c r="BH934" s="1048"/>
      <c r="BI934" s="1044"/>
      <c r="BJ934" s="1044"/>
      <c r="BK934" s="1044"/>
      <c r="BL934" s="1044"/>
      <c r="BM934" s="1044"/>
      <c r="BN934" s="1044"/>
      <c r="BO934" s="1044"/>
      <c r="BP934" s="1047"/>
      <c r="BQ934" s="1047"/>
      <c r="BR934" s="1044"/>
      <c r="BS934" s="647"/>
    </row>
    <row r="935" spans="1:71" s="668" customFormat="1" ht="15">
      <c r="A935" s="1008" t="s">
        <v>221</v>
      </c>
      <c r="B935" s="1008"/>
      <c r="C935" s="1163"/>
      <c r="D935" s="1163"/>
      <c r="E935" s="1163"/>
      <c r="F935" s="1163"/>
      <c r="G935" s="1163"/>
      <c r="H935" s="1163"/>
      <c r="I935" s="1163"/>
      <c r="J935" s="1163"/>
      <c r="K935" s="1163"/>
      <c r="L935" s="1163"/>
      <c r="M935" s="1163"/>
      <c r="N935" s="1163"/>
      <c r="O935" s="1163"/>
      <c r="P935" s="1163"/>
      <c r="Q935" s="1163"/>
      <c r="R935" s="1163"/>
      <c r="S935" s="1163"/>
      <c r="T935" s="1163"/>
      <c r="U935" s="1163"/>
      <c r="V935" s="1163"/>
      <c r="W935" s="1163"/>
      <c r="X935" s="1163"/>
      <c r="Y935" s="1163"/>
      <c r="Z935" s="1163"/>
      <c r="AA935" s="1163"/>
      <c r="AB935" s="1163"/>
      <c r="AC935" s="1163"/>
      <c r="AD935" s="1163"/>
      <c r="AE935" s="1163"/>
      <c r="AF935" s="1163"/>
      <c r="AG935" s="1163"/>
      <c r="AH935" s="1163"/>
      <c r="AI935" s="1163"/>
      <c r="AJ935" s="1163"/>
      <c r="AK935" s="1163"/>
      <c r="AL935" s="1163"/>
      <c r="AM935" s="1163"/>
      <c r="AN935" s="1163"/>
      <c r="AO935" s="1163"/>
      <c r="AP935" s="1163"/>
      <c r="AQ935" s="1163"/>
      <c r="AR935" s="1163"/>
      <c r="AS935" s="1163"/>
      <c r="AT935" s="1163"/>
      <c r="AU935" s="1163"/>
      <c r="AV935" s="1163"/>
      <c r="AW935" s="1163"/>
      <c r="AX935" s="1163"/>
      <c r="AY935" s="1163"/>
      <c r="AZ935" s="1163"/>
      <c r="BA935" s="1163"/>
      <c r="BB935" s="1163"/>
      <c r="BC935" s="1163"/>
      <c r="BD935" s="1163"/>
      <c r="BE935" s="1163"/>
      <c r="BF935" s="1163"/>
      <c r="BG935" s="1163"/>
      <c r="BH935" s="1164"/>
      <c r="BI935" s="1165"/>
      <c r="BJ935" s="1165"/>
      <c r="BK935" s="1165"/>
      <c r="BL935" s="1165"/>
      <c r="BM935" s="1165"/>
      <c r="BN935" s="1165"/>
      <c r="BO935" s="1165"/>
      <c r="BP935" s="1163"/>
      <c r="BQ935" s="1163"/>
      <c r="BR935" s="1165"/>
      <c r="BS935" s="648"/>
    </row>
    <row r="936" spans="1:71" s="665" customFormat="1" ht="15">
      <c r="A936" s="647" t="s">
        <v>222</v>
      </c>
      <c r="B936" s="996"/>
      <c r="C936" s="1166">
        <f t="shared" si="1888" ref="C936:AH936">IF(ISBLANK(INDEX(MO_IS_FirstRow,0,COLUMN())),0,ROUND(C802-C626,6))</f>
        <v>0</v>
      </c>
      <c r="D936" s="1166">
        <f t="shared" si="1888"/>
        <v>0</v>
      </c>
      <c r="E936" s="1166">
        <f t="shared" si="1888"/>
        <v>0</v>
      </c>
      <c r="F936" s="1166">
        <f t="shared" si="1888"/>
        <v>0</v>
      </c>
      <c r="G936" s="1166">
        <f t="shared" si="1888"/>
        <v>0</v>
      </c>
      <c r="H936" s="1166">
        <f t="shared" si="1888"/>
        <v>0</v>
      </c>
      <c r="I936" s="1166">
        <f t="shared" si="1888"/>
        <v>0</v>
      </c>
      <c r="J936" s="1166">
        <f t="shared" si="1888"/>
        <v>0</v>
      </c>
      <c r="K936" s="1166">
        <f t="shared" si="1888"/>
        <v>0</v>
      </c>
      <c r="L936" s="1166">
        <f t="shared" si="1888"/>
        <v>0</v>
      </c>
      <c r="M936" s="1166">
        <f t="shared" si="1888"/>
        <v>0</v>
      </c>
      <c r="N936" s="1166">
        <f t="shared" si="1888"/>
        <v>0</v>
      </c>
      <c r="O936" s="1166">
        <f t="shared" si="1888"/>
        <v>0</v>
      </c>
      <c r="P936" s="1166">
        <f t="shared" si="1888"/>
        <v>0</v>
      </c>
      <c r="Q936" s="1166">
        <f t="shared" si="1888"/>
        <v>0</v>
      </c>
      <c r="R936" s="1166">
        <f t="shared" si="1888"/>
        <v>0</v>
      </c>
      <c r="S936" s="1166">
        <f t="shared" si="1888"/>
        <v>0</v>
      </c>
      <c r="T936" s="1166">
        <f t="shared" si="1888"/>
        <v>0</v>
      </c>
      <c r="U936" s="1166">
        <f t="shared" si="1888"/>
        <v>0</v>
      </c>
      <c r="V936" s="1166">
        <f t="shared" si="1888"/>
        <v>0</v>
      </c>
      <c r="W936" s="1166">
        <f t="shared" si="1888"/>
        <v>0</v>
      </c>
      <c r="X936" s="1166">
        <f t="shared" si="1888"/>
        <v>0</v>
      </c>
      <c r="Y936" s="1166">
        <f t="shared" si="1888"/>
        <v>0</v>
      </c>
      <c r="Z936" s="1166">
        <f t="shared" si="1888"/>
        <v>0</v>
      </c>
      <c r="AA936" s="1166">
        <f t="shared" si="1888"/>
        <v>0</v>
      </c>
      <c r="AB936" s="1166">
        <f t="shared" si="1888"/>
        <v>0</v>
      </c>
      <c r="AC936" s="1166">
        <f t="shared" si="1888"/>
        <v>0</v>
      </c>
      <c r="AD936" s="1166">
        <f t="shared" si="1888"/>
        <v>0</v>
      </c>
      <c r="AE936" s="1166">
        <f t="shared" si="1888"/>
        <v>0</v>
      </c>
      <c r="AF936" s="1166">
        <f t="shared" si="1888"/>
        <v>0</v>
      </c>
      <c r="AG936" s="1166">
        <f t="shared" si="1888"/>
        <v>0</v>
      </c>
      <c r="AH936" s="1166">
        <f t="shared" si="1888"/>
        <v>0</v>
      </c>
      <c r="AI936" s="1166">
        <f t="shared" si="1889" ref="AI936:AW936">IF(ISBLANK(INDEX(MO_IS_FirstRow,0,COLUMN())),0,ROUND(AI802-AI626,6))</f>
        <v>0</v>
      </c>
      <c r="AJ936" s="1166">
        <f t="shared" si="1889"/>
        <v>0</v>
      </c>
      <c r="AK936" s="1166">
        <f t="shared" si="1889"/>
        <v>0</v>
      </c>
      <c r="AL936" s="1166">
        <f t="shared" si="1889"/>
        <v>0</v>
      </c>
      <c r="AM936" s="1166">
        <f t="shared" si="1889"/>
        <v>0</v>
      </c>
      <c r="AN936" s="1166">
        <f t="shared" si="1889"/>
        <v>0</v>
      </c>
      <c r="AO936" s="1166">
        <f t="shared" si="1889"/>
        <v>0</v>
      </c>
      <c r="AP936" s="1166">
        <f t="shared" si="1889"/>
        <v>0</v>
      </c>
      <c r="AQ936" s="1166">
        <f t="shared" si="1889"/>
        <v>0</v>
      </c>
      <c r="AR936" s="1166">
        <f t="shared" si="1889"/>
        <v>0</v>
      </c>
      <c r="AS936" s="1166">
        <f t="shared" si="1889"/>
        <v>0</v>
      </c>
      <c r="AT936" s="1166">
        <f t="shared" si="1889"/>
        <v>0</v>
      </c>
      <c r="AU936" s="1166">
        <f t="shared" si="1889"/>
        <v>0</v>
      </c>
      <c r="AV936" s="1166">
        <f t="shared" si="1889"/>
        <v>0</v>
      </c>
      <c r="AW936" s="1166">
        <f t="shared" si="1889"/>
        <v>0</v>
      </c>
      <c r="AX936" s="1166">
        <f t="shared" si="1890" ref="AX936:AY936">IF(ISBLANK(INDEX(MO_IS_FirstRow,0,COLUMN())),0,ROUND(AX802-AX626,6))</f>
        <v>0</v>
      </c>
      <c r="AY936" s="1166">
        <f t="shared" si="1890"/>
        <v>0</v>
      </c>
      <c r="AZ936" s="1166">
        <f t="shared" si="1891" ref="AZ936:BR936">IF(ISBLANK(INDEX(MO_IS_FirstRow,0,COLUMN())),0,ROUND(AZ802-AZ626,6))</f>
        <v>0</v>
      </c>
      <c r="BA936" s="1166">
        <f t="shared" si="1891"/>
        <v>0</v>
      </c>
      <c r="BB936" s="1166">
        <f t="shared" si="1891"/>
        <v>0</v>
      </c>
      <c r="BC936" s="1166">
        <f t="shared" si="1891"/>
        <v>0</v>
      </c>
      <c r="BD936" s="1166">
        <f t="shared" si="1891"/>
        <v>0</v>
      </c>
      <c r="BE936" s="1166">
        <f t="shared" si="1891"/>
        <v>0</v>
      </c>
      <c r="BF936" s="1166">
        <f>IF(ISBLANK(INDEX(MO_IS_FirstRow,0,COLUMN())),0,ROUND(BF802-BF626,6))</f>
        <v>0</v>
      </c>
      <c r="BG936" s="1166">
        <f>IF(ISBLANK(INDEX(MO_IS_FirstRow,0,COLUMN())),0,ROUND(BG802-BG626,6))</f>
        <v>0</v>
      </c>
      <c r="BH936" s="1167">
        <f>IF(ISBLANK(INDEX(MO_IS_FirstRow,0,COLUMN())),0,ROUND(BH802-BH626,6))</f>
        <v>0</v>
      </c>
      <c r="BI936" s="1168">
        <f t="shared" si="1891"/>
        <v>0</v>
      </c>
      <c r="BJ936" s="1168">
        <f t="shared" si="1891"/>
        <v>0</v>
      </c>
      <c r="BK936" s="1168">
        <f t="shared" si="1891"/>
        <v>0</v>
      </c>
      <c r="BL936" s="1168">
        <f t="shared" si="1891"/>
        <v>0</v>
      </c>
      <c r="BM936" s="1168">
        <f t="shared" si="1891"/>
        <v>0</v>
      </c>
      <c r="BN936" s="1168">
        <f t="shared" si="1891"/>
        <v>0</v>
      </c>
      <c r="BO936" s="1168">
        <f t="shared" si="1891"/>
        <v>0</v>
      </c>
      <c r="BP936" s="1166">
        <f t="shared" si="1891"/>
        <v>0</v>
      </c>
      <c r="BQ936" s="1166">
        <f t="shared" si="1891"/>
        <v>0</v>
      </c>
      <c r="BR936" s="1168">
        <f t="shared" si="1891"/>
        <v>0</v>
      </c>
      <c r="BS936" s="647"/>
    </row>
    <row r="937" spans="1:71" s="665" customFormat="1" ht="15">
      <c r="A937" s="647" t="s">
        <v>223</v>
      </c>
      <c r="B937" s="996"/>
      <c r="C937" s="1166">
        <f t="shared" si="1892" ref="C937:AH937">IF(ISBLANK(INDEX(MO_IS_FirstRow,0,COLUMN())),0,ROUND(C598-C631,6))</f>
        <v>0</v>
      </c>
      <c r="D937" s="1166">
        <f t="shared" si="1892"/>
        <v>0</v>
      </c>
      <c r="E937" s="1166">
        <f t="shared" si="1892"/>
        <v>0</v>
      </c>
      <c r="F937" s="1166">
        <f t="shared" si="1892"/>
        <v>0</v>
      </c>
      <c r="G937" s="1166">
        <f t="shared" si="1892"/>
        <v>0</v>
      </c>
      <c r="H937" s="1166">
        <f t="shared" si="1892"/>
        <v>0</v>
      </c>
      <c r="I937" s="1166">
        <f t="shared" si="1892"/>
        <v>0</v>
      </c>
      <c r="J937" s="1166">
        <f t="shared" si="1892"/>
        <v>0</v>
      </c>
      <c r="K937" s="1166">
        <f t="shared" si="1892"/>
        <v>0</v>
      </c>
      <c r="L937" s="1166">
        <f t="shared" si="1892"/>
        <v>0</v>
      </c>
      <c r="M937" s="1166">
        <f t="shared" si="1892"/>
        <v>0</v>
      </c>
      <c r="N937" s="1166">
        <f t="shared" si="1892"/>
        <v>0</v>
      </c>
      <c r="O937" s="1166">
        <f t="shared" si="1892"/>
        <v>0</v>
      </c>
      <c r="P937" s="1166">
        <f t="shared" si="1892"/>
        <v>0</v>
      </c>
      <c r="Q937" s="1166">
        <f t="shared" si="1892"/>
        <v>0</v>
      </c>
      <c r="R937" s="1166">
        <f t="shared" si="1892"/>
        <v>0</v>
      </c>
      <c r="S937" s="1166">
        <f t="shared" si="1892"/>
        <v>0</v>
      </c>
      <c r="T937" s="1166">
        <f t="shared" si="1892"/>
        <v>0</v>
      </c>
      <c r="U937" s="1166">
        <f t="shared" si="1892"/>
        <v>0</v>
      </c>
      <c r="V937" s="1166">
        <f t="shared" si="1892"/>
        <v>0</v>
      </c>
      <c r="W937" s="1166">
        <f t="shared" si="1892"/>
        <v>0</v>
      </c>
      <c r="X937" s="1166">
        <f t="shared" si="1892"/>
        <v>0</v>
      </c>
      <c r="Y937" s="1166">
        <f t="shared" si="1892"/>
        <v>0</v>
      </c>
      <c r="Z937" s="1166">
        <f t="shared" si="1892"/>
        <v>0</v>
      </c>
      <c r="AA937" s="1166">
        <f t="shared" si="1892"/>
        <v>0</v>
      </c>
      <c r="AB937" s="1166">
        <f t="shared" si="1892"/>
        <v>0</v>
      </c>
      <c r="AC937" s="1166">
        <f t="shared" si="1892"/>
        <v>0</v>
      </c>
      <c r="AD937" s="1166">
        <f t="shared" si="1892"/>
        <v>0</v>
      </c>
      <c r="AE937" s="1166">
        <f t="shared" si="1892"/>
        <v>0</v>
      </c>
      <c r="AF937" s="1166">
        <f t="shared" si="1892"/>
        <v>0</v>
      </c>
      <c r="AG937" s="1166">
        <f t="shared" si="1892"/>
        <v>0</v>
      </c>
      <c r="AH937" s="1166">
        <f t="shared" si="1892"/>
        <v>0</v>
      </c>
      <c r="AI937" s="1166">
        <f t="shared" si="1893" ref="AI937:AW937">IF(ISBLANK(INDEX(MO_IS_FirstRow,0,COLUMN())),0,ROUND(AI598-AI631,6))</f>
        <v>0</v>
      </c>
      <c r="AJ937" s="1166">
        <f t="shared" si="1893"/>
        <v>0</v>
      </c>
      <c r="AK937" s="1166">
        <f t="shared" si="1893"/>
        <v>0</v>
      </c>
      <c r="AL937" s="1166">
        <f t="shared" si="1893"/>
        <v>0</v>
      </c>
      <c r="AM937" s="1166">
        <f t="shared" si="1893"/>
        <v>0</v>
      </c>
      <c r="AN937" s="1166">
        <f t="shared" si="1893"/>
        <v>0</v>
      </c>
      <c r="AO937" s="1166">
        <f t="shared" si="1893"/>
        <v>0</v>
      </c>
      <c r="AP937" s="1166">
        <f t="shared" si="1893"/>
        <v>0</v>
      </c>
      <c r="AQ937" s="1166">
        <f t="shared" si="1893"/>
        <v>0</v>
      </c>
      <c r="AR937" s="1166">
        <f t="shared" si="1893"/>
        <v>0</v>
      </c>
      <c r="AS937" s="1166">
        <f t="shared" si="1893"/>
        <v>0</v>
      </c>
      <c r="AT937" s="1166">
        <f t="shared" si="1893"/>
        <v>0</v>
      </c>
      <c r="AU937" s="1166">
        <f t="shared" si="1893"/>
        <v>0</v>
      </c>
      <c r="AV937" s="1166">
        <f t="shared" si="1893"/>
        <v>0</v>
      </c>
      <c r="AW937" s="1166">
        <f t="shared" si="1893"/>
        <v>0</v>
      </c>
      <c r="AX937" s="1166">
        <f t="shared" si="1894" ref="AX937:AZ937">IF(ISBLANK(INDEX(MO_IS_FirstRow,0,COLUMN())),0,ROUND(AX598-AX631,6))</f>
        <v>0</v>
      </c>
      <c r="AY937" s="1166">
        <f t="shared" si="1894"/>
        <v>0</v>
      </c>
      <c r="AZ937" s="1166">
        <f t="shared" si="1894"/>
        <v>0</v>
      </c>
      <c r="BA937" s="1166">
        <f t="shared" si="1895" ref="BA937:BR937">IF(ISBLANK(INDEX(MO_IS_FirstRow,0,COLUMN())),0,ROUND(BA598-BA631,6))</f>
        <v>0</v>
      </c>
      <c r="BB937" s="1166">
        <f t="shared" si="1895"/>
        <v>0</v>
      </c>
      <c r="BC937" s="1166">
        <f t="shared" si="1895"/>
        <v>0</v>
      </c>
      <c r="BD937" s="1166">
        <f t="shared" si="1895"/>
        <v>0</v>
      </c>
      <c r="BE937" s="1166">
        <f t="shared" si="1895"/>
        <v>0</v>
      </c>
      <c r="BF937" s="1166">
        <f>IF(ISBLANK(INDEX(MO_IS_FirstRow,0,COLUMN())),0,ROUND(BF598-BF631,6))</f>
        <v>0</v>
      </c>
      <c r="BG937" s="1166">
        <f>IF(ISBLANK(INDEX(MO_IS_FirstRow,0,COLUMN())),0,ROUND(BG598-BG631,6))</f>
        <v>0</v>
      </c>
      <c r="BH937" s="1167">
        <f>IF(ISBLANK(INDEX(MO_IS_FirstRow,0,COLUMN())),0,ROUND(BH598-BH631,6))</f>
        <v>0</v>
      </c>
      <c r="BI937" s="1168">
        <f t="shared" si="1895"/>
        <v>0</v>
      </c>
      <c r="BJ937" s="1168">
        <f t="shared" si="1895"/>
        <v>0</v>
      </c>
      <c r="BK937" s="1168">
        <f t="shared" si="1895"/>
        <v>0</v>
      </c>
      <c r="BL937" s="1168">
        <f t="shared" si="1895"/>
        <v>0</v>
      </c>
      <c r="BM937" s="1168">
        <f t="shared" si="1895"/>
        <v>0</v>
      </c>
      <c r="BN937" s="1168">
        <f t="shared" si="1895"/>
        <v>0</v>
      </c>
      <c r="BO937" s="1168">
        <f t="shared" si="1895"/>
        <v>0</v>
      </c>
      <c r="BP937" s="1166">
        <f t="shared" si="1895"/>
        <v>0</v>
      </c>
      <c r="BQ937" s="1166">
        <f t="shared" si="1895"/>
        <v>0</v>
      </c>
      <c r="BR937" s="1168">
        <f t="shared" si="1895"/>
        <v>0</v>
      </c>
      <c r="BS937" s="647"/>
    </row>
    <row r="938" spans="1:71" s="665" customFormat="1" ht="15">
      <c r="A938" s="647" t="s">
        <v>224</v>
      </c>
      <c r="B938" s="996"/>
      <c r="C938" s="1166">
        <f t="shared" si="1896" ref="C938:AQ938">ROUND(INDEX(MO_UI_NEP,0,COLUMN())-INDEX(MO_RIS_NEP,0,COLUMN()),6)</f>
        <v>0</v>
      </c>
      <c r="D938" s="1166">
        <f t="shared" si="1896"/>
        <v>0</v>
      </c>
      <c r="E938" s="1166">
        <f t="shared" si="1896"/>
        <v>0</v>
      </c>
      <c r="F938" s="1166">
        <f t="shared" si="1896"/>
        <v>0</v>
      </c>
      <c r="G938" s="1166">
        <f t="shared" si="1896"/>
        <v>0</v>
      </c>
      <c r="H938" s="1166">
        <f t="shared" si="1896"/>
        <v>0</v>
      </c>
      <c r="I938" s="1166">
        <f t="shared" si="1896"/>
        <v>0</v>
      </c>
      <c r="J938" s="1166">
        <f t="shared" si="1896"/>
        <v>0</v>
      </c>
      <c r="K938" s="1166">
        <f t="shared" si="1896"/>
        <v>0</v>
      </c>
      <c r="L938" s="1166">
        <f t="shared" si="1896"/>
        <v>0</v>
      </c>
      <c r="M938" s="1166">
        <f t="shared" si="1896"/>
        <v>0</v>
      </c>
      <c r="N938" s="1166">
        <f t="shared" si="1896"/>
        <v>0</v>
      </c>
      <c r="O938" s="1166">
        <f t="shared" si="1896"/>
        <v>0</v>
      </c>
      <c r="P938" s="1166">
        <f t="shared" si="1896"/>
        <v>0</v>
      </c>
      <c r="Q938" s="1166">
        <f t="shared" si="1896"/>
        <v>0</v>
      </c>
      <c r="R938" s="1166">
        <f t="shared" si="1896"/>
        <v>0</v>
      </c>
      <c r="S938" s="1166">
        <f t="shared" si="1896"/>
        <v>0</v>
      </c>
      <c r="T938" s="1166">
        <f t="shared" si="1896"/>
        <v>0</v>
      </c>
      <c r="U938" s="1166">
        <f t="shared" si="1896"/>
        <v>0</v>
      </c>
      <c r="V938" s="1166">
        <f t="shared" si="1896"/>
        <v>0</v>
      </c>
      <c r="W938" s="1166">
        <f t="shared" si="1896"/>
        <v>0</v>
      </c>
      <c r="X938" s="1166">
        <f t="shared" si="1896"/>
        <v>0</v>
      </c>
      <c r="Y938" s="1166">
        <f t="shared" si="1896"/>
        <v>0</v>
      </c>
      <c r="Z938" s="1166">
        <f t="shared" si="1896"/>
        <v>0</v>
      </c>
      <c r="AA938" s="1166">
        <f t="shared" si="1896"/>
        <v>0</v>
      </c>
      <c r="AB938" s="1166">
        <f t="shared" si="1896"/>
        <v>0</v>
      </c>
      <c r="AC938" s="1166">
        <f t="shared" si="1896"/>
        <v>0</v>
      </c>
      <c r="AD938" s="1166">
        <f t="shared" si="1896"/>
        <v>0</v>
      </c>
      <c r="AE938" s="1166">
        <f t="shared" si="1896"/>
        <v>0</v>
      </c>
      <c r="AF938" s="1166">
        <f t="shared" si="1896"/>
        <v>0</v>
      </c>
      <c r="AG938" s="1166">
        <f t="shared" si="1896"/>
        <v>0</v>
      </c>
      <c r="AH938" s="1166">
        <f t="shared" si="1896"/>
        <v>0</v>
      </c>
      <c r="AI938" s="1166">
        <f t="shared" si="1896"/>
        <v>0</v>
      </c>
      <c r="AJ938" s="1166">
        <f t="shared" si="1896"/>
        <v>0</v>
      </c>
      <c r="AK938" s="1166">
        <f t="shared" si="1896"/>
        <v>0</v>
      </c>
      <c r="AL938" s="1166">
        <f t="shared" si="1896"/>
        <v>0</v>
      </c>
      <c r="AM938" s="1166">
        <f t="shared" si="1896"/>
        <v>0</v>
      </c>
      <c r="AN938" s="1166">
        <f t="shared" si="1896"/>
        <v>0</v>
      </c>
      <c r="AO938" s="1166">
        <f>ROUND(INDEX(MO_UI_NEP,0,COLUMN())-INDEX(MO_RIS_NEP,0,COLUMN()),6)</f>
        <v>0</v>
      </c>
      <c r="AP938" s="1166">
        <f>ROUND(INDEX(MO_UI_NEP,0,COLUMN())-INDEX(MO_RIS_NEP,0,COLUMN()),6)</f>
        <v>0</v>
      </c>
      <c r="AQ938" s="1166">
        <f t="shared" si="1896"/>
        <v>0</v>
      </c>
      <c r="AR938" s="1166">
        <f t="shared" si="1897" ref="AR938:AU938">ROUND(INDEX(MO_UI_NEP,0,COLUMN())-INDEX(MO_RIS_NEP,0,COLUMN()),6)</f>
        <v>0</v>
      </c>
      <c r="AS938" s="1166">
        <f t="shared" si="1897"/>
        <v>0</v>
      </c>
      <c r="AT938" s="1166">
        <f t="shared" si="1897"/>
        <v>0</v>
      </c>
      <c r="AU938" s="1166">
        <f t="shared" si="1897"/>
        <v>0</v>
      </c>
      <c r="AV938" s="1166">
        <f t="shared" si="1898" ref="AV938:BJ938">ROUND(INDEX(MO_UI_NEP,0,COLUMN())-INDEX(MO_RIS_NEP,0,COLUMN()),6)</f>
        <v>0</v>
      </c>
      <c r="AW938" s="1166">
        <f t="shared" si="1898"/>
        <v>0</v>
      </c>
      <c r="AX938" s="1166">
        <f t="shared" si="1898"/>
        <v>0</v>
      </c>
      <c r="AY938" s="1166">
        <f t="shared" si="1898"/>
        <v>0</v>
      </c>
      <c r="AZ938" s="1166">
        <f t="shared" si="1898"/>
        <v>0</v>
      </c>
      <c r="BA938" s="1166">
        <f t="shared" si="1899" ref="BA938:BI938">ROUND(INDEX(MO_UI_NEP,0,COLUMN())-INDEX(MO_RIS_NEP,0,COLUMN()),6)</f>
        <v>0</v>
      </c>
      <c r="BB938" s="1166">
        <f t="shared" si="1899"/>
        <v>0</v>
      </c>
      <c r="BC938" s="1166">
        <f t="shared" si="1899"/>
        <v>0</v>
      </c>
      <c r="BD938" s="1166">
        <f t="shared" si="1899"/>
        <v>0</v>
      </c>
      <c r="BE938" s="1166">
        <f t="shared" si="1899"/>
        <v>0</v>
      </c>
      <c r="BF938" s="1166">
        <f>ROUND(INDEX(MO_UI_NEP,0,COLUMN())-INDEX(MO_RIS_NEP,0,COLUMN()),6)</f>
        <v>0</v>
      </c>
      <c r="BG938" s="1166">
        <f>ROUND(INDEX(MO_UI_NEP,0,COLUMN())-INDEX(MO_RIS_NEP,0,COLUMN()),6)</f>
        <v>0</v>
      </c>
      <c r="BH938" s="1167">
        <f>ROUND(INDEX(MO_UI_NEP,0,COLUMN())-INDEX(MO_RIS_NEP,0,COLUMN()),6)</f>
        <v>0</v>
      </c>
      <c r="BI938" s="1168">
        <f t="shared" si="1899"/>
        <v>0</v>
      </c>
      <c r="BJ938" s="1168">
        <f t="shared" si="1898"/>
        <v>0</v>
      </c>
      <c r="BK938" s="1168">
        <f t="shared" si="1900" ref="BK938:BR938">ROUND(INDEX(MO_UI_NEP,0,COLUMN())-INDEX(MO_RIS_NEP,0,COLUMN()),6)</f>
        <v>0</v>
      </c>
      <c r="BL938" s="1168">
        <f t="shared" si="1900"/>
        <v>0</v>
      </c>
      <c r="BM938" s="1168">
        <f t="shared" si="1900"/>
        <v>0</v>
      </c>
      <c r="BN938" s="1168">
        <f t="shared" si="1900"/>
        <v>0</v>
      </c>
      <c r="BO938" s="1168">
        <f t="shared" si="1900"/>
        <v>0</v>
      </c>
      <c r="BP938" s="1166">
        <f t="shared" si="1900"/>
        <v>0</v>
      </c>
      <c r="BQ938" s="1166">
        <f t="shared" si="1900"/>
        <v>0</v>
      </c>
      <c r="BR938" s="1168">
        <f t="shared" si="1900"/>
        <v>0</v>
      </c>
      <c r="BS938" s="647"/>
    </row>
    <row r="939" spans="1:71" s="665" customFormat="1" ht="15">
      <c r="A939" s="647" t="s">
        <v>225</v>
      </c>
      <c r="B939" s="996"/>
      <c r="C939" s="1166">
        <f t="shared" si="1901" ref="C939:AQ939">ROUND(INDEX(MO_UI_Loss,0,COLUMN())-INDEX(MO_RIS_Loss,0,COLUMN()),6)</f>
        <v>0</v>
      </c>
      <c r="D939" s="1166">
        <f t="shared" si="1901"/>
        <v>0</v>
      </c>
      <c r="E939" s="1166">
        <f t="shared" si="1901"/>
        <v>0</v>
      </c>
      <c r="F939" s="1166">
        <f t="shared" si="1901"/>
        <v>0</v>
      </c>
      <c r="G939" s="1166">
        <f t="shared" si="1901"/>
        <v>0</v>
      </c>
      <c r="H939" s="1166">
        <f t="shared" si="1901"/>
        <v>0</v>
      </c>
      <c r="I939" s="1166">
        <f t="shared" si="1901"/>
        <v>0</v>
      </c>
      <c r="J939" s="1166">
        <f t="shared" si="1901"/>
        <v>0</v>
      </c>
      <c r="K939" s="1166">
        <f t="shared" si="1901"/>
        <v>0</v>
      </c>
      <c r="L939" s="1166">
        <f t="shared" si="1901"/>
        <v>0</v>
      </c>
      <c r="M939" s="1166">
        <f t="shared" si="1901"/>
        <v>0</v>
      </c>
      <c r="N939" s="1166">
        <f t="shared" si="1901"/>
        <v>0</v>
      </c>
      <c r="O939" s="1166">
        <f t="shared" si="1901"/>
        <v>0</v>
      </c>
      <c r="P939" s="1166">
        <f t="shared" si="1901"/>
        <v>0</v>
      </c>
      <c r="Q939" s="1166">
        <f t="shared" si="1901"/>
        <v>0</v>
      </c>
      <c r="R939" s="1166">
        <f t="shared" si="1901"/>
        <v>0</v>
      </c>
      <c r="S939" s="1166">
        <f t="shared" si="1901"/>
        <v>0</v>
      </c>
      <c r="T939" s="1166">
        <f t="shared" si="1901"/>
        <v>0</v>
      </c>
      <c r="U939" s="1166">
        <f t="shared" si="1901"/>
        <v>0</v>
      </c>
      <c r="V939" s="1166">
        <f t="shared" si="1901"/>
        <v>0</v>
      </c>
      <c r="W939" s="1166">
        <f t="shared" si="1901"/>
        <v>0</v>
      </c>
      <c r="X939" s="1166">
        <f t="shared" si="1901"/>
        <v>0</v>
      </c>
      <c r="Y939" s="1166">
        <f t="shared" si="1901"/>
        <v>0</v>
      </c>
      <c r="Z939" s="1166">
        <f t="shared" si="1901"/>
        <v>0</v>
      </c>
      <c r="AA939" s="1166">
        <f t="shared" si="1901"/>
        <v>0</v>
      </c>
      <c r="AB939" s="1166">
        <f t="shared" si="1901"/>
        <v>0</v>
      </c>
      <c r="AC939" s="1166">
        <f t="shared" si="1901"/>
        <v>0</v>
      </c>
      <c r="AD939" s="1166">
        <f t="shared" si="1901"/>
        <v>0</v>
      </c>
      <c r="AE939" s="1166">
        <f t="shared" si="1901"/>
        <v>0</v>
      </c>
      <c r="AF939" s="1166">
        <f t="shared" si="1901"/>
        <v>0</v>
      </c>
      <c r="AG939" s="1166">
        <f t="shared" si="1901"/>
        <v>0</v>
      </c>
      <c r="AH939" s="1166">
        <f t="shared" si="1901"/>
        <v>0</v>
      </c>
      <c r="AI939" s="1166">
        <f t="shared" si="1901"/>
        <v>0</v>
      </c>
      <c r="AJ939" s="1166">
        <f t="shared" si="1901"/>
        <v>0</v>
      </c>
      <c r="AK939" s="1166">
        <f t="shared" si="1901"/>
        <v>0</v>
      </c>
      <c r="AL939" s="1166">
        <f t="shared" si="1901"/>
        <v>0</v>
      </c>
      <c r="AM939" s="1166">
        <f t="shared" si="1901"/>
        <v>0</v>
      </c>
      <c r="AN939" s="1166">
        <f t="shared" si="1901"/>
        <v>0</v>
      </c>
      <c r="AO939" s="1166">
        <f>ROUND(INDEX(MO_UI_Loss,0,COLUMN())-INDEX(MO_RIS_Loss,0,COLUMN()),6)</f>
        <v>0</v>
      </c>
      <c r="AP939" s="1166">
        <f>ROUND(INDEX(MO_UI_Loss,0,COLUMN())-INDEX(MO_RIS_Loss,0,COLUMN()),6)</f>
        <v>0</v>
      </c>
      <c r="AQ939" s="1166">
        <f t="shared" si="1901"/>
        <v>0</v>
      </c>
      <c r="AR939" s="1166">
        <f t="shared" si="1902" ref="AR939:AU939">ROUND(INDEX(MO_UI_Loss,0,COLUMN())-INDEX(MO_RIS_Loss,0,COLUMN()),6)</f>
        <v>0</v>
      </c>
      <c r="AS939" s="1166">
        <f t="shared" si="1902"/>
        <v>0</v>
      </c>
      <c r="AT939" s="1166">
        <f t="shared" si="1902"/>
        <v>0</v>
      </c>
      <c r="AU939" s="1166">
        <f t="shared" si="1902"/>
        <v>0</v>
      </c>
      <c r="AV939" s="1166">
        <f t="shared" si="1903" ref="AV939:BJ939">ROUND(INDEX(MO_UI_Loss,0,COLUMN())-INDEX(MO_RIS_Loss,0,COLUMN()),6)</f>
        <v>0</v>
      </c>
      <c r="AW939" s="1166">
        <f t="shared" si="1903"/>
        <v>0</v>
      </c>
      <c r="AX939" s="1166">
        <f t="shared" si="1903"/>
        <v>0</v>
      </c>
      <c r="AY939" s="1166">
        <f t="shared" si="1903"/>
        <v>0</v>
      </c>
      <c r="AZ939" s="1166">
        <f t="shared" si="1903"/>
        <v>0</v>
      </c>
      <c r="BA939" s="1166">
        <f t="shared" si="1904" ref="BA939:BI939">ROUND(INDEX(MO_UI_Loss,0,COLUMN())-INDEX(MO_RIS_Loss,0,COLUMN()),6)</f>
        <v>0</v>
      </c>
      <c r="BB939" s="1166">
        <f t="shared" si="1904"/>
        <v>0</v>
      </c>
      <c r="BC939" s="1166">
        <f t="shared" si="1904"/>
        <v>0</v>
      </c>
      <c r="BD939" s="1166">
        <f t="shared" si="1904"/>
        <v>0</v>
      </c>
      <c r="BE939" s="1166">
        <f t="shared" si="1904"/>
        <v>0</v>
      </c>
      <c r="BF939" s="1166">
        <f>ROUND(INDEX(MO_UI_Loss,0,COLUMN())-INDEX(MO_RIS_Loss,0,COLUMN()),6)</f>
        <v>0</v>
      </c>
      <c r="BG939" s="1166">
        <f>ROUND(INDEX(MO_UI_Loss,0,COLUMN())-INDEX(MO_RIS_Loss,0,COLUMN()),6)</f>
        <v>0</v>
      </c>
      <c r="BH939" s="1167">
        <f>ROUND(INDEX(MO_UI_Loss,0,COLUMN())-INDEX(MO_RIS_Loss,0,COLUMN()),6)</f>
        <v>0</v>
      </c>
      <c r="BI939" s="1168">
        <f t="shared" si="1904"/>
        <v>0</v>
      </c>
      <c r="BJ939" s="1168">
        <f t="shared" si="1903"/>
        <v>0</v>
      </c>
      <c r="BK939" s="1168">
        <f t="shared" si="1905" ref="BK939:BR939">ROUND(INDEX(MO_UI_Loss,0,COLUMN())-INDEX(MO_RIS_Loss,0,COLUMN()),6)</f>
        <v>0</v>
      </c>
      <c r="BL939" s="1168">
        <f t="shared" si="1905"/>
        <v>0</v>
      </c>
      <c r="BM939" s="1168">
        <f t="shared" si="1905"/>
        <v>0</v>
      </c>
      <c r="BN939" s="1168">
        <f t="shared" si="1905"/>
        <v>0</v>
      </c>
      <c r="BO939" s="1168">
        <f t="shared" si="1905"/>
        <v>0</v>
      </c>
      <c r="BP939" s="1166">
        <f t="shared" si="1905"/>
        <v>0</v>
      </c>
      <c r="BQ939" s="1166">
        <f t="shared" si="1905"/>
        <v>0</v>
      </c>
      <c r="BR939" s="1168">
        <f t="shared" si="1905"/>
        <v>0</v>
      </c>
      <c r="BS939" s="647"/>
    </row>
    <row r="940" spans="1:71" s="665" customFormat="1" ht="15">
      <c r="A940" s="647" t="s">
        <v>226</v>
      </c>
      <c r="B940" s="996"/>
      <c r="C940" s="1166">
        <f t="shared" si="1906" ref="C940:AQ940">ROUND(INDEX(MO_UI_PAE,0,COLUMN())-INDEX(MO_RIS_PAE,0,COLUMN()),6)</f>
        <v>0</v>
      </c>
      <c r="D940" s="1166">
        <f t="shared" si="1906"/>
        <v>0</v>
      </c>
      <c r="E940" s="1166">
        <f t="shared" si="1906"/>
        <v>0</v>
      </c>
      <c r="F940" s="1166">
        <f t="shared" si="1906"/>
        <v>0</v>
      </c>
      <c r="G940" s="1166">
        <f t="shared" si="1906"/>
        <v>0</v>
      </c>
      <c r="H940" s="1166">
        <f t="shared" si="1906"/>
        <v>0</v>
      </c>
      <c r="I940" s="1166">
        <f t="shared" si="1906"/>
        <v>0</v>
      </c>
      <c r="J940" s="1166">
        <f t="shared" si="1906"/>
        <v>0</v>
      </c>
      <c r="K940" s="1166">
        <f t="shared" si="1906"/>
        <v>0</v>
      </c>
      <c r="L940" s="1166">
        <f t="shared" si="1906"/>
        <v>0</v>
      </c>
      <c r="M940" s="1166">
        <f t="shared" si="1906"/>
        <v>0</v>
      </c>
      <c r="N940" s="1166">
        <f t="shared" si="1906"/>
        <v>0</v>
      </c>
      <c r="O940" s="1166">
        <f t="shared" si="1906"/>
        <v>0</v>
      </c>
      <c r="P940" s="1166">
        <f t="shared" si="1906"/>
        <v>0</v>
      </c>
      <c r="Q940" s="1166">
        <f t="shared" si="1906"/>
        <v>0</v>
      </c>
      <c r="R940" s="1166">
        <f t="shared" si="1906"/>
        <v>0</v>
      </c>
      <c r="S940" s="1166">
        <f t="shared" si="1906"/>
        <v>0</v>
      </c>
      <c r="T940" s="1166">
        <f t="shared" si="1906"/>
        <v>0</v>
      </c>
      <c r="U940" s="1166">
        <f t="shared" si="1906"/>
        <v>0</v>
      </c>
      <c r="V940" s="1166">
        <f t="shared" si="1906"/>
        <v>0</v>
      </c>
      <c r="W940" s="1166">
        <f t="shared" si="1906"/>
        <v>0</v>
      </c>
      <c r="X940" s="1166">
        <f t="shared" si="1906"/>
        <v>0</v>
      </c>
      <c r="Y940" s="1166">
        <f t="shared" si="1906"/>
        <v>0</v>
      </c>
      <c r="Z940" s="1166">
        <f t="shared" si="1906"/>
        <v>0</v>
      </c>
      <c r="AA940" s="1166">
        <f t="shared" si="1906"/>
        <v>0</v>
      </c>
      <c r="AB940" s="1166">
        <f t="shared" si="1906"/>
        <v>0</v>
      </c>
      <c r="AC940" s="1166">
        <f t="shared" si="1906"/>
        <v>0</v>
      </c>
      <c r="AD940" s="1166">
        <f t="shared" si="1906"/>
        <v>0</v>
      </c>
      <c r="AE940" s="1166">
        <f t="shared" si="1906"/>
        <v>0</v>
      </c>
      <c r="AF940" s="1166">
        <f t="shared" si="1906"/>
        <v>0</v>
      </c>
      <c r="AG940" s="1166">
        <f t="shared" si="1906"/>
        <v>0</v>
      </c>
      <c r="AH940" s="1166">
        <f t="shared" si="1906"/>
        <v>0</v>
      </c>
      <c r="AI940" s="1166">
        <f t="shared" si="1906"/>
        <v>0</v>
      </c>
      <c r="AJ940" s="1166">
        <f t="shared" si="1906"/>
        <v>0</v>
      </c>
      <c r="AK940" s="1166">
        <f t="shared" si="1906"/>
        <v>0</v>
      </c>
      <c r="AL940" s="1166">
        <f t="shared" si="1906"/>
        <v>0</v>
      </c>
      <c r="AM940" s="1166">
        <f t="shared" si="1906"/>
        <v>0</v>
      </c>
      <c r="AN940" s="1166">
        <f t="shared" si="1906"/>
        <v>0</v>
      </c>
      <c r="AO940" s="1166">
        <f>ROUND(INDEX(MO_UI_PAE,0,COLUMN())-INDEX(MO_RIS_PAE,0,COLUMN()),6)</f>
        <v>0</v>
      </c>
      <c r="AP940" s="1166">
        <f>ROUND(INDEX(MO_UI_PAE,0,COLUMN())-INDEX(MO_RIS_PAE,0,COLUMN()),6)</f>
        <v>0</v>
      </c>
      <c r="AQ940" s="1166">
        <f t="shared" si="1906"/>
        <v>0</v>
      </c>
      <c r="AR940" s="1166">
        <f t="shared" si="1907" ref="AR940:AU940">ROUND(INDEX(MO_UI_PAE,0,COLUMN())-INDEX(MO_RIS_PAE,0,COLUMN()),6)</f>
        <v>0</v>
      </c>
      <c r="AS940" s="1166">
        <f t="shared" si="1907"/>
        <v>0</v>
      </c>
      <c r="AT940" s="1166">
        <f t="shared" si="1907"/>
        <v>0</v>
      </c>
      <c r="AU940" s="1166">
        <f t="shared" si="1907"/>
        <v>0</v>
      </c>
      <c r="AV940" s="1166">
        <f t="shared" si="1908" ref="AV940:BJ940">ROUND(INDEX(MO_UI_PAE,0,COLUMN())-INDEX(MO_RIS_PAE,0,COLUMN()),6)</f>
        <v>0</v>
      </c>
      <c r="AW940" s="1166">
        <f t="shared" si="1908"/>
        <v>0</v>
      </c>
      <c r="AX940" s="1166">
        <f t="shared" si="1908"/>
        <v>0</v>
      </c>
      <c r="AY940" s="1166">
        <f t="shared" si="1908"/>
        <v>0</v>
      </c>
      <c r="AZ940" s="1166">
        <f t="shared" si="1908"/>
        <v>0</v>
      </c>
      <c r="BA940" s="1166">
        <f t="shared" si="1909" ref="BA940:BI940">ROUND(INDEX(MO_UI_PAE,0,COLUMN())-INDEX(MO_RIS_PAE,0,COLUMN()),6)</f>
        <v>0</v>
      </c>
      <c r="BB940" s="1166">
        <f t="shared" si="1909"/>
        <v>0</v>
      </c>
      <c r="BC940" s="1166">
        <f t="shared" si="1909"/>
        <v>0</v>
      </c>
      <c r="BD940" s="1166">
        <f t="shared" si="1909"/>
        <v>0</v>
      </c>
      <c r="BE940" s="1166">
        <f t="shared" si="1909"/>
        <v>0</v>
      </c>
      <c r="BF940" s="1166">
        <f>ROUND(INDEX(MO_UI_PAE,0,COLUMN())-INDEX(MO_RIS_PAE,0,COLUMN()),6)</f>
        <v>0</v>
      </c>
      <c r="BG940" s="1166">
        <f>ROUND(INDEX(MO_UI_PAE,0,COLUMN())-INDEX(MO_RIS_PAE,0,COLUMN()),6)</f>
        <v>0</v>
      </c>
      <c r="BH940" s="1167">
        <f>ROUND(INDEX(MO_UI_PAE,0,COLUMN())-INDEX(MO_RIS_PAE,0,COLUMN()),6)</f>
        <v>0</v>
      </c>
      <c r="BI940" s="1168">
        <f t="shared" si="1909"/>
        <v>0</v>
      </c>
      <c r="BJ940" s="1168">
        <f t="shared" si="1908"/>
        <v>0</v>
      </c>
      <c r="BK940" s="1168">
        <f t="shared" si="1910" ref="BK940:BR940">ROUND(INDEX(MO_UI_PAE,0,COLUMN())-INDEX(MO_RIS_PAE,0,COLUMN()),6)</f>
        <v>0</v>
      </c>
      <c r="BL940" s="1168">
        <f t="shared" si="1910"/>
        <v>0</v>
      </c>
      <c r="BM940" s="1168">
        <f t="shared" si="1910"/>
        <v>0</v>
      </c>
      <c r="BN940" s="1168">
        <f t="shared" si="1910"/>
        <v>0</v>
      </c>
      <c r="BO940" s="1168">
        <f t="shared" si="1910"/>
        <v>0</v>
      </c>
      <c r="BP940" s="1166">
        <f t="shared" si="1910"/>
        <v>0</v>
      </c>
      <c r="BQ940" s="1166">
        <f t="shared" si="1910"/>
        <v>0</v>
      </c>
      <c r="BR940" s="1168">
        <f t="shared" si="1910"/>
        <v>0</v>
      </c>
      <c r="BS940" s="647"/>
    </row>
    <row r="941" spans="1:71" s="665" customFormat="1" ht="15">
      <c r="A941" s="647" t="s">
        <v>227</v>
      </c>
      <c r="B941" s="996"/>
      <c r="C941" s="1166">
        <f t="shared" si="1911" ref="C941:AQ941">ROUND(INDEX(MO_UI_OOE,0,COLUMN())-INDEX(MO_RIS_OOE,0,COLUMN()),6)</f>
        <v>0</v>
      </c>
      <c r="D941" s="1166">
        <f t="shared" si="1911"/>
        <v>0</v>
      </c>
      <c r="E941" s="1166">
        <f t="shared" si="1911"/>
        <v>0</v>
      </c>
      <c r="F941" s="1166">
        <f t="shared" si="1911"/>
        <v>0</v>
      </c>
      <c r="G941" s="1166">
        <f t="shared" si="1911"/>
        <v>0</v>
      </c>
      <c r="H941" s="1166">
        <f t="shared" si="1911"/>
        <v>0</v>
      </c>
      <c r="I941" s="1166">
        <f t="shared" si="1911"/>
        <v>0</v>
      </c>
      <c r="J941" s="1166">
        <f t="shared" si="1911"/>
        <v>0</v>
      </c>
      <c r="K941" s="1166">
        <f t="shared" si="1911"/>
        <v>0</v>
      </c>
      <c r="L941" s="1166">
        <f t="shared" si="1911"/>
        <v>0</v>
      </c>
      <c r="M941" s="1166">
        <f t="shared" si="1911"/>
        <v>0</v>
      </c>
      <c r="N941" s="1166">
        <f t="shared" si="1911"/>
        <v>0</v>
      </c>
      <c r="O941" s="1166">
        <f t="shared" si="1911"/>
        <v>0</v>
      </c>
      <c r="P941" s="1166">
        <f t="shared" si="1911"/>
        <v>0</v>
      </c>
      <c r="Q941" s="1166">
        <f t="shared" si="1911"/>
        <v>0</v>
      </c>
      <c r="R941" s="1166">
        <f t="shared" si="1911"/>
        <v>0</v>
      </c>
      <c r="S941" s="1166">
        <f t="shared" si="1911"/>
        <v>0</v>
      </c>
      <c r="T941" s="1166">
        <f t="shared" si="1911"/>
        <v>0</v>
      </c>
      <c r="U941" s="1166">
        <f t="shared" si="1911"/>
        <v>0</v>
      </c>
      <c r="V941" s="1166">
        <f t="shared" si="1911"/>
        <v>0</v>
      </c>
      <c r="W941" s="1166">
        <f t="shared" si="1911"/>
        <v>0</v>
      </c>
      <c r="X941" s="1166">
        <f t="shared" si="1911"/>
        <v>0</v>
      </c>
      <c r="Y941" s="1166">
        <f t="shared" si="1911"/>
        <v>0</v>
      </c>
      <c r="Z941" s="1166">
        <f t="shared" si="1911"/>
        <v>0</v>
      </c>
      <c r="AA941" s="1166">
        <f t="shared" si="1911"/>
        <v>0</v>
      </c>
      <c r="AB941" s="1166">
        <f t="shared" si="1911"/>
        <v>0</v>
      </c>
      <c r="AC941" s="1166">
        <f t="shared" si="1911"/>
        <v>0</v>
      </c>
      <c r="AD941" s="1166">
        <f t="shared" si="1911"/>
        <v>0</v>
      </c>
      <c r="AE941" s="1166">
        <f t="shared" si="1911"/>
        <v>0</v>
      </c>
      <c r="AF941" s="1166">
        <f t="shared" si="1911"/>
        <v>0</v>
      </c>
      <c r="AG941" s="1166">
        <f t="shared" si="1911"/>
        <v>0</v>
      </c>
      <c r="AH941" s="1166">
        <f t="shared" si="1911"/>
        <v>0</v>
      </c>
      <c r="AI941" s="1166">
        <f t="shared" si="1911"/>
        <v>0</v>
      </c>
      <c r="AJ941" s="1166">
        <f t="shared" si="1911"/>
        <v>0</v>
      </c>
      <c r="AK941" s="1166">
        <f t="shared" si="1911"/>
        <v>0</v>
      </c>
      <c r="AL941" s="1166">
        <f t="shared" si="1911"/>
        <v>0</v>
      </c>
      <c r="AM941" s="1166">
        <f t="shared" si="1911"/>
        <v>0</v>
      </c>
      <c r="AN941" s="1166">
        <f t="shared" si="1911"/>
        <v>0</v>
      </c>
      <c r="AO941" s="1166">
        <f>ROUND(INDEX(MO_UI_OOE,0,COLUMN())-INDEX(MO_RIS_OOE,0,COLUMN()),6)</f>
        <v>0</v>
      </c>
      <c r="AP941" s="1166">
        <f>ROUND(INDEX(MO_UI_OOE,0,COLUMN())-INDEX(MO_RIS_OOE,0,COLUMN()),6)</f>
        <v>0</v>
      </c>
      <c r="AQ941" s="1166">
        <f t="shared" si="1911"/>
        <v>0</v>
      </c>
      <c r="AR941" s="1166">
        <f t="shared" si="1912" ref="AR941:AU941">ROUND(INDEX(MO_UI_OOE,0,COLUMN())-INDEX(MO_RIS_OOE,0,COLUMN()),6)</f>
        <v>0</v>
      </c>
      <c r="AS941" s="1166">
        <f t="shared" si="1912"/>
        <v>0</v>
      </c>
      <c r="AT941" s="1166">
        <f t="shared" si="1912"/>
        <v>0</v>
      </c>
      <c r="AU941" s="1166">
        <f t="shared" si="1912"/>
        <v>0</v>
      </c>
      <c r="AV941" s="1166">
        <f t="shared" si="1913" ref="AV941:BJ941">ROUND(INDEX(MO_UI_OOE,0,COLUMN())-INDEX(MO_RIS_OOE,0,COLUMN()),6)</f>
        <v>0</v>
      </c>
      <c r="AW941" s="1166">
        <f t="shared" si="1913"/>
        <v>0</v>
      </c>
      <c r="AX941" s="1166">
        <f t="shared" si="1913"/>
        <v>0</v>
      </c>
      <c r="AY941" s="1166">
        <f t="shared" si="1913"/>
        <v>0</v>
      </c>
      <c r="AZ941" s="1166">
        <f t="shared" si="1913"/>
        <v>0</v>
      </c>
      <c r="BA941" s="1166">
        <f t="shared" si="1914" ref="BA941:BI941">ROUND(INDEX(MO_UI_OOE,0,COLUMN())-INDEX(MO_RIS_OOE,0,COLUMN()),6)</f>
        <v>0</v>
      </c>
      <c r="BB941" s="1166">
        <f t="shared" si="1914"/>
        <v>0</v>
      </c>
      <c r="BC941" s="1166">
        <f t="shared" si="1914"/>
        <v>0</v>
      </c>
      <c r="BD941" s="1166">
        <f t="shared" si="1914"/>
        <v>0</v>
      </c>
      <c r="BE941" s="1166">
        <f t="shared" si="1914"/>
        <v>0</v>
      </c>
      <c r="BF941" s="1166">
        <f>ROUND(INDEX(MO_UI_OOE,0,COLUMN())-INDEX(MO_RIS_OOE,0,COLUMN()),6)</f>
        <v>0</v>
      </c>
      <c r="BG941" s="1166">
        <f>ROUND(INDEX(MO_UI_OOE,0,COLUMN())-INDEX(MO_RIS_OOE,0,COLUMN()),6)</f>
        <v>0</v>
      </c>
      <c r="BH941" s="1167">
        <f>ROUND(INDEX(MO_UI_OOE,0,COLUMN())-INDEX(MO_RIS_OOE,0,COLUMN()),6)</f>
        <v>0</v>
      </c>
      <c r="BI941" s="1168">
        <f t="shared" si="1914"/>
        <v>0</v>
      </c>
      <c r="BJ941" s="1168">
        <f t="shared" si="1913"/>
        <v>0</v>
      </c>
      <c r="BK941" s="1168">
        <f t="shared" si="1915" ref="BK941:BR941">ROUND(INDEX(MO_UI_OOE,0,COLUMN())-INDEX(MO_RIS_OOE,0,COLUMN()),6)</f>
        <v>0</v>
      </c>
      <c r="BL941" s="1168">
        <f t="shared" si="1915"/>
        <v>0</v>
      </c>
      <c r="BM941" s="1168">
        <f t="shared" si="1915"/>
        <v>0</v>
      </c>
      <c r="BN941" s="1168">
        <f t="shared" si="1915"/>
        <v>0</v>
      </c>
      <c r="BO941" s="1168">
        <f t="shared" si="1915"/>
        <v>0</v>
      </c>
      <c r="BP941" s="1166">
        <f t="shared" si="1915"/>
        <v>0</v>
      </c>
      <c r="BQ941" s="1166">
        <f t="shared" si="1915"/>
        <v>0</v>
      </c>
      <c r="BR941" s="1168">
        <f t="shared" si="1915"/>
        <v>0</v>
      </c>
      <c r="BS941" s="647"/>
    </row>
    <row r="942" spans="1:71" s="665" customFormat="1" ht="15">
      <c r="A942" s="647" t="s">
        <v>228</v>
      </c>
      <c r="B942" s="996"/>
      <c r="C942" s="1166">
        <f t="shared" si="1916" ref="C942:AH942">ROUND(INDEX(MO_II_NetII,0,COLUMN())-INDEX(MO_RIS_NetII,0,COLUMN())+C617,6)</f>
        <v>0</v>
      </c>
      <c r="D942" s="1166">
        <f t="shared" si="1916"/>
        <v>0</v>
      </c>
      <c r="E942" s="1166">
        <f t="shared" si="1916"/>
        <v>0</v>
      </c>
      <c r="F942" s="1166">
        <f t="shared" si="1916"/>
        <v>0</v>
      </c>
      <c r="G942" s="1166">
        <f t="shared" si="1916"/>
        <v>0</v>
      </c>
      <c r="H942" s="1166">
        <f t="shared" si="1916"/>
        <v>0</v>
      </c>
      <c r="I942" s="1166">
        <f t="shared" si="1916"/>
        <v>0</v>
      </c>
      <c r="J942" s="1166">
        <f t="shared" si="1916"/>
        <v>0</v>
      </c>
      <c r="K942" s="1166">
        <f t="shared" si="1916"/>
        <v>0</v>
      </c>
      <c r="L942" s="1166">
        <f t="shared" si="1916"/>
        <v>0</v>
      </c>
      <c r="M942" s="1166">
        <f t="shared" si="1916"/>
        <v>0</v>
      </c>
      <c r="N942" s="1166">
        <f t="shared" si="1916"/>
        <v>0</v>
      </c>
      <c r="O942" s="1166">
        <f t="shared" si="1916"/>
        <v>0</v>
      </c>
      <c r="P942" s="1166">
        <f t="shared" si="1916"/>
        <v>0</v>
      </c>
      <c r="Q942" s="1166">
        <f t="shared" si="1916"/>
        <v>0</v>
      </c>
      <c r="R942" s="1166">
        <f t="shared" si="1916"/>
        <v>0</v>
      </c>
      <c r="S942" s="1166">
        <f t="shared" si="1916"/>
        <v>0</v>
      </c>
      <c r="T942" s="1166">
        <f t="shared" si="1916"/>
        <v>0</v>
      </c>
      <c r="U942" s="1166">
        <f t="shared" si="1916"/>
        <v>0</v>
      </c>
      <c r="V942" s="1166">
        <f t="shared" si="1916"/>
        <v>0</v>
      </c>
      <c r="W942" s="1166">
        <f t="shared" si="1916"/>
        <v>0</v>
      </c>
      <c r="X942" s="1166">
        <f t="shared" si="1916"/>
        <v>0</v>
      </c>
      <c r="Y942" s="1166">
        <f t="shared" si="1916"/>
        <v>0</v>
      </c>
      <c r="Z942" s="1166">
        <f t="shared" si="1916"/>
        <v>0</v>
      </c>
      <c r="AA942" s="1166">
        <f t="shared" si="1916"/>
        <v>0</v>
      </c>
      <c r="AB942" s="1166">
        <f t="shared" si="1916"/>
        <v>0</v>
      </c>
      <c r="AC942" s="1166">
        <f t="shared" si="1916"/>
        <v>0</v>
      </c>
      <c r="AD942" s="1166">
        <f t="shared" si="1916"/>
        <v>0</v>
      </c>
      <c r="AE942" s="1166">
        <f t="shared" si="1916"/>
        <v>0</v>
      </c>
      <c r="AF942" s="1166">
        <f t="shared" si="1916"/>
        <v>0</v>
      </c>
      <c r="AG942" s="1166">
        <f t="shared" si="1916"/>
        <v>0</v>
      </c>
      <c r="AH942" s="1166">
        <f t="shared" si="1916"/>
        <v>0</v>
      </c>
      <c r="AI942" s="1166">
        <f t="shared" si="1917" ref="AI942:AW942">ROUND(INDEX(MO_II_NetII,0,COLUMN())-INDEX(MO_RIS_NetII,0,COLUMN())+AI617,6)</f>
        <v>0</v>
      </c>
      <c r="AJ942" s="1166">
        <f t="shared" si="1917"/>
        <v>0</v>
      </c>
      <c r="AK942" s="1166">
        <f t="shared" si="1917"/>
        <v>0</v>
      </c>
      <c r="AL942" s="1166">
        <f t="shared" si="1917"/>
        <v>0</v>
      </c>
      <c r="AM942" s="1166">
        <f t="shared" si="1917"/>
        <v>0</v>
      </c>
      <c r="AN942" s="1166">
        <f t="shared" si="1917"/>
        <v>0</v>
      </c>
      <c r="AO942" s="1166">
        <f t="shared" si="1917"/>
        <v>0</v>
      </c>
      <c r="AP942" s="1166">
        <f t="shared" si="1917"/>
        <v>0</v>
      </c>
      <c r="AQ942" s="1166">
        <f t="shared" si="1917"/>
        <v>0</v>
      </c>
      <c r="AR942" s="1166">
        <f t="shared" si="1917"/>
        <v>0</v>
      </c>
      <c r="AS942" s="1166">
        <f t="shared" si="1917"/>
        <v>0</v>
      </c>
      <c r="AT942" s="1166">
        <f t="shared" si="1917"/>
        <v>0</v>
      </c>
      <c r="AU942" s="1166">
        <f t="shared" si="1917"/>
        <v>0</v>
      </c>
      <c r="AV942" s="1166">
        <f t="shared" si="1917"/>
        <v>0</v>
      </c>
      <c r="AW942" s="1166">
        <f t="shared" si="1917"/>
        <v>0</v>
      </c>
      <c r="AX942" s="1166">
        <f t="shared" si="1918" ref="AX942:AY942">ROUND(INDEX(MO_II_NetII,0,COLUMN())-INDEX(MO_RIS_NetII,0,COLUMN())+AX617,6)</f>
        <v>0</v>
      </c>
      <c r="AY942" s="1166">
        <f t="shared" si="1918"/>
        <v>0</v>
      </c>
      <c r="AZ942" s="1166">
        <f t="shared" si="1919" ref="AZ942:BR942">ROUND(INDEX(MO_II_NetII,0,COLUMN())-INDEX(MO_RIS_NetII,0,COLUMN())+AZ617,6)</f>
        <v>0</v>
      </c>
      <c r="BA942" s="1166">
        <f t="shared" si="1919"/>
        <v>0</v>
      </c>
      <c r="BB942" s="1166">
        <f t="shared" si="1919"/>
        <v>0</v>
      </c>
      <c r="BC942" s="1166">
        <f t="shared" si="1919"/>
        <v>0</v>
      </c>
      <c r="BD942" s="1166">
        <f t="shared" si="1919"/>
        <v>0</v>
      </c>
      <c r="BE942" s="1166">
        <f t="shared" si="1919"/>
        <v>0</v>
      </c>
      <c r="BF942" s="1166">
        <f>ROUND(INDEX(MO_II_NetII,0,COLUMN())-INDEX(MO_RIS_NetII,0,COLUMN())+BF617,6)</f>
        <v>0</v>
      </c>
      <c r="BG942" s="1166">
        <f>ROUND(INDEX(MO_II_NetII,0,COLUMN())-INDEX(MO_RIS_NetII,0,COLUMN())+BG617,6)</f>
        <v>0</v>
      </c>
      <c r="BH942" s="1167">
        <f>ROUND(INDEX(MO_II_NetII,0,COLUMN())-INDEX(MO_RIS_NetII,0,COLUMN())+BH617,6)</f>
        <v>0</v>
      </c>
      <c r="BI942" s="1168">
        <f t="shared" si="1919"/>
        <v>0</v>
      </c>
      <c r="BJ942" s="1168">
        <f t="shared" si="1919"/>
        <v>0</v>
      </c>
      <c r="BK942" s="1168">
        <f t="shared" si="1919"/>
        <v>0</v>
      </c>
      <c r="BL942" s="1168">
        <f t="shared" si="1919"/>
        <v>0</v>
      </c>
      <c r="BM942" s="1168">
        <f t="shared" si="1919"/>
        <v>0</v>
      </c>
      <c r="BN942" s="1168">
        <f t="shared" si="1919"/>
        <v>0</v>
      </c>
      <c r="BO942" s="1168">
        <f t="shared" si="1919"/>
        <v>0</v>
      </c>
      <c r="BP942" s="1166">
        <f t="shared" si="1919"/>
        <v>0</v>
      </c>
      <c r="BQ942" s="1166">
        <f t="shared" si="1919"/>
        <v>0</v>
      </c>
      <c r="BR942" s="1168">
        <f t="shared" si="1919"/>
        <v>0</v>
      </c>
      <c r="BS942" s="647"/>
    </row>
    <row r="943" spans="1:71" s="665" customFormat="1" ht="15">
      <c r="A943" s="647" t="s">
        <v>229</v>
      </c>
      <c r="B943" s="996"/>
      <c r="C943" s="1166">
        <f t="shared" si="1920" ref="C943:AQ943">ROUND(INDEX(MO_II_NetIG,0,COLUMN())-INDEX(MO_RIS_NetIG,0,COLUMN()),6)</f>
        <v>0</v>
      </c>
      <c r="D943" s="1166">
        <f t="shared" si="1920"/>
        <v>0</v>
      </c>
      <c r="E943" s="1166">
        <f t="shared" si="1920"/>
        <v>0</v>
      </c>
      <c r="F943" s="1166">
        <f t="shared" si="1920"/>
        <v>0</v>
      </c>
      <c r="G943" s="1166">
        <f t="shared" si="1920"/>
        <v>0</v>
      </c>
      <c r="H943" s="1166">
        <f t="shared" si="1920"/>
        <v>0</v>
      </c>
      <c r="I943" s="1166">
        <f t="shared" si="1920"/>
        <v>0</v>
      </c>
      <c r="J943" s="1166">
        <f t="shared" si="1920"/>
        <v>0</v>
      </c>
      <c r="K943" s="1166">
        <f t="shared" si="1920"/>
        <v>0</v>
      </c>
      <c r="L943" s="1166">
        <f t="shared" si="1920"/>
        <v>0</v>
      </c>
      <c r="M943" s="1166">
        <f t="shared" si="1920"/>
        <v>0</v>
      </c>
      <c r="N943" s="1166">
        <f t="shared" si="1920"/>
        <v>0</v>
      </c>
      <c r="O943" s="1166">
        <f t="shared" si="1920"/>
        <v>0</v>
      </c>
      <c r="P943" s="1166">
        <f t="shared" si="1920"/>
        <v>0</v>
      </c>
      <c r="Q943" s="1166">
        <f t="shared" si="1920"/>
        <v>0</v>
      </c>
      <c r="R943" s="1166">
        <f t="shared" si="1920"/>
        <v>0</v>
      </c>
      <c r="S943" s="1166">
        <f t="shared" si="1920"/>
        <v>0</v>
      </c>
      <c r="T943" s="1166">
        <f t="shared" si="1920"/>
        <v>0</v>
      </c>
      <c r="U943" s="1166">
        <f t="shared" si="1920"/>
        <v>0</v>
      </c>
      <c r="V943" s="1166">
        <f t="shared" si="1920"/>
        <v>0</v>
      </c>
      <c r="W943" s="1166">
        <f t="shared" si="1920"/>
        <v>0</v>
      </c>
      <c r="X943" s="1166">
        <f t="shared" si="1920"/>
        <v>0</v>
      </c>
      <c r="Y943" s="1166">
        <f t="shared" si="1920"/>
        <v>0</v>
      </c>
      <c r="Z943" s="1166">
        <f t="shared" si="1920"/>
        <v>0</v>
      </c>
      <c r="AA943" s="1166">
        <f t="shared" si="1920"/>
        <v>0</v>
      </c>
      <c r="AB943" s="1166">
        <f t="shared" si="1920"/>
        <v>0</v>
      </c>
      <c r="AC943" s="1166">
        <f t="shared" si="1920"/>
        <v>0</v>
      </c>
      <c r="AD943" s="1166">
        <f t="shared" si="1920"/>
        <v>0</v>
      </c>
      <c r="AE943" s="1166">
        <f t="shared" si="1920"/>
        <v>0</v>
      </c>
      <c r="AF943" s="1166">
        <f t="shared" si="1920"/>
        <v>0</v>
      </c>
      <c r="AG943" s="1166">
        <f t="shared" si="1920"/>
        <v>0</v>
      </c>
      <c r="AH943" s="1166">
        <f t="shared" si="1920"/>
        <v>0</v>
      </c>
      <c r="AI943" s="1166">
        <f t="shared" si="1920"/>
        <v>0</v>
      </c>
      <c r="AJ943" s="1166">
        <f t="shared" si="1920"/>
        <v>0</v>
      </c>
      <c r="AK943" s="1166">
        <f t="shared" si="1920"/>
        <v>0</v>
      </c>
      <c r="AL943" s="1166">
        <f t="shared" si="1920"/>
        <v>0</v>
      </c>
      <c r="AM943" s="1166">
        <f t="shared" si="1920"/>
        <v>0</v>
      </c>
      <c r="AN943" s="1166">
        <f t="shared" si="1920"/>
        <v>0</v>
      </c>
      <c r="AO943" s="1166">
        <f>ROUND(INDEX(MO_II_NetIG,0,COLUMN())-INDEX(MO_RIS_NetIG,0,COLUMN()),6)</f>
        <v>0</v>
      </c>
      <c r="AP943" s="1166">
        <f>ROUND(INDEX(MO_II_NetIG,0,COLUMN())-INDEX(MO_RIS_NetIG,0,COLUMN()),6)</f>
        <v>0</v>
      </c>
      <c r="AQ943" s="1166">
        <f t="shared" si="1920"/>
        <v>0</v>
      </c>
      <c r="AR943" s="1166">
        <f t="shared" si="1921" ref="AR943:AU943">ROUND(INDEX(MO_II_NetIG,0,COLUMN())-INDEX(MO_RIS_NetIG,0,COLUMN()),6)</f>
        <v>0</v>
      </c>
      <c r="AS943" s="1166">
        <f t="shared" si="1921"/>
        <v>0</v>
      </c>
      <c r="AT943" s="1166">
        <f t="shared" si="1921"/>
        <v>0</v>
      </c>
      <c r="AU943" s="1166">
        <f t="shared" si="1921"/>
        <v>0</v>
      </c>
      <c r="AV943" s="1166">
        <f t="shared" si="1922" ref="AV943:BJ943">ROUND(INDEX(MO_II_NetIG,0,COLUMN())-INDEX(MO_RIS_NetIG,0,COLUMN()),6)</f>
        <v>0</v>
      </c>
      <c r="AW943" s="1166">
        <f t="shared" si="1922"/>
        <v>0</v>
      </c>
      <c r="AX943" s="1166">
        <f t="shared" si="1922"/>
        <v>0</v>
      </c>
      <c r="AY943" s="1166">
        <f t="shared" si="1922"/>
        <v>0</v>
      </c>
      <c r="AZ943" s="1166">
        <f t="shared" si="1922"/>
        <v>0</v>
      </c>
      <c r="BA943" s="1166">
        <f t="shared" si="1923" ref="BA943:BI943">ROUND(INDEX(MO_II_NetIG,0,COLUMN())-INDEX(MO_RIS_NetIG,0,COLUMN()),6)</f>
        <v>0</v>
      </c>
      <c r="BB943" s="1166">
        <f t="shared" si="1923"/>
        <v>0</v>
      </c>
      <c r="BC943" s="1166">
        <f t="shared" si="1923"/>
        <v>0</v>
      </c>
      <c r="BD943" s="1166">
        <f t="shared" si="1923"/>
        <v>0</v>
      </c>
      <c r="BE943" s="1166">
        <f t="shared" si="1923"/>
        <v>0</v>
      </c>
      <c r="BF943" s="1166">
        <f>ROUND(INDEX(MO_II_NetIG,0,COLUMN())-INDEX(MO_RIS_NetIG,0,COLUMN()),6)</f>
        <v>0</v>
      </c>
      <c r="BG943" s="1166">
        <f>ROUND(INDEX(MO_II_NetIG,0,COLUMN())-INDEX(MO_RIS_NetIG,0,COLUMN()),6)</f>
        <v>0</v>
      </c>
      <c r="BH943" s="1167">
        <f>ROUND(INDEX(MO_II_NetIG,0,COLUMN())-INDEX(MO_RIS_NetIG,0,COLUMN()),6)</f>
        <v>0</v>
      </c>
      <c r="BI943" s="1168">
        <f t="shared" si="1923"/>
        <v>0</v>
      </c>
      <c r="BJ943" s="1168">
        <f t="shared" si="1922"/>
        <v>0</v>
      </c>
      <c r="BK943" s="1168">
        <f t="shared" si="1924" ref="BK943:BR943">ROUND(INDEX(MO_II_NetIG,0,COLUMN())-INDEX(MO_RIS_NetIG,0,COLUMN()),6)</f>
        <v>0</v>
      </c>
      <c r="BL943" s="1168">
        <f t="shared" si="1924"/>
        <v>0</v>
      </c>
      <c r="BM943" s="1168">
        <f t="shared" si="1924"/>
        <v>0</v>
      </c>
      <c r="BN943" s="1168">
        <f t="shared" si="1924"/>
        <v>0</v>
      </c>
      <c r="BO943" s="1168">
        <f t="shared" si="1924"/>
        <v>0</v>
      </c>
      <c r="BP943" s="1166">
        <f t="shared" si="1924"/>
        <v>0</v>
      </c>
      <c r="BQ943" s="1166">
        <f t="shared" si="1924"/>
        <v>0</v>
      </c>
      <c r="BR943" s="1168">
        <f t="shared" si="1924"/>
        <v>0</v>
      </c>
      <c r="BS943" s="647"/>
    </row>
    <row r="944" spans="1:71" s="665" customFormat="1" ht="15">
      <c r="A944" s="647" t="s">
        <v>230</v>
      </c>
      <c r="B944" s="996"/>
      <c r="C944" s="1166">
        <f t="shared" si="1925" ref="C944:AH944">ROUND(INDEX(MO_UI_UnderwritingExpense,0,COLUMN())-INDEX(MO_UI_Loss,0,COLUMN())-INDEX(MO_UI_PAE,0,COLUMN())-INDEX(MO_UI_OOE,0,COLUMN())-C521,6)</f>
        <v>0</v>
      </c>
      <c r="D944" s="1166">
        <f t="shared" si="1925"/>
        <v>0</v>
      </c>
      <c r="E944" s="1166">
        <f t="shared" si="1925"/>
        <v>0</v>
      </c>
      <c r="F944" s="1166">
        <f t="shared" si="1925"/>
        <v>0</v>
      </c>
      <c r="G944" s="1166">
        <f t="shared" si="1925"/>
        <v>0</v>
      </c>
      <c r="H944" s="1166">
        <f t="shared" si="1925"/>
        <v>0</v>
      </c>
      <c r="I944" s="1166">
        <f t="shared" si="1925"/>
        <v>0</v>
      </c>
      <c r="J944" s="1166">
        <f t="shared" si="1925"/>
        <v>0</v>
      </c>
      <c r="K944" s="1166">
        <f t="shared" si="1925"/>
        <v>0</v>
      </c>
      <c r="L944" s="1166">
        <f t="shared" si="1925"/>
        <v>0</v>
      </c>
      <c r="M944" s="1166">
        <f t="shared" si="1925"/>
        <v>0</v>
      </c>
      <c r="N944" s="1166">
        <f t="shared" si="1925"/>
        <v>0</v>
      </c>
      <c r="O944" s="1166">
        <f t="shared" si="1925"/>
        <v>0</v>
      </c>
      <c r="P944" s="1166">
        <f t="shared" si="1925"/>
        <v>0</v>
      </c>
      <c r="Q944" s="1166">
        <f t="shared" si="1925"/>
        <v>0</v>
      </c>
      <c r="R944" s="1166">
        <f t="shared" si="1925"/>
        <v>0</v>
      </c>
      <c r="S944" s="1166">
        <f t="shared" si="1925"/>
        <v>0</v>
      </c>
      <c r="T944" s="1166">
        <f t="shared" si="1925"/>
        <v>0</v>
      </c>
      <c r="U944" s="1166">
        <f t="shared" si="1925"/>
        <v>0</v>
      </c>
      <c r="V944" s="1166">
        <f t="shared" si="1925"/>
        <v>0</v>
      </c>
      <c r="W944" s="1166">
        <f t="shared" si="1925"/>
        <v>0</v>
      </c>
      <c r="X944" s="1166">
        <f t="shared" si="1925"/>
        <v>0</v>
      </c>
      <c r="Y944" s="1166">
        <f t="shared" si="1925"/>
        <v>0</v>
      </c>
      <c r="Z944" s="1166">
        <f t="shared" si="1925"/>
        <v>0</v>
      </c>
      <c r="AA944" s="1166">
        <f t="shared" si="1925"/>
        <v>0</v>
      </c>
      <c r="AB944" s="1166">
        <f t="shared" si="1925"/>
        <v>0</v>
      </c>
      <c r="AC944" s="1166">
        <f t="shared" si="1925"/>
        <v>0</v>
      </c>
      <c r="AD944" s="1166">
        <f t="shared" si="1925"/>
        <v>0</v>
      </c>
      <c r="AE944" s="1166">
        <f t="shared" si="1925"/>
        <v>0</v>
      </c>
      <c r="AF944" s="1166">
        <f t="shared" si="1925"/>
        <v>0</v>
      </c>
      <c r="AG944" s="1166">
        <f t="shared" si="1925"/>
        <v>0</v>
      </c>
      <c r="AH944" s="1166">
        <f t="shared" si="1925"/>
        <v>0</v>
      </c>
      <c r="AI944" s="1166">
        <f t="shared" si="1926" ref="AI944:AW944">ROUND(INDEX(MO_UI_UnderwritingExpense,0,COLUMN())-INDEX(MO_UI_Loss,0,COLUMN())-INDEX(MO_UI_PAE,0,COLUMN())-INDEX(MO_UI_OOE,0,COLUMN())-AI521,6)</f>
        <v>0</v>
      </c>
      <c r="AJ944" s="1166">
        <f t="shared" si="1926"/>
        <v>0</v>
      </c>
      <c r="AK944" s="1166">
        <f t="shared" si="1926"/>
        <v>0</v>
      </c>
      <c r="AL944" s="1166">
        <f t="shared" si="1926"/>
        <v>0</v>
      </c>
      <c r="AM944" s="1166">
        <f t="shared" si="1926"/>
        <v>0</v>
      </c>
      <c r="AN944" s="1166">
        <f t="shared" si="1926"/>
        <v>0</v>
      </c>
      <c r="AO944" s="1166">
        <f t="shared" si="1926"/>
        <v>0</v>
      </c>
      <c r="AP944" s="1166">
        <f t="shared" si="1926"/>
        <v>0</v>
      </c>
      <c r="AQ944" s="1166">
        <f t="shared" si="1926"/>
        <v>0</v>
      </c>
      <c r="AR944" s="1166">
        <f t="shared" si="1926"/>
        <v>0</v>
      </c>
      <c r="AS944" s="1166">
        <f t="shared" si="1926"/>
        <v>0</v>
      </c>
      <c r="AT944" s="1166">
        <f t="shared" si="1926"/>
        <v>0</v>
      </c>
      <c r="AU944" s="1166">
        <f t="shared" si="1926"/>
        <v>0</v>
      </c>
      <c r="AV944" s="1166">
        <f t="shared" si="1926"/>
        <v>0</v>
      </c>
      <c r="AW944" s="1166">
        <f t="shared" si="1926"/>
        <v>0</v>
      </c>
      <c r="AX944" s="1166">
        <f t="shared" si="1927" ref="AX944:AZ944">ROUND(INDEX(MO_UI_UnderwritingExpense,0,COLUMN())-INDEX(MO_UI_Loss,0,COLUMN())-INDEX(MO_UI_PAE,0,COLUMN())-INDEX(MO_UI_OOE,0,COLUMN())-AX521,6)</f>
        <v>0</v>
      </c>
      <c r="AY944" s="1166">
        <f t="shared" si="1927"/>
        <v>0</v>
      </c>
      <c r="AZ944" s="1166">
        <f t="shared" si="1927"/>
        <v>0</v>
      </c>
      <c r="BA944" s="1166">
        <f t="shared" si="1928" ref="BA944:BR944">ROUND(INDEX(MO_UI_UnderwritingExpense,0,COLUMN())-INDEX(MO_UI_Loss,0,COLUMN())-INDEX(MO_UI_PAE,0,COLUMN())-INDEX(MO_UI_OOE,0,COLUMN())-BA521,6)</f>
        <v>0</v>
      </c>
      <c r="BB944" s="1166">
        <f t="shared" si="1928"/>
        <v>0</v>
      </c>
      <c r="BC944" s="1166">
        <f t="shared" si="1928"/>
        <v>0</v>
      </c>
      <c r="BD944" s="1166">
        <f t="shared" si="1928"/>
        <v>0</v>
      </c>
      <c r="BE944" s="1166">
        <f t="shared" si="1928"/>
        <v>0</v>
      </c>
      <c r="BF944" s="1166">
        <f>ROUND(INDEX(MO_UI_UnderwritingExpense,0,COLUMN())-INDEX(MO_UI_Loss,0,COLUMN())-INDEX(MO_UI_PAE,0,COLUMN())-INDEX(MO_UI_OOE,0,COLUMN())-BF521,6)</f>
        <v>0</v>
      </c>
      <c r="BG944" s="1166">
        <f>ROUND(INDEX(MO_UI_UnderwritingExpense,0,COLUMN())-INDEX(MO_UI_Loss,0,COLUMN())-INDEX(MO_UI_PAE,0,COLUMN())-INDEX(MO_UI_OOE,0,COLUMN())-BG521,6)</f>
        <v>0</v>
      </c>
      <c r="BH944" s="1167">
        <f>ROUND(INDEX(MO_UI_UnderwritingExpense,0,COLUMN())-INDEX(MO_UI_Loss,0,COLUMN())-INDEX(MO_UI_PAE,0,COLUMN())-INDEX(MO_UI_OOE,0,COLUMN())-BH521,6)</f>
        <v>0</v>
      </c>
      <c r="BI944" s="1168">
        <f t="shared" si="1928"/>
        <v>0</v>
      </c>
      <c r="BJ944" s="1168">
        <f t="shared" si="1928"/>
        <v>0</v>
      </c>
      <c r="BK944" s="1168">
        <f t="shared" si="1928"/>
        <v>0</v>
      </c>
      <c r="BL944" s="1168">
        <f t="shared" si="1928"/>
        <v>0</v>
      </c>
      <c r="BM944" s="1168">
        <f t="shared" si="1928"/>
        <v>0</v>
      </c>
      <c r="BN944" s="1168">
        <f t="shared" si="1928"/>
        <v>0</v>
      </c>
      <c r="BO944" s="1168">
        <f t="shared" si="1928"/>
        <v>0</v>
      </c>
      <c r="BP944" s="1166">
        <f t="shared" si="1928"/>
        <v>0</v>
      </c>
      <c r="BQ944" s="1166">
        <f t="shared" si="1928"/>
        <v>0</v>
      </c>
      <c r="BR944" s="1168">
        <f t="shared" si="1928"/>
        <v>0</v>
      </c>
      <c r="BS944" s="647"/>
    </row>
    <row r="945" spans="1:71" s="665" customFormat="1" ht="15">
      <c r="A945" s="647" t="s">
        <v>231</v>
      </c>
      <c r="B945" s="996"/>
      <c r="C945" s="1166">
        <f t="shared" si="1929" ref="C945:AM945">ROUND(INDEX(MO_DAC_DAC,0,COLUMN())-C903,6)</f>
        <v>0</v>
      </c>
      <c r="D945" s="1166">
        <f t="shared" si="1929"/>
        <v>0</v>
      </c>
      <c r="E945" s="1166">
        <f t="shared" si="1929"/>
        <v>0</v>
      </c>
      <c r="F945" s="1166">
        <f t="shared" si="1929"/>
        <v>0</v>
      </c>
      <c r="G945" s="1166">
        <f t="shared" si="1929"/>
        <v>0</v>
      </c>
      <c r="H945" s="1166">
        <f t="shared" si="1929"/>
        <v>0</v>
      </c>
      <c r="I945" s="1166">
        <f t="shared" si="1929"/>
        <v>0</v>
      </c>
      <c r="J945" s="1166">
        <f t="shared" si="1929"/>
        <v>0</v>
      </c>
      <c r="K945" s="1166">
        <f t="shared" si="1929"/>
        <v>0</v>
      </c>
      <c r="L945" s="1166">
        <f t="shared" si="1929"/>
        <v>0</v>
      </c>
      <c r="M945" s="1166">
        <f t="shared" si="1929"/>
        <v>0</v>
      </c>
      <c r="N945" s="1166">
        <f t="shared" si="1929"/>
        <v>0</v>
      </c>
      <c r="O945" s="1166">
        <f t="shared" si="1929"/>
        <v>0</v>
      </c>
      <c r="P945" s="1166">
        <f t="shared" si="1929"/>
        <v>0</v>
      </c>
      <c r="Q945" s="1166">
        <f t="shared" si="1929"/>
        <v>0</v>
      </c>
      <c r="R945" s="1166">
        <f t="shared" si="1929"/>
        <v>0</v>
      </c>
      <c r="S945" s="1166">
        <f t="shared" si="1929"/>
        <v>0</v>
      </c>
      <c r="T945" s="1166">
        <f t="shared" si="1929"/>
        <v>0</v>
      </c>
      <c r="U945" s="1166">
        <f t="shared" si="1929"/>
        <v>0</v>
      </c>
      <c r="V945" s="1166">
        <f t="shared" si="1929"/>
        <v>0</v>
      </c>
      <c r="W945" s="1166">
        <f t="shared" si="1929"/>
        <v>0</v>
      </c>
      <c r="X945" s="1166">
        <f t="shared" si="1929"/>
        <v>0</v>
      </c>
      <c r="Y945" s="1166">
        <f t="shared" si="1929"/>
        <v>0</v>
      </c>
      <c r="Z945" s="1166">
        <f t="shared" si="1929"/>
        <v>0</v>
      </c>
      <c r="AA945" s="1166">
        <f t="shared" si="1929"/>
        <v>0</v>
      </c>
      <c r="AB945" s="1166">
        <f t="shared" si="1929"/>
        <v>0</v>
      </c>
      <c r="AC945" s="1166">
        <f t="shared" si="1929"/>
        <v>0</v>
      </c>
      <c r="AD945" s="1166">
        <f t="shared" si="1929"/>
        <v>0</v>
      </c>
      <c r="AE945" s="1166">
        <f t="shared" si="1929"/>
        <v>0</v>
      </c>
      <c r="AF945" s="1166">
        <f t="shared" si="1929"/>
        <v>0</v>
      </c>
      <c r="AG945" s="1166">
        <f t="shared" si="1929"/>
        <v>0</v>
      </c>
      <c r="AH945" s="1166">
        <f t="shared" si="1929"/>
        <v>0</v>
      </c>
      <c r="AI945" s="1166">
        <f t="shared" si="1929"/>
        <v>0</v>
      </c>
      <c r="AJ945" s="1166">
        <f t="shared" si="1929"/>
        <v>0</v>
      </c>
      <c r="AK945" s="1166">
        <f t="shared" si="1929"/>
        <v>0</v>
      </c>
      <c r="AL945" s="1166">
        <f t="shared" si="1929"/>
        <v>0</v>
      </c>
      <c r="AM945" s="1166">
        <f t="shared" si="1929"/>
        <v>0</v>
      </c>
      <c r="AN945" s="1166">
        <f t="shared" si="1930" ref="AN945:AU945">ROUND(INDEX(MO_DAC_DAC,0,COLUMN())-AN903,6)</f>
        <v>0</v>
      </c>
      <c r="AO945" s="1166">
        <f t="shared" si="1930"/>
        <v>0</v>
      </c>
      <c r="AP945" s="1166">
        <f t="shared" si="1930"/>
        <v>0</v>
      </c>
      <c r="AQ945" s="1166">
        <f t="shared" si="1930"/>
        <v>0</v>
      </c>
      <c r="AR945" s="1166">
        <f t="shared" si="1930"/>
        <v>0</v>
      </c>
      <c r="AS945" s="1166">
        <f t="shared" si="1930"/>
        <v>0</v>
      </c>
      <c r="AT945" s="1166">
        <f t="shared" si="1930"/>
        <v>0</v>
      </c>
      <c r="AU945" s="1166">
        <f t="shared" si="1930"/>
        <v>0</v>
      </c>
      <c r="AV945" s="1166">
        <f t="shared" si="1931" ref="AV945:BJ945">ROUND(INDEX(MO_DAC_DAC,0,COLUMN())-AV903,6)</f>
        <v>0</v>
      </c>
      <c r="AW945" s="1166">
        <f t="shared" si="1931"/>
        <v>0</v>
      </c>
      <c r="AX945" s="1166">
        <f t="shared" si="1931"/>
        <v>0</v>
      </c>
      <c r="AY945" s="1166">
        <f t="shared" si="1931"/>
        <v>0</v>
      </c>
      <c r="AZ945" s="1166">
        <f t="shared" si="1931"/>
        <v>0</v>
      </c>
      <c r="BA945" s="1166">
        <f t="shared" si="1932" ref="BA945:BI945">ROUND(INDEX(MO_DAC_DAC,0,COLUMN())-BA903,6)</f>
        <v>0</v>
      </c>
      <c r="BB945" s="1166">
        <f t="shared" si="1932"/>
        <v>0</v>
      </c>
      <c r="BC945" s="1166">
        <f t="shared" si="1932"/>
        <v>0</v>
      </c>
      <c r="BD945" s="1166">
        <f t="shared" si="1932"/>
        <v>0</v>
      </c>
      <c r="BE945" s="1166">
        <f t="shared" si="1932"/>
        <v>0</v>
      </c>
      <c r="BF945" s="1166">
        <f>ROUND(INDEX(MO_DAC_DAC,0,COLUMN())-BF903,6)</f>
        <v>0</v>
      </c>
      <c r="BG945" s="1166">
        <f>ROUND(INDEX(MO_DAC_DAC,0,COLUMN())-BG903,6)</f>
        <v>0</v>
      </c>
      <c r="BH945" s="1167">
        <f>ROUND(INDEX(MO_DAC_DAC,0,COLUMN())-BH903,6)</f>
        <v>0</v>
      </c>
      <c r="BI945" s="1168">
        <f t="shared" si="1932"/>
        <v>0</v>
      </c>
      <c r="BJ945" s="1168">
        <f t="shared" si="1931"/>
        <v>0</v>
      </c>
      <c r="BK945" s="1168">
        <f t="shared" si="1933" ref="BK945:BR945">ROUND(INDEX(MO_DAC_DAC,0,COLUMN())-BK903,6)</f>
        <v>0</v>
      </c>
      <c r="BL945" s="1168">
        <f t="shared" si="1933"/>
        <v>0</v>
      </c>
      <c r="BM945" s="1168">
        <f t="shared" si="1933"/>
        <v>0</v>
      </c>
      <c r="BN945" s="1168">
        <f t="shared" si="1933"/>
        <v>0</v>
      </c>
      <c r="BO945" s="1168">
        <f t="shared" si="1933"/>
        <v>0</v>
      </c>
      <c r="BP945" s="1166">
        <f t="shared" si="1933"/>
        <v>0</v>
      </c>
      <c r="BQ945" s="1166">
        <f t="shared" si="1933"/>
        <v>0</v>
      </c>
      <c r="BR945" s="1168">
        <f t="shared" si="1933"/>
        <v>0</v>
      </c>
      <c r="BS945" s="647"/>
    </row>
    <row r="946" spans="1:71" s="665" customFormat="1" ht="15">
      <c r="A946" s="647" t="s">
        <v>232</v>
      </c>
      <c r="B946" s="996"/>
      <c r="C946" s="1166">
        <f t="shared" si="1934" ref="C946:AM946">ROUND(INDEX(MO_UPR_GUPR,0,COLUMN())-C913,6)</f>
        <v>0</v>
      </c>
      <c r="D946" s="1166">
        <f t="shared" si="1934"/>
        <v>0</v>
      </c>
      <c r="E946" s="1166">
        <f t="shared" si="1934"/>
        <v>0</v>
      </c>
      <c r="F946" s="1166">
        <f t="shared" si="1934"/>
        <v>0</v>
      </c>
      <c r="G946" s="1166">
        <f t="shared" si="1934"/>
        <v>0</v>
      </c>
      <c r="H946" s="1166">
        <f t="shared" si="1934"/>
        <v>0</v>
      </c>
      <c r="I946" s="1166">
        <f t="shared" si="1934"/>
        <v>0</v>
      </c>
      <c r="J946" s="1166">
        <f t="shared" si="1934"/>
        <v>0</v>
      </c>
      <c r="K946" s="1166">
        <f t="shared" si="1934"/>
        <v>0</v>
      </c>
      <c r="L946" s="1166">
        <f t="shared" si="1934"/>
        <v>0</v>
      </c>
      <c r="M946" s="1166">
        <f t="shared" si="1934"/>
        <v>0</v>
      </c>
      <c r="N946" s="1166">
        <f t="shared" si="1934"/>
        <v>0</v>
      </c>
      <c r="O946" s="1166">
        <f t="shared" si="1934"/>
        <v>0</v>
      </c>
      <c r="P946" s="1166">
        <f t="shared" si="1934"/>
        <v>0</v>
      </c>
      <c r="Q946" s="1166">
        <f t="shared" si="1934"/>
        <v>0</v>
      </c>
      <c r="R946" s="1166">
        <f t="shared" si="1934"/>
        <v>0</v>
      </c>
      <c r="S946" s="1166">
        <f t="shared" si="1934"/>
        <v>0</v>
      </c>
      <c r="T946" s="1166">
        <f t="shared" si="1934"/>
        <v>0</v>
      </c>
      <c r="U946" s="1166">
        <f t="shared" si="1934"/>
        <v>0</v>
      </c>
      <c r="V946" s="1166">
        <f t="shared" si="1934"/>
        <v>0</v>
      </c>
      <c r="W946" s="1166">
        <f t="shared" si="1934"/>
        <v>0</v>
      </c>
      <c r="X946" s="1166">
        <f t="shared" si="1934"/>
        <v>0</v>
      </c>
      <c r="Y946" s="1166">
        <f t="shared" si="1934"/>
        <v>0</v>
      </c>
      <c r="Z946" s="1166">
        <f t="shared" si="1934"/>
        <v>0</v>
      </c>
      <c r="AA946" s="1166">
        <f t="shared" si="1934"/>
        <v>0</v>
      </c>
      <c r="AB946" s="1166">
        <f t="shared" si="1934"/>
        <v>0</v>
      </c>
      <c r="AC946" s="1166">
        <f t="shared" si="1934"/>
        <v>0</v>
      </c>
      <c r="AD946" s="1166">
        <f t="shared" si="1934"/>
        <v>0</v>
      </c>
      <c r="AE946" s="1166">
        <f t="shared" si="1934"/>
        <v>0</v>
      </c>
      <c r="AF946" s="1166">
        <f t="shared" si="1934"/>
        <v>0</v>
      </c>
      <c r="AG946" s="1166">
        <f t="shared" si="1934"/>
        <v>0</v>
      </c>
      <c r="AH946" s="1166">
        <f t="shared" si="1934"/>
        <v>0</v>
      </c>
      <c r="AI946" s="1166">
        <f t="shared" si="1934"/>
        <v>0</v>
      </c>
      <c r="AJ946" s="1166">
        <f t="shared" si="1934"/>
        <v>0</v>
      </c>
      <c r="AK946" s="1166">
        <f t="shared" si="1934"/>
        <v>0</v>
      </c>
      <c r="AL946" s="1166">
        <f t="shared" si="1934"/>
        <v>0</v>
      </c>
      <c r="AM946" s="1166">
        <f t="shared" si="1934"/>
        <v>0</v>
      </c>
      <c r="AN946" s="1166">
        <f t="shared" si="1935" ref="AN946:AU946">ROUND(INDEX(MO_UPR_GUPR,0,COLUMN())-AN913,6)</f>
        <v>0</v>
      </c>
      <c r="AO946" s="1166">
        <f t="shared" si="1935"/>
        <v>0</v>
      </c>
      <c r="AP946" s="1166">
        <f t="shared" si="1935"/>
        <v>0</v>
      </c>
      <c r="AQ946" s="1166">
        <f t="shared" si="1935"/>
        <v>0</v>
      </c>
      <c r="AR946" s="1166">
        <f t="shared" si="1935"/>
        <v>0</v>
      </c>
      <c r="AS946" s="1166">
        <f t="shared" si="1935"/>
        <v>0</v>
      </c>
      <c r="AT946" s="1166">
        <f t="shared" si="1935"/>
        <v>0</v>
      </c>
      <c r="AU946" s="1166">
        <f t="shared" si="1935"/>
        <v>0</v>
      </c>
      <c r="AV946" s="1166">
        <f t="shared" si="1936" ref="AV946:BA946">ROUND(INDEX(MO_UPR_GUPR,0,COLUMN())-AV913,6)</f>
        <v>0</v>
      </c>
      <c r="AW946" s="1166">
        <f t="shared" si="1936"/>
        <v>0</v>
      </c>
      <c r="AX946" s="1166">
        <f t="shared" si="1936"/>
        <v>0</v>
      </c>
      <c r="AY946" s="1166">
        <f t="shared" si="1936"/>
        <v>0</v>
      </c>
      <c r="AZ946" s="1166">
        <f t="shared" si="1936"/>
        <v>0</v>
      </c>
      <c r="BA946" s="1166">
        <f t="shared" si="1936"/>
        <v>0</v>
      </c>
      <c r="BB946" s="1166">
        <f t="shared" si="1937" ref="BB946:BG946">ROUND(INDEX(MO_UPR_GUPR,0,COLUMN())-BB913,6)</f>
        <v>0</v>
      </c>
      <c r="BC946" s="1166">
        <f t="shared" si="1937"/>
        <v>0</v>
      </c>
      <c r="BD946" s="1166">
        <f t="shared" si="1937"/>
        <v>0</v>
      </c>
      <c r="BE946" s="1166">
        <f t="shared" si="1937"/>
        <v>0</v>
      </c>
      <c r="BF946" s="1166">
        <f t="shared" si="1937"/>
        <v>0</v>
      </c>
      <c r="BG946" s="1166">
        <f t="shared" si="1937"/>
        <v>0</v>
      </c>
      <c r="BH946" s="1167">
        <f>ROUND(INDEX(MO_UPR_GUPR,0,COLUMN())-BH913,6)</f>
        <v>0</v>
      </c>
      <c r="BI946" s="1168"/>
      <c r="BJ946" s="1168"/>
      <c r="BK946" s="1168"/>
      <c r="BL946" s="1168"/>
      <c r="BM946" s="1168"/>
      <c r="BN946" s="1168"/>
      <c r="BO946" s="1168"/>
      <c r="BP946" s="1166"/>
      <c r="BQ946" s="1166"/>
      <c r="BR946" s="1168"/>
      <c r="BS946" s="647"/>
    </row>
    <row r="947" spans="1:71" s="665" customFormat="1" ht="15">
      <c r="A947" s="647" t="s">
        <v>233</v>
      </c>
      <c r="B947" s="996"/>
      <c r="C947" s="1166">
        <f t="shared" si="1938" ref="C947:AM947">ROUND(INDEX(MO_UPR_CUP,0,COLUMN())-C902,6)</f>
        <v>0</v>
      </c>
      <c r="D947" s="1166">
        <f t="shared" si="1938"/>
        <v>0</v>
      </c>
      <c r="E947" s="1166">
        <f t="shared" si="1938"/>
        <v>0</v>
      </c>
      <c r="F947" s="1166">
        <f t="shared" si="1938"/>
        <v>0</v>
      </c>
      <c r="G947" s="1166">
        <f t="shared" si="1938"/>
        <v>0</v>
      </c>
      <c r="H947" s="1166">
        <f t="shared" si="1938"/>
        <v>0</v>
      </c>
      <c r="I947" s="1166">
        <f t="shared" si="1938"/>
        <v>0</v>
      </c>
      <c r="J947" s="1166">
        <f t="shared" si="1938"/>
        <v>0</v>
      </c>
      <c r="K947" s="1166">
        <f t="shared" si="1938"/>
        <v>0</v>
      </c>
      <c r="L947" s="1166">
        <f t="shared" si="1938"/>
        <v>0</v>
      </c>
      <c r="M947" s="1166">
        <f t="shared" si="1938"/>
        <v>0</v>
      </c>
      <c r="N947" s="1166">
        <f t="shared" si="1938"/>
        <v>0</v>
      </c>
      <c r="O947" s="1166">
        <f t="shared" si="1938"/>
        <v>0</v>
      </c>
      <c r="P947" s="1166">
        <f t="shared" si="1938"/>
        <v>0</v>
      </c>
      <c r="Q947" s="1166">
        <f t="shared" si="1938"/>
        <v>0</v>
      </c>
      <c r="R947" s="1166">
        <f t="shared" si="1938"/>
        <v>0</v>
      </c>
      <c r="S947" s="1166">
        <f t="shared" si="1938"/>
        <v>0</v>
      </c>
      <c r="T947" s="1166">
        <f t="shared" si="1938"/>
        <v>0</v>
      </c>
      <c r="U947" s="1166">
        <f t="shared" si="1938"/>
        <v>0</v>
      </c>
      <c r="V947" s="1166">
        <f t="shared" si="1938"/>
        <v>0</v>
      </c>
      <c r="W947" s="1166">
        <f t="shared" si="1938"/>
        <v>0</v>
      </c>
      <c r="X947" s="1166">
        <f t="shared" si="1938"/>
        <v>0</v>
      </c>
      <c r="Y947" s="1166">
        <f t="shared" si="1938"/>
        <v>0</v>
      </c>
      <c r="Z947" s="1166">
        <f t="shared" si="1938"/>
        <v>0</v>
      </c>
      <c r="AA947" s="1166">
        <f t="shared" si="1938"/>
        <v>0</v>
      </c>
      <c r="AB947" s="1166">
        <f t="shared" si="1938"/>
        <v>0</v>
      </c>
      <c r="AC947" s="1166">
        <f t="shared" si="1938"/>
        <v>0</v>
      </c>
      <c r="AD947" s="1166">
        <f t="shared" si="1938"/>
        <v>0</v>
      </c>
      <c r="AE947" s="1166">
        <f t="shared" si="1938"/>
        <v>0</v>
      </c>
      <c r="AF947" s="1166">
        <f t="shared" si="1938"/>
        <v>0</v>
      </c>
      <c r="AG947" s="1166">
        <f t="shared" si="1938"/>
        <v>0</v>
      </c>
      <c r="AH947" s="1166">
        <f t="shared" si="1938"/>
        <v>0</v>
      </c>
      <c r="AI947" s="1166">
        <f t="shared" si="1938"/>
        <v>0</v>
      </c>
      <c r="AJ947" s="1166">
        <f t="shared" si="1938"/>
        <v>0</v>
      </c>
      <c r="AK947" s="1166">
        <f t="shared" si="1938"/>
        <v>0</v>
      </c>
      <c r="AL947" s="1166">
        <f t="shared" si="1938"/>
        <v>0</v>
      </c>
      <c r="AM947" s="1166">
        <f t="shared" si="1938"/>
        <v>0</v>
      </c>
      <c r="AN947" s="1166">
        <f t="shared" si="1939" ref="AN947:AU947">ROUND(INDEX(MO_UPR_CUP,0,COLUMN())-AN902,6)</f>
        <v>0</v>
      </c>
      <c r="AO947" s="1166">
        <f t="shared" si="1939"/>
        <v>0</v>
      </c>
      <c r="AP947" s="1166">
        <f t="shared" si="1939"/>
        <v>0</v>
      </c>
      <c r="AQ947" s="1166">
        <f t="shared" si="1939"/>
        <v>0</v>
      </c>
      <c r="AR947" s="1166">
        <f t="shared" si="1939"/>
        <v>0</v>
      </c>
      <c r="AS947" s="1166">
        <f t="shared" si="1939"/>
        <v>0</v>
      </c>
      <c r="AT947" s="1166">
        <f t="shared" si="1939"/>
        <v>0</v>
      </c>
      <c r="AU947" s="1166">
        <f t="shared" si="1939"/>
        <v>0</v>
      </c>
      <c r="AV947" s="1166">
        <f t="shared" si="1940" ref="AV947:BA947">ROUND(INDEX(MO_UPR_CUP,0,COLUMN())-AV902,6)</f>
        <v>0</v>
      </c>
      <c r="AW947" s="1166">
        <f t="shared" si="1940"/>
        <v>0</v>
      </c>
      <c r="AX947" s="1166">
        <f t="shared" si="1940"/>
        <v>0</v>
      </c>
      <c r="AY947" s="1166">
        <f t="shared" si="1940"/>
        <v>0</v>
      </c>
      <c r="AZ947" s="1166">
        <f t="shared" si="1940"/>
        <v>0</v>
      </c>
      <c r="BA947" s="1166">
        <f t="shared" si="1940"/>
        <v>0</v>
      </c>
      <c r="BB947" s="1166">
        <f t="shared" si="1941" ref="BB947:BG947">ROUND(INDEX(MO_UPR_CUP,0,COLUMN())-BB902,6)</f>
        <v>0</v>
      </c>
      <c r="BC947" s="1166">
        <f t="shared" si="1941"/>
        <v>0</v>
      </c>
      <c r="BD947" s="1166">
        <f t="shared" si="1941"/>
        <v>0</v>
      </c>
      <c r="BE947" s="1166">
        <f t="shared" si="1941"/>
        <v>0</v>
      </c>
      <c r="BF947" s="1166">
        <f t="shared" si="1941"/>
        <v>0</v>
      </c>
      <c r="BG947" s="1166">
        <f t="shared" si="1941"/>
        <v>0</v>
      </c>
      <c r="BH947" s="1167">
        <f>ROUND(INDEX(MO_UPR_CUP,0,COLUMN())-BH902,6)</f>
        <v>0</v>
      </c>
      <c r="BI947" s="1168"/>
      <c r="BJ947" s="1168"/>
      <c r="BK947" s="1168"/>
      <c r="BL947" s="1168"/>
      <c r="BM947" s="1168"/>
      <c r="BN947" s="1168"/>
      <c r="BO947" s="1168"/>
      <c r="BP947" s="1166"/>
      <c r="BQ947" s="1166"/>
      <c r="BR947" s="1168"/>
      <c r="BS947" s="647"/>
    </row>
    <row r="948" spans="1:71" s="665" customFormat="1" ht="15">
      <c r="A948" s="647" t="s">
        <v>234</v>
      </c>
      <c r="B948" s="996"/>
      <c r="C948" s="1166">
        <f t="shared" si="1942" ref="C948:AM948">ROUND(INDEX(MO_LR_GLR,0,COLUMN())-C914,6)</f>
        <v>0</v>
      </c>
      <c r="D948" s="1166">
        <f t="shared" si="1942"/>
        <v>0</v>
      </c>
      <c r="E948" s="1166">
        <f t="shared" si="1942"/>
        <v>0</v>
      </c>
      <c r="F948" s="1166">
        <f t="shared" si="1942"/>
        <v>0</v>
      </c>
      <c r="G948" s="1166">
        <f t="shared" si="1942"/>
        <v>0</v>
      </c>
      <c r="H948" s="1166">
        <f t="shared" si="1942"/>
        <v>0</v>
      </c>
      <c r="I948" s="1166">
        <f t="shared" si="1942"/>
        <v>0</v>
      </c>
      <c r="J948" s="1166">
        <f t="shared" si="1942"/>
        <v>0</v>
      </c>
      <c r="K948" s="1166">
        <f t="shared" si="1942"/>
        <v>0</v>
      </c>
      <c r="L948" s="1166">
        <f t="shared" si="1942"/>
        <v>0</v>
      </c>
      <c r="M948" s="1166">
        <f t="shared" si="1942"/>
        <v>0</v>
      </c>
      <c r="N948" s="1166">
        <f t="shared" si="1942"/>
        <v>0</v>
      </c>
      <c r="O948" s="1166">
        <f t="shared" si="1942"/>
        <v>0</v>
      </c>
      <c r="P948" s="1166">
        <f t="shared" si="1942"/>
        <v>0</v>
      </c>
      <c r="Q948" s="1166">
        <f t="shared" si="1942"/>
        <v>0</v>
      </c>
      <c r="R948" s="1166">
        <f t="shared" si="1942"/>
        <v>0</v>
      </c>
      <c r="S948" s="1166">
        <f t="shared" si="1942"/>
        <v>0</v>
      </c>
      <c r="T948" s="1166">
        <f t="shared" si="1942"/>
        <v>0</v>
      </c>
      <c r="U948" s="1166">
        <f t="shared" si="1942"/>
        <v>0</v>
      </c>
      <c r="V948" s="1166">
        <f t="shared" si="1942"/>
        <v>0</v>
      </c>
      <c r="W948" s="1166">
        <f t="shared" si="1942"/>
        <v>0</v>
      </c>
      <c r="X948" s="1166">
        <f t="shared" si="1942"/>
        <v>0</v>
      </c>
      <c r="Y948" s="1166">
        <f t="shared" si="1942"/>
        <v>0</v>
      </c>
      <c r="Z948" s="1166">
        <f t="shared" si="1942"/>
        <v>0</v>
      </c>
      <c r="AA948" s="1166">
        <f t="shared" si="1942"/>
        <v>0</v>
      </c>
      <c r="AB948" s="1166">
        <f t="shared" si="1942"/>
        <v>0</v>
      </c>
      <c r="AC948" s="1166">
        <f t="shared" si="1942"/>
        <v>0</v>
      </c>
      <c r="AD948" s="1166">
        <f t="shared" si="1942"/>
        <v>0</v>
      </c>
      <c r="AE948" s="1166">
        <f t="shared" si="1942"/>
        <v>0</v>
      </c>
      <c r="AF948" s="1166">
        <f t="shared" si="1942"/>
        <v>0</v>
      </c>
      <c r="AG948" s="1166">
        <f t="shared" si="1942"/>
        <v>0</v>
      </c>
      <c r="AH948" s="1166">
        <f t="shared" si="1942"/>
        <v>0</v>
      </c>
      <c r="AI948" s="1166">
        <f t="shared" si="1942"/>
        <v>0</v>
      </c>
      <c r="AJ948" s="1166">
        <f t="shared" si="1942"/>
        <v>0</v>
      </c>
      <c r="AK948" s="1166">
        <f t="shared" si="1942"/>
        <v>0</v>
      </c>
      <c r="AL948" s="1166">
        <f t="shared" si="1942"/>
        <v>0</v>
      </c>
      <c r="AM948" s="1166">
        <f t="shared" si="1942"/>
        <v>0</v>
      </c>
      <c r="AN948" s="1166">
        <f t="shared" si="1943" ref="AN948:AU948">ROUND(INDEX(MO_LR_GLR,0,COLUMN())-AN914,6)</f>
        <v>0</v>
      </c>
      <c r="AO948" s="1166">
        <f t="shared" si="1943"/>
        <v>0</v>
      </c>
      <c r="AP948" s="1166">
        <f t="shared" si="1943"/>
        <v>0</v>
      </c>
      <c r="AQ948" s="1166">
        <f t="shared" si="1943"/>
        <v>0</v>
      </c>
      <c r="AR948" s="1166">
        <f t="shared" si="1943"/>
        <v>0</v>
      </c>
      <c r="AS948" s="1166">
        <f t="shared" si="1943"/>
        <v>0</v>
      </c>
      <c r="AT948" s="1166">
        <f t="shared" si="1943"/>
        <v>0</v>
      </c>
      <c r="AU948" s="1166">
        <f t="shared" si="1943"/>
        <v>0</v>
      </c>
      <c r="AV948" s="1166">
        <f t="shared" si="1944" ref="AV948:BA948">ROUND(INDEX(MO_LR_GLR,0,COLUMN())-AV914,6)</f>
        <v>0</v>
      </c>
      <c r="AW948" s="1166">
        <f t="shared" si="1944"/>
        <v>0</v>
      </c>
      <c r="AX948" s="1166">
        <f t="shared" si="1944"/>
        <v>0</v>
      </c>
      <c r="AY948" s="1166">
        <f t="shared" si="1944"/>
        <v>0</v>
      </c>
      <c r="AZ948" s="1166">
        <f t="shared" si="1944"/>
        <v>0</v>
      </c>
      <c r="BA948" s="1166">
        <f t="shared" si="1944"/>
        <v>0</v>
      </c>
      <c r="BB948" s="1166">
        <f t="shared" si="1945" ref="BB948:BG948">ROUND(INDEX(MO_LR_GLR,0,COLUMN())-BB914,6)</f>
        <v>0</v>
      </c>
      <c r="BC948" s="1166">
        <f t="shared" si="1945"/>
        <v>0</v>
      </c>
      <c r="BD948" s="1166">
        <f t="shared" si="1945"/>
        <v>0</v>
      </c>
      <c r="BE948" s="1166">
        <f t="shared" si="1945"/>
        <v>0</v>
      </c>
      <c r="BF948" s="1166">
        <f t="shared" si="1945"/>
        <v>0</v>
      </c>
      <c r="BG948" s="1166">
        <f t="shared" si="1945"/>
        <v>0</v>
      </c>
      <c r="BH948" s="1167">
        <f>ROUND(INDEX(MO_LR_GLR,0,COLUMN())-BH914,6)</f>
        <v>0</v>
      </c>
      <c r="BI948" s="1168"/>
      <c r="BJ948" s="1168"/>
      <c r="BK948" s="1168"/>
      <c r="BL948" s="1168"/>
      <c r="BM948" s="1168"/>
      <c r="BN948" s="1168"/>
      <c r="BO948" s="1168"/>
      <c r="BP948" s="1166"/>
      <c r="BQ948" s="1166"/>
      <c r="BR948" s="1168"/>
      <c r="BS948" s="647"/>
    </row>
    <row r="949" spans="1:71" s="665" customFormat="1" ht="15">
      <c r="A949" s="647" t="s">
        <v>235</v>
      </c>
      <c r="B949" s="996"/>
      <c r="C949" s="1166"/>
      <c r="D949" s="1166"/>
      <c r="E949" s="1166"/>
      <c r="F949" s="1166"/>
      <c r="G949" s="1166"/>
      <c r="H949" s="1166"/>
      <c r="I949" s="1166"/>
      <c r="J949" s="1166"/>
      <c r="K949" s="1166"/>
      <c r="L949" s="1166"/>
      <c r="M949" s="1166"/>
      <c r="N949" s="1166"/>
      <c r="O949" s="1166"/>
      <c r="P949" s="1166"/>
      <c r="Q949" s="1166"/>
      <c r="R949" s="1166"/>
      <c r="S949" s="1166"/>
      <c r="T949" s="1166"/>
      <c r="U949" s="1166"/>
      <c r="V949" s="1166"/>
      <c r="W949" s="1166"/>
      <c r="X949" s="1166"/>
      <c r="Y949" s="1166"/>
      <c r="Z949" s="1166"/>
      <c r="AA949" s="1166"/>
      <c r="AB949" s="1166"/>
      <c r="AC949" s="1166"/>
      <c r="AD949" s="1166"/>
      <c r="AE949" s="1166"/>
      <c r="AF949" s="1166"/>
      <c r="AG949" s="1166"/>
      <c r="AH949" s="1166"/>
      <c r="AI949" s="1166"/>
      <c r="AJ949" s="1166"/>
      <c r="AK949" s="1166"/>
      <c r="AL949" s="1166"/>
      <c r="AM949" s="1166"/>
      <c r="AN949" s="1166"/>
      <c r="AO949" s="1166"/>
      <c r="AP949" s="1166"/>
      <c r="AQ949" s="1166"/>
      <c r="AR949" s="1166"/>
      <c r="AS949" s="1166"/>
      <c r="AT949" s="1166"/>
      <c r="AU949" s="1166"/>
      <c r="AV949" s="1166"/>
      <c r="AW949" s="1166"/>
      <c r="AX949" s="1166"/>
      <c r="AY949" s="1166"/>
      <c r="AZ949" s="1166"/>
      <c r="BA949" s="1166"/>
      <c r="BB949" s="1166"/>
      <c r="BC949" s="1166"/>
      <c r="BD949" s="1166"/>
      <c r="BE949" s="1166"/>
      <c r="BF949" s="1166"/>
      <c r="BG949" s="1166"/>
      <c r="BH949" s="1167"/>
      <c r="BI949" s="1168"/>
      <c r="BJ949" s="1168"/>
      <c r="BK949" s="1168"/>
      <c r="BL949" s="1168"/>
      <c r="BM949" s="1168"/>
      <c r="BN949" s="1168"/>
      <c r="BO949" s="1168"/>
      <c r="BP949" s="1166"/>
      <c r="BQ949" s="1166"/>
      <c r="BR949" s="1168"/>
      <c r="BS949" s="647"/>
    </row>
    <row r="950" spans="1:71" s="665" customFormat="1" ht="15">
      <c r="A950" s="647" t="s">
        <v>236</v>
      </c>
      <c r="B950" s="996"/>
      <c r="C950" s="1166">
        <f t="shared" si="1946" ref="C950:AN950">ROUND(INDEX(MO_BSS_NTR,0,COLUMN())-INDEX(MO_UPR_NUPR,0,COLUMN())-INDEX(MO_LR_NLR,0,COLUMN()),6)</f>
        <v>0</v>
      </c>
      <c r="D950" s="1166">
        <f t="shared" si="1946"/>
        <v>0</v>
      </c>
      <c r="E950" s="1166">
        <f t="shared" si="1946"/>
        <v>0</v>
      </c>
      <c r="F950" s="1166">
        <f t="shared" si="1946"/>
        <v>0</v>
      </c>
      <c r="G950" s="1166">
        <f t="shared" si="1946"/>
        <v>0</v>
      </c>
      <c r="H950" s="1166">
        <f t="shared" si="1946"/>
        <v>0</v>
      </c>
      <c r="I950" s="1166">
        <f t="shared" si="1946"/>
        <v>0</v>
      </c>
      <c r="J950" s="1166">
        <f t="shared" si="1946"/>
        <v>0</v>
      </c>
      <c r="K950" s="1166">
        <f t="shared" si="1946"/>
        <v>0</v>
      </c>
      <c r="L950" s="1166">
        <f t="shared" si="1946"/>
        <v>0</v>
      </c>
      <c r="M950" s="1166">
        <f t="shared" si="1946"/>
        <v>0</v>
      </c>
      <c r="N950" s="1166">
        <f t="shared" si="1946"/>
        <v>0</v>
      </c>
      <c r="O950" s="1166">
        <f t="shared" si="1946"/>
        <v>0</v>
      </c>
      <c r="P950" s="1166">
        <f t="shared" si="1946"/>
        <v>0</v>
      </c>
      <c r="Q950" s="1166">
        <f t="shared" si="1946"/>
        <v>0</v>
      </c>
      <c r="R950" s="1166">
        <f t="shared" si="1946"/>
        <v>0</v>
      </c>
      <c r="S950" s="1166">
        <f t="shared" si="1946"/>
        <v>0</v>
      </c>
      <c r="T950" s="1166">
        <f t="shared" si="1946"/>
        <v>0</v>
      </c>
      <c r="U950" s="1166">
        <f t="shared" si="1946"/>
        <v>0</v>
      </c>
      <c r="V950" s="1166">
        <f t="shared" si="1946"/>
        <v>0</v>
      </c>
      <c r="W950" s="1166">
        <f t="shared" si="1946"/>
        <v>0</v>
      </c>
      <c r="X950" s="1166">
        <f t="shared" si="1946"/>
        <v>0</v>
      </c>
      <c r="Y950" s="1166">
        <f t="shared" si="1946"/>
        <v>0</v>
      </c>
      <c r="Z950" s="1166">
        <f t="shared" si="1946"/>
        <v>0</v>
      </c>
      <c r="AA950" s="1166">
        <f t="shared" si="1946"/>
        <v>0</v>
      </c>
      <c r="AB950" s="1166">
        <f t="shared" si="1946"/>
        <v>0</v>
      </c>
      <c r="AC950" s="1166">
        <f t="shared" si="1946"/>
        <v>0</v>
      </c>
      <c r="AD950" s="1166">
        <f t="shared" si="1946"/>
        <v>0</v>
      </c>
      <c r="AE950" s="1166">
        <f t="shared" si="1946"/>
        <v>0</v>
      </c>
      <c r="AF950" s="1166">
        <f t="shared" si="1946"/>
        <v>0</v>
      </c>
      <c r="AG950" s="1166">
        <f t="shared" si="1946"/>
        <v>0</v>
      </c>
      <c r="AH950" s="1166">
        <f t="shared" si="1946"/>
        <v>0</v>
      </c>
      <c r="AI950" s="1166">
        <f t="shared" si="1946"/>
        <v>0</v>
      </c>
      <c r="AJ950" s="1166">
        <f t="shared" si="1946"/>
        <v>0</v>
      </c>
      <c r="AK950" s="1166">
        <f t="shared" si="1946"/>
        <v>0</v>
      </c>
      <c r="AL950" s="1166">
        <f t="shared" si="1946"/>
        <v>0</v>
      </c>
      <c r="AM950" s="1166">
        <f t="shared" si="1946"/>
        <v>0</v>
      </c>
      <c r="AN950" s="1166">
        <f t="shared" si="1946"/>
        <v>0</v>
      </c>
      <c r="AO950" s="1166">
        <f t="shared" si="1947" ref="AO950:AU950">ROUND(INDEX(MO_BSS_NTR,0,COLUMN())-INDEX(MO_UPR_NUPR,0,COLUMN())-INDEX(MO_LR_NLR,0,COLUMN()),6)</f>
        <v>0</v>
      </c>
      <c r="AP950" s="1166">
        <f t="shared" si="1947"/>
        <v>0</v>
      </c>
      <c r="AQ950" s="1166">
        <f t="shared" si="1947"/>
        <v>0</v>
      </c>
      <c r="AR950" s="1166">
        <f t="shared" si="1947"/>
        <v>0</v>
      </c>
      <c r="AS950" s="1166">
        <f t="shared" si="1947"/>
        <v>0</v>
      </c>
      <c r="AT950" s="1166">
        <f t="shared" si="1947"/>
        <v>0</v>
      </c>
      <c r="AU950" s="1166">
        <f t="shared" si="1947"/>
        <v>0</v>
      </c>
      <c r="AV950" s="1166">
        <f t="shared" si="1948" ref="AV950:BA950">ROUND(INDEX(MO_BSS_NTR,0,COLUMN())-INDEX(MO_UPR_NUPR,0,COLUMN())-INDEX(MO_LR_NLR,0,COLUMN()),6)</f>
        <v>0</v>
      </c>
      <c r="AW950" s="1166">
        <f t="shared" si="1948"/>
        <v>0</v>
      </c>
      <c r="AX950" s="1166">
        <f t="shared" si="1948"/>
        <v>0</v>
      </c>
      <c r="AY950" s="1166">
        <f t="shared" si="1948"/>
        <v>0</v>
      </c>
      <c r="AZ950" s="1166">
        <f t="shared" si="1948"/>
        <v>0</v>
      </c>
      <c r="BA950" s="1166">
        <f t="shared" si="1948"/>
        <v>0</v>
      </c>
      <c r="BB950" s="1166">
        <f t="shared" si="1949" ref="BB950:BG950">ROUND(INDEX(MO_BSS_NTR,0,COLUMN())-INDEX(MO_UPR_NUPR,0,COLUMN())-INDEX(MO_LR_NLR,0,COLUMN()),6)</f>
        <v>0</v>
      </c>
      <c r="BC950" s="1166">
        <f t="shared" si="1949"/>
        <v>0</v>
      </c>
      <c r="BD950" s="1166">
        <f t="shared" si="1949"/>
        <v>0</v>
      </c>
      <c r="BE950" s="1166">
        <f t="shared" si="1949"/>
        <v>0</v>
      </c>
      <c r="BF950" s="1166">
        <f t="shared" si="1949"/>
        <v>0</v>
      </c>
      <c r="BG950" s="1166">
        <f t="shared" si="1949"/>
        <v>0</v>
      </c>
      <c r="BH950" s="1167">
        <f>ROUND(INDEX(MO_BSS_NTR,0,COLUMN())-INDEX(MO_UPR_NUPR,0,COLUMN())-INDEX(MO_LR_NLR,0,COLUMN()),6)</f>
        <v>0</v>
      </c>
      <c r="BI950" s="1168">
        <f>ROUND(INDEX(MO_BSS_NTR,0,COLUMN())-INDEX(MO_UPR_NUPR,0,COLUMN())-INDEX(MO_LR_NLR,0,COLUMN()),5)</f>
        <v>0</v>
      </c>
      <c r="BJ950" s="1168">
        <f t="shared" si="1950" ref="BJ950">ROUND(INDEX(MO_BSS_NTR,0,COLUMN())-INDEX(MO_UPR_NUPR,0,COLUMN())-INDEX(MO_LR_NLR,0,COLUMN()),5)</f>
        <v>0</v>
      </c>
      <c r="BK950" s="1168">
        <f t="shared" si="1951" ref="BK950:BR950">ROUND(INDEX(MO_BSS_NTR,0,COLUMN())-INDEX(MO_UPR_NUPR,0,COLUMN())-INDEX(MO_LR_NLR,0,COLUMN()),5)</f>
        <v>0</v>
      </c>
      <c r="BL950" s="1168">
        <f t="shared" si="1951"/>
        <v>0</v>
      </c>
      <c r="BM950" s="1168">
        <f t="shared" si="1951"/>
        <v>0</v>
      </c>
      <c r="BN950" s="1168">
        <f t="shared" si="1951"/>
        <v>0</v>
      </c>
      <c r="BO950" s="1168">
        <f t="shared" si="1951"/>
        <v>0</v>
      </c>
      <c r="BP950" s="1166">
        <f t="shared" si="1951"/>
        <v>0</v>
      </c>
      <c r="BQ950" s="1166">
        <f t="shared" si="1951"/>
        <v>0</v>
      </c>
      <c r="BR950" s="1168">
        <f t="shared" si="1951"/>
        <v>0</v>
      </c>
      <c r="BS950" s="647"/>
    </row>
    <row r="951" spans="1:71" s="665" customFormat="1" ht="15">
      <c r="A951" s="647" t="s">
        <v>237</v>
      </c>
      <c r="B951" s="996"/>
      <c r="C951" s="1166">
        <f t="shared" si="1952" ref="C951:AM951">IF(C897&lt;0,"CHECK",0)</f>
        <v>0</v>
      </c>
      <c r="D951" s="1166">
        <f t="shared" si="1952"/>
        <v>0</v>
      </c>
      <c r="E951" s="1166">
        <f t="shared" si="1952"/>
        <v>0</v>
      </c>
      <c r="F951" s="1166">
        <f t="shared" si="1952"/>
        <v>0</v>
      </c>
      <c r="G951" s="1166">
        <f t="shared" si="1952"/>
        <v>0</v>
      </c>
      <c r="H951" s="1166">
        <f t="shared" si="1952"/>
        <v>0</v>
      </c>
      <c r="I951" s="1166">
        <f t="shared" si="1952"/>
        <v>0</v>
      </c>
      <c r="J951" s="1166">
        <f t="shared" si="1952"/>
        <v>0</v>
      </c>
      <c r="K951" s="1166">
        <f t="shared" si="1952"/>
        <v>0</v>
      </c>
      <c r="L951" s="1166">
        <f t="shared" si="1952"/>
        <v>0</v>
      </c>
      <c r="M951" s="1166">
        <f t="shared" si="1952"/>
        <v>0</v>
      </c>
      <c r="N951" s="1166">
        <f t="shared" si="1952"/>
        <v>0</v>
      </c>
      <c r="O951" s="1166">
        <f t="shared" si="1952"/>
        <v>0</v>
      </c>
      <c r="P951" s="1166">
        <f t="shared" si="1952"/>
        <v>0</v>
      </c>
      <c r="Q951" s="1166">
        <f t="shared" si="1952"/>
        <v>0</v>
      </c>
      <c r="R951" s="1166">
        <f t="shared" si="1952"/>
        <v>0</v>
      </c>
      <c r="S951" s="1166">
        <f t="shared" si="1952"/>
        <v>0</v>
      </c>
      <c r="T951" s="1166">
        <f t="shared" si="1952"/>
        <v>0</v>
      </c>
      <c r="U951" s="1166">
        <f t="shared" si="1952"/>
        <v>0</v>
      </c>
      <c r="V951" s="1166">
        <f t="shared" si="1952"/>
        <v>0</v>
      </c>
      <c r="W951" s="1166">
        <f t="shared" si="1952"/>
        <v>0</v>
      </c>
      <c r="X951" s="1166">
        <f t="shared" si="1952"/>
        <v>0</v>
      </c>
      <c r="Y951" s="1166">
        <f t="shared" si="1952"/>
        <v>0</v>
      </c>
      <c r="Z951" s="1166">
        <f t="shared" si="1952"/>
        <v>0</v>
      </c>
      <c r="AA951" s="1166">
        <f t="shared" si="1952"/>
        <v>0</v>
      </c>
      <c r="AB951" s="1166">
        <f t="shared" si="1952"/>
        <v>0</v>
      </c>
      <c r="AC951" s="1166">
        <f t="shared" si="1952"/>
        <v>0</v>
      </c>
      <c r="AD951" s="1166">
        <f t="shared" si="1952"/>
        <v>0</v>
      </c>
      <c r="AE951" s="1166">
        <f t="shared" si="1952"/>
        <v>0</v>
      </c>
      <c r="AF951" s="1166">
        <f t="shared" si="1952"/>
        <v>0</v>
      </c>
      <c r="AG951" s="1166">
        <f t="shared" si="1952"/>
        <v>0</v>
      </c>
      <c r="AH951" s="1166">
        <f t="shared" si="1952"/>
        <v>0</v>
      </c>
      <c r="AI951" s="1166">
        <f t="shared" si="1952"/>
        <v>0</v>
      </c>
      <c r="AJ951" s="1166">
        <f t="shared" si="1952"/>
        <v>0</v>
      </c>
      <c r="AK951" s="1166">
        <f t="shared" si="1952"/>
        <v>0</v>
      </c>
      <c r="AL951" s="1166">
        <f t="shared" si="1952"/>
        <v>0</v>
      </c>
      <c r="AM951" s="1166">
        <f t="shared" si="1952"/>
        <v>0</v>
      </c>
      <c r="AN951" s="1166">
        <f t="shared" si="1953" ref="AN951:AU951">IF(AN897&lt;0,"CHECK",0)</f>
        <v>0</v>
      </c>
      <c r="AO951" s="1166">
        <f t="shared" si="1953"/>
        <v>0</v>
      </c>
      <c r="AP951" s="1166">
        <f t="shared" si="1953"/>
        <v>0</v>
      </c>
      <c r="AQ951" s="1166">
        <f t="shared" si="1953"/>
        <v>0</v>
      </c>
      <c r="AR951" s="1166">
        <f t="shared" si="1953"/>
        <v>0</v>
      </c>
      <c r="AS951" s="1166">
        <f t="shared" si="1953"/>
        <v>0</v>
      </c>
      <c r="AT951" s="1166">
        <f t="shared" si="1953"/>
        <v>0</v>
      </c>
      <c r="AU951" s="1166">
        <f t="shared" si="1953"/>
        <v>0</v>
      </c>
      <c r="AV951" s="1166">
        <f t="shared" si="1954" ref="AV951:BJ951">IF(AV897&lt;0,"CHECK",0)</f>
        <v>0</v>
      </c>
      <c r="AW951" s="1166">
        <f t="shared" si="1954"/>
        <v>0</v>
      </c>
      <c r="AX951" s="1166">
        <f t="shared" si="1954"/>
        <v>0</v>
      </c>
      <c r="AY951" s="1166">
        <f t="shared" si="1954"/>
        <v>0</v>
      </c>
      <c r="AZ951" s="1166">
        <f t="shared" si="1954"/>
        <v>0</v>
      </c>
      <c r="BA951" s="1166">
        <f t="shared" si="1955" ref="BA951:BI951">IF(BA897&lt;0,"CHECK",0)</f>
        <v>0</v>
      </c>
      <c r="BB951" s="1166">
        <f t="shared" si="1955"/>
        <v>0</v>
      </c>
      <c r="BC951" s="1166">
        <f t="shared" si="1955"/>
        <v>0</v>
      </c>
      <c r="BD951" s="1166">
        <f t="shared" si="1955"/>
        <v>0</v>
      </c>
      <c r="BE951" s="1166">
        <f t="shared" si="1955"/>
        <v>0</v>
      </c>
      <c r="BF951" s="1166">
        <f>IF(BF897&lt;0,"CHECK",0)</f>
        <v>0</v>
      </c>
      <c r="BG951" s="1166">
        <f>IF(BG897&lt;0,"CHECK",0)</f>
        <v>0</v>
      </c>
      <c r="BH951" s="1167">
        <f>IF(BH897&lt;0,"CHECK",0)</f>
        <v>0</v>
      </c>
      <c r="BI951" s="1168">
        <f t="shared" ca="1" si="1955"/>
        <v>0</v>
      </c>
      <c r="BJ951" s="1168">
        <f t="shared" ca="1" si="1954"/>
        <v>0</v>
      </c>
      <c r="BK951" s="1168">
        <f ca="1" t="shared" si="1956" ref="BK951:BR951">IF(BK897&lt;0,"CHECK",0)</f>
        <v>0</v>
      </c>
      <c r="BL951" s="1168">
        <f t="shared" ca="1" si="1956"/>
        <v>0</v>
      </c>
      <c r="BM951" s="1168">
        <f t="shared" ca="1" si="1956"/>
        <v>0</v>
      </c>
      <c r="BN951" s="1168">
        <f t="shared" ca="1" si="1956"/>
        <v>0</v>
      </c>
      <c r="BO951" s="1168">
        <f t="shared" ca="1" si="1956"/>
        <v>0</v>
      </c>
      <c r="BP951" s="1166">
        <f t="shared" ca="1" si="1956"/>
        <v>0</v>
      </c>
      <c r="BQ951" s="1166">
        <f t="shared" ca="1" si="1956"/>
        <v>0</v>
      </c>
      <c r="BR951" s="1168">
        <f t="shared" ca="1" si="1956"/>
        <v>0</v>
      </c>
      <c r="BS951" s="647"/>
    </row>
    <row r="952" spans="1:71" s="665" customFormat="1" ht="15">
      <c r="A952" s="647" t="s">
        <v>238</v>
      </c>
      <c r="B952" s="996"/>
      <c r="C952" s="1166">
        <f>IF(ISBLANK(INDEX(MO_IS_FirstRow,0,COLUMN())),0,IF(OR(C858=B858,C858=D858),"CHECK",0))</f>
        <v>0</v>
      </c>
      <c r="D952" s="1166">
        <f>IF(ISBLANK(INDEX(MO_IS_FirstRow,0,COLUMN())),0,IF(OR(D858=C858,D858=E858),"CHECK",0))</f>
        <v>0</v>
      </c>
      <c r="E952" s="1166">
        <f>IF(ISBLANK(INDEX(MO_IS_FirstRow,0,COLUMN())),0,IF(OR(E858=D858,E858=F858),"CHECK",0))</f>
        <v>0</v>
      </c>
      <c r="F952" s="1166">
        <f>IF(ISBLANK(INDEX(MO_IS_FirstRow,0,COLUMN())),0,IF(OR(F858=E858,F858=G858),"CHECK",0))</f>
        <v>0</v>
      </c>
      <c r="G952" s="1166">
        <f>IF(ISBLANK(INDEX(MO_IS_FirstRow,0,COLUMN())),0,IF(OR(G858=F858,G858=H858),"CHECK",0))</f>
        <v>0</v>
      </c>
      <c r="H952" s="1166">
        <f>IF(ISBLANK(INDEX(MO_IS_FirstRow,0,COLUMN())),0,IF(OR(H858=C858,H858=I858,H858=F858),"CHECK",0))</f>
        <v>0</v>
      </c>
      <c r="I952" s="1166">
        <f>IF(ISBLANK(INDEX(MO_IS_FirstRow,0,COLUMN())),0,IF(OR(I858=D858,I858=J858,I858=H858),"CHECK",0))</f>
        <v>0</v>
      </c>
      <c r="J952" s="1166">
        <f>IF(ISBLANK(INDEX(MO_IS_FirstRow,0,COLUMN())),0,IF(OR(J858=E858,J858=K858,J858=I858),"CHECK",0))</f>
        <v>0</v>
      </c>
      <c r="K952" s="1166">
        <f>IF(ISBLANK(INDEX(MO_IS_FirstRow,0,COLUMN())),0,IF(OR(K858=F858,K858=L858,K858=J858),"CHECK",0))</f>
        <v>0</v>
      </c>
      <c r="L952" s="1166">
        <f>IF(ISBLANK(INDEX(MO_IS_FirstRow,0,COLUMN())),0,IF(L858=G858,"CHECK",0))</f>
        <v>0</v>
      </c>
      <c r="M952" s="1166">
        <f>IF(ISBLANK(INDEX(MO_IS_FirstRow,0,COLUMN())),0,IF(OR(M858=H858,M858=N858,M858=K858),"CHECK",0))</f>
        <v>0</v>
      </c>
      <c r="N952" s="1166">
        <f>IF(ISBLANK(INDEX(MO_IS_FirstRow,0,COLUMN())),0,IF(OR(N858=I858,N858=O858,N858=M858),"CHECK",0))</f>
        <v>0</v>
      </c>
      <c r="O952" s="1166">
        <f>IF(ISBLANK(INDEX(MO_IS_FirstRow,0,COLUMN())),0,IF(OR(O858=J858,O858=P858,O858=N858),"CHECK",0))</f>
        <v>0</v>
      </c>
      <c r="P952" s="1166">
        <f>IF(ISBLANK(INDEX(MO_IS_FirstRow,0,COLUMN())),0,IF(OR(P858=K858,P858=Q858,P858=O858),"CHECK",0))</f>
        <v>0</v>
      </c>
      <c r="Q952" s="1166">
        <f>IF(ISBLANK(INDEX(MO_IS_FirstRow,0,COLUMN())),0,IF(Q858=L858,"CHECK",0))</f>
        <v>0</v>
      </c>
      <c r="R952" s="1166">
        <f>IF(ISBLANK(INDEX(MO_IS_FirstRow,0,COLUMN())),0,IF(OR(R858=M858,R858=S858,R858=P858),"CHECK",0))</f>
        <v>0</v>
      </c>
      <c r="S952" s="1166">
        <f>IF(ISBLANK(INDEX(MO_IS_FirstRow,0,COLUMN())),0,IF(OR(S858=N858,S858=T858,S858=R858),"CHECK",0))</f>
        <v>0</v>
      </c>
      <c r="T952" s="1166">
        <f>IF(ISBLANK(INDEX(MO_IS_FirstRow,0,COLUMN())),0,IF(OR(T858=O858,T858=U858,T858=S858),"CHECK",0))</f>
        <v>0</v>
      </c>
      <c r="U952" s="1166">
        <f>IF(ISBLANK(INDEX(MO_IS_FirstRow,0,COLUMN())),0,IF(OR(U858=P858,U858=V858,U858=T858),"CHECK",0))</f>
        <v>0</v>
      </c>
      <c r="V952" s="1166">
        <f>IF(ISBLANK(INDEX(MO_IS_FirstRow,0,COLUMN())),0,IF(V858=Q858,"CHECK",0))</f>
        <v>0</v>
      </c>
      <c r="W952" s="1166">
        <f>IF(ISBLANK(INDEX(MO_IS_FirstRow,0,COLUMN())),0,IF(OR(W858=R858,W858=X858,W858=U858),"CHECK",0))</f>
        <v>0</v>
      </c>
      <c r="X952" s="1166">
        <f>IF(ISBLANK(INDEX(MO_IS_FirstRow,0,COLUMN())),0,IF(OR(X858=S858,X858=Y858,X858=W858),"CHECK",0))</f>
        <v>0</v>
      </c>
      <c r="Y952" s="1166">
        <f>IF(ISBLANK(INDEX(MO_IS_FirstRow,0,COLUMN())),0,IF(OR(Y858=T858,Y858=Z858,Y858=X858),"CHECK",0))</f>
        <v>0</v>
      </c>
      <c r="Z952" s="1166">
        <f>IF(ISBLANK(INDEX(MO_IS_FirstRow,0,COLUMN())),0,IF(OR(Z858=U858,Z858=AA858,Z858=Y858),"CHECK",0))</f>
        <v>0</v>
      </c>
      <c r="AA952" s="1166">
        <f>IF(ISBLANK(INDEX(MO_IS_FirstRow,0,COLUMN())),0,IF(AA858=V858,"CHECK",0))</f>
        <v>0</v>
      </c>
      <c r="AB952" s="1166">
        <f>IF(ISBLANK(INDEX(MO_IS_FirstRow,0,COLUMN())),0,IF(OR(AB858=W858,AB858=AC858,AB858=Z858),"CHECK",0))</f>
        <v>0</v>
      </c>
      <c r="AC952" s="1166">
        <f>IF(ISBLANK(INDEX(MO_IS_FirstRow,0,COLUMN())),0,IF(OR(AC858=X858,AC858=AD858,AC858=AB858),"CHECK",0))</f>
        <v>0</v>
      </c>
      <c r="AD952" s="1166">
        <f>IF(ISBLANK(INDEX(MO_IS_FirstRow,0,COLUMN())),0,IF(OR(AD858=Y858,AD858=AE858,AD858=AC858),"CHECK",0))</f>
        <v>0</v>
      </c>
      <c r="AE952" s="1166">
        <f>IF(ISBLANK(INDEX(MO_IS_FirstRow,0,COLUMN())),0,IF(OR(AE858=Z858,AE858=AF858,AE858=AD858),"CHECK",0))</f>
        <v>0</v>
      </c>
      <c r="AF952" s="1166">
        <f>IF(ISBLANK(INDEX(MO_IS_FirstRow,0,COLUMN())),0,IF(AF858=AA858,"CHECK",0))</f>
        <v>0</v>
      </c>
      <c r="AG952" s="1166">
        <f>IF(ISBLANK(INDEX(MO_IS_FirstRow,0,COLUMN())),0,IF(OR(AG858=AB858,AG858=AH858,AG858=AE858),"CHECK",0))</f>
        <v>0</v>
      </c>
      <c r="AH952" s="1166">
        <f>IF(ISBLANK(INDEX(MO_IS_FirstRow,0,COLUMN())),0,IF(OR(AH858=AC858,AH858=AI858,AH858=AG858),"CHECK",0))</f>
        <v>0</v>
      </c>
      <c r="AI952" s="1166">
        <f>IF(ISBLANK(INDEX(MO_IS_FirstRow,0,COLUMN())),0,IF(OR(AI858=AD858,AI858=AJ858,AI858=AH858),"CHECK",0))</f>
        <v>0</v>
      </c>
      <c r="AJ952" s="1166">
        <f>IF(ISBLANK(INDEX(MO_IS_FirstRow,0,COLUMN())),0,IF(OR(AJ858=AE858,AJ858=AK858,AJ858=AI858),"CHECK",0))</f>
        <v>0</v>
      </c>
      <c r="AK952" s="1166">
        <f>IF(ISBLANK(INDEX(MO_IS_FirstRow,0,COLUMN())),0,IF(AK858=AF858,"CHECK",0))</f>
        <v>0</v>
      </c>
      <c r="AL952" s="1166">
        <f>IF(ISBLANK(INDEX(MO_IS_FirstRow,0,COLUMN())),0,IF(OR(AL858=AG858,AL858=AM858,AL858=AJ858),"CHECK",0))</f>
        <v>0</v>
      </c>
      <c r="AM952" s="1166">
        <f>IF(ISBLANK(INDEX(MO_IS_FirstRow,0,COLUMN())),0,IF(OR(AM858=AH858,AM858=AN858,AM858=AL858),"CHECK",0))</f>
        <v>0</v>
      </c>
      <c r="AN952" s="1166">
        <f>IF(ISBLANK(INDEX(MO_IS_FirstRow,0,COLUMN())),0,IF(OR(AN858=AI858,AN858=AO858,AN858=AM858),"CHECK",0))</f>
        <v>0</v>
      </c>
      <c r="AO952" s="1166">
        <f>IF(ISBLANK(INDEX(MO_IS_FirstRow,0,COLUMN())),0,IF(OR(AO858=AJ858,AO858=AP858,AO858=AN858),"CHECK",0))</f>
        <v>0</v>
      </c>
      <c r="AP952" s="1166">
        <f>IF(ISBLANK(INDEX(MO_IS_FirstRow,0,COLUMN())),0,IF(AP858=AK858,"CHECK",0))</f>
        <v>0</v>
      </c>
      <c r="AQ952" s="1166">
        <f>IF(ISBLANK(INDEX(MO_IS_FirstRow,0,COLUMN())),0,IF(OR(AQ858=AL858,AQ858=AR858,AQ858=AO858),"CHECK",0))</f>
        <v>0</v>
      </c>
      <c r="AR952" s="1166">
        <f>IF(ISBLANK(INDEX(MO_IS_FirstRow,0,COLUMN())),0,IF(OR(AR858=AM858,AR858=AS858,AR858=AQ858),"CHECK",0))</f>
        <v>0</v>
      </c>
      <c r="AS952" s="1166">
        <f>IF(ISBLANK(INDEX(MO_IS_FirstRow,0,COLUMN())),0,IF(OR(AS858=AN858,AS858=AT858,AS858=AR858),"CHECK",0))</f>
        <v>0</v>
      </c>
      <c r="AT952" s="1166">
        <f>IF(ISBLANK(INDEX(MO_IS_FirstRow,0,COLUMN())),0,IF(OR(AT858=AO858,AT858=AU858,AT858=AS858),"CHECK",0))</f>
        <v>0</v>
      </c>
      <c r="AU952" s="1166">
        <f>IF(ISBLANK(INDEX(MO_IS_FirstRow,0,COLUMN())),0,IF(AU858=AP858,"CHECK",0))</f>
        <v>0</v>
      </c>
      <c r="AV952" s="1166">
        <f>IF(ISBLANK(INDEX(MO_IS_FirstRow,0,COLUMN())),0,IF(OR(AV858=AQ858,AV858=AW858,AV858=AT858),"CHECK",0))</f>
        <v>0</v>
      </c>
      <c r="AW952" s="1166">
        <f>IF(ISBLANK(INDEX(MO_IS_FirstRow,0,COLUMN())),0,IF(OR(AW858=AR858,AW858=AX858,AW858=AV858),"CHECK",0))</f>
        <v>0</v>
      </c>
      <c r="AX952" s="1166">
        <f>IF(ISBLANK(INDEX(MO_IS_FirstRow,0,COLUMN())),0,IF(OR(AX858=AS858,AX858=AY858,AX858=AW858),"CHECK",0))</f>
        <v>0</v>
      </c>
      <c r="AY952" s="1166">
        <f>IF(ISBLANK(INDEX(MO_IS_FirstRow,0,COLUMN())),0,IF(OR(AY858=AT858,AY858=AZ858,AY858=AX858),"CHECK",0))</f>
        <v>0</v>
      </c>
      <c r="AZ952" s="1166">
        <f>IF(ISBLANK(INDEX(MO_IS_FirstRow,0,COLUMN())),0,IF(AZ858=AU858,"CHECK",0))</f>
        <v>0</v>
      </c>
      <c r="BA952" s="1166">
        <f>IF(ISBLANK(INDEX(MO_IS_FirstRow,0,COLUMN())),0,IF(OR(BA858=AV858,BA858=BB858,BA858=AY858),"CHECK",0))</f>
        <v>0</v>
      </c>
      <c r="BB952" s="1166">
        <f>IF(ISBLANK(INDEX(MO_IS_FirstRow,0,COLUMN())),0,IF(OR(BB858=AW858,BB858=BC858,BB858=BA858),"CHECK",0))</f>
        <v>0</v>
      </c>
      <c r="BC952" s="1166">
        <f>IF(ISBLANK(INDEX(MO_IS_FirstRow,0,COLUMN())),0,IF(OR(BC858=AX858,BC858=BD858,BC858=BB858),"CHECK",0))</f>
        <v>0</v>
      </c>
      <c r="BD952" s="1166">
        <f>IF(ISBLANK(INDEX(MO_IS_FirstRow,0,COLUMN())),0,IF(OR(BD858=AY858,BD858=BE858,BD858=BC858),"CHECK",0))</f>
        <v>0</v>
      </c>
      <c r="BE952" s="1166">
        <f>IF(ISBLANK(INDEX(MO_IS_FirstRow,0,COLUMN())),0,IF(BE858=AZ858,"CHECK",0))</f>
        <v>0</v>
      </c>
      <c r="BF952" s="1166">
        <f>IF(ISBLANK(INDEX(MO_IS_FirstRow,0,COLUMN())),0,IF(OR(BF858=BA858,BF858=BG858,BF858=BD858),"CHECK",0))</f>
        <v>0</v>
      </c>
      <c r="BG952" s="1166">
        <f>IF(ISBLANK(INDEX(MO_IS_FirstRow,0,COLUMN())),0,IF(OR(BG858=BB858,BG858=BH858,BG858=BF858),"CHECK",0))</f>
        <v>0</v>
      </c>
      <c r="BH952" s="1167">
        <f ca="1">IF(ISBLANK(INDEX(MO_IS_FirstRow,0,COLUMN())),0,IF(OR(BH858=BC858,BH858=BI858,BH858=BG858),"CHECK",0))</f>
        <v>0</v>
      </c>
      <c r="BI952" s="1168"/>
      <c r="BJ952" s="1168"/>
      <c r="BK952" s="1168"/>
      <c r="BL952" s="1168"/>
      <c r="BM952" s="1168"/>
      <c r="BN952" s="1168"/>
      <c r="BO952" s="1168"/>
      <c r="BP952" s="1166"/>
      <c r="BQ952" s="1166"/>
      <c r="BR952" s="1168"/>
      <c r="BS952" s="647"/>
    </row>
    <row r="953" spans="1:71" s="665" customFormat="1" ht="15">
      <c r="A953" s="647" t="s">
        <v>239</v>
      </c>
      <c r="B953" s="996"/>
      <c r="C953" s="1166">
        <f>IF(ISBLANK(INDEX(MO_IS_FirstRow,0,COLUMN())),0,IF(OR(C626=B626,C626=D626),"CHECK",0))</f>
        <v>0</v>
      </c>
      <c r="D953" s="1166">
        <f>IF(ISBLANK(INDEX(MO_IS_FirstRow,0,COLUMN())),0,IF(OR(D626=C626,D626=E626),"CHECK",0))</f>
        <v>0</v>
      </c>
      <c r="E953" s="1166">
        <f>IF(ISBLANK(INDEX(MO_IS_FirstRow,0,COLUMN())),0,IF(OR(E626=D626,E626=F626),"CHECK",0))</f>
        <v>0</v>
      </c>
      <c r="F953" s="1166">
        <f>IF(ISBLANK(INDEX(MO_IS_FirstRow,0,COLUMN())),0,IF(OR(F626=E626,F626=G626),"CHECK",0))</f>
        <v>0</v>
      </c>
      <c r="G953" s="1166">
        <f>IF(ISBLANK(INDEX(MO_IS_FirstRow,0,COLUMN())),0,IF(OR(G626=F626,G626=H626),"CHECK",0))</f>
        <v>0</v>
      </c>
      <c r="H953" s="1166">
        <f>IF(ISBLANK(INDEX(MO_IS_FirstRow,0,COLUMN())),0,IF(OR(H626=C626,H626=I626,H626=F626),"CHECK",0))</f>
        <v>0</v>
      </c>
      <c r="I953" s="1166">
        <f>IF(ISBLANK(INDEX(MO_IS_FirstRow,0,COLUMN())),0,IF(OR(I626=D626,I626=J626,I626=H626),"CHECK",0))</f>
        <v>0</v>
      </c>
      <c r="J953" s="1166">
        <f>IF(ISBLANK(INDEX(MO_IS_FirstRow,0,COLUMN())),0,IF(OR(J626=E626,J626=K626,J626=I626),"CHECK",0))</f>
        <v>0</v>
      </c>
      <c r="K953" s="1166">
        <f>IF(ISBLANK(INDEX(MO_IS_FirstRow,0,COLUMN())),0,IF(OR(K626=F626,K626=L626,K626=J626),"CHECK",0))</f>
        <v>0</v>
      </c>
      <c r="L953" s="1166">
        <f>IF(ISBLANK(INDEX(MO_IS_FirstRow,0,COLUMN())),0,IF(L626=G626,"CHECK",0))</f>
        <v>0</v>
      </c>
      <c r="M953" s="1166">
        <f>IF(ISBLANK(INDEX(MO_IS_FirstRow,0,COLUMN())),0,IF(OR(M626=H626,M626=N626,M626=K626),"CHECK",0))</f>
        <v>0</v>
      </c>
      <c r="N953" s="1166">
        <f>IF(ISBLANK(INDEX(MO_IS_FirstRow,0,COLUMN())),0,IF(OR(N626=I626,N626=O626,N626=M626),"CHECK",0))</f>
        <v>0</v>
      </c>
      <c r="O953" s="1166">
        <f>IF(ISBLANK(INDEX(MO_IS_FirstRow,0,COLUMN())),0,IF(OR(O626=J626,O626=P626,O626=N626),"CHECK",0))</f>
        <v>0</v>
      </c>
      <c r="P953" s="1166">
        <f>IF(ISBLANK(INDEX(MO_IS_FirstRow,0,COLUMN())),0,IF(OR(P626=K626,P626=Q626,P626=O626),"CHECK",0))</f>
        <v>0</v>
      </c>
      <c r="Q953" s="1166">
        <f>IF(ISBLANK(INDEX(MO_IS_FirstRow,0,COLUMN())),0,IF(Q626=L626,"CHECK",0))</f>
        <v>0</v>
      </c>
      <c r="R953" s="1166">
        <f>IF(ISBLANK(INDEX(MO_IS_FirstRow,0,COLUMN())),0,IF(OR(R626=M626,R626=S626,R626=P626),"CHECK",0))</f>
        <v>0</v>
      </c>
      <c r="S953" s="1166">
        <f>IF(ISBLANK(INDEX(MO_IS_FirstRow,0,COLUMN())),0,IF(OR(S626=N626,S626=T626,S626=R626),"CHECK",0))</f>
        <v>0</v>
      </c>
      <c r="T953" s="1166">
        <f>IF(ISBLANK(INDEX(MO_IS_FirstRow,0,COLUMN())),0,IF(OR(T626=O626,T626=U626,T626=S626),"CHECK",0))</f>
        <v>0</v>
      </c>
      <c r="U953" s="1166">
        <f>IF(ISBLANK(INDEX(MO_IS_FirstRow,0,COLUMN())),0,IF(OR(U626=P626,U626=V626,U626=T626),"CHECK",0))</f>
        <v>0</v>
      </c>
      <c r="V953" s="1166">
        <f>IF(ISBLANK(INDEX(MO_IS_FirstRow,0,COLUMN())),0,IF(V626=Q626,"CHECK",0))</f>
        <v>0</v>
      </c>
      <c r="W953" s="1166">
        <f>IF(ISBLANK(INDEX(MO_IS_FirstRow,0,COLUMN())),0,IF(OR(W626=R626,W626=X626,W626=U626),"CHECK",0))</f>
        <v>0</v>
      </c>
      <c r="X953" s="1166">
        <f>IF(ISBLANK(INDEX(MO_IS_FirstRow,0,COLUMN())),0,IF(OR(X626=S626,X626=Y626,X626=W626),"CHECK",0))</f>
        <v>0</v>
      </c>
      <c r="Y953" s="1166">
        <f>IF(ISBLANK(INDEX(MO_IS_FirstRow,0,COLUMN())),0,IF(OR(Y626=T626,Y626=Z626,Y626=X626),"CHECK",0))</f>
        <v>0</v>
      </c>
      <c r="Z953" s="1166">
        <f>IF(ISBLANK(INDEX(MO_IS_FirstRow,0,COLUMN())),0,IF(OR(Z626=U626,Z626=AA626,Z626=Y626),"CHECK",0))</f>
        <v>0</v>
      </c>
      <c r="AA953" s="1166">
        <f>IF(ISBLANK(INDEX(MO_IS_FirstRow,0,COLUMN())),0,IF(AA626=V626,"CHECK",0))</f>
        <v>0</v>
      </c>
      <c r="AB953" s="1166">
        <f>IF(ISBLANK(INDEX(MO_IS_FirstRow,0,COLUMN())),0,IF(OR(AB626=W626,AB626=AC626,AB626=Z626),"CHECK",0))</f>
        <v>0</v>
      </c>
      <c r="AC953" s="1166">
        <f>IF(ISBLANK(INDEX(MO_IS_FirstRow,0,COLUMN())),0,IF(OR(AC626=X626,AC626=AD626,AC626=AB626),"CHECK",0))</f>
        <v>0</v>
      </c>
      <c r="AD953" s="1166">
        <f>IF(ISBLANK(INDEX(MO_IS_FirstRow,0,COLUMN())),0,IF(OR(AD626=Y626,AD626=AE626,AD626=AC626),"CHECK",0))</f>
        <v>0</v>
      </c>
      <c r="AE953" s="1166">
        <f>IF(ISBLANK(INDEX(MO_IS_FirstRow,0,COLUMN())),0,IF(OR(AE626=Z626,AE626=AF626,AE626=AD626),"CHECK",0))</f>
        <v>0</v>
      </c>
      <c r="AF953" s="1166">
        <f>IF(ISBLANK(INDEX(MO_IS_FirstRow,0,COLUMN())),0,IF(AF626=AA626,"CHECK",0))</f>
        <v>0</v>
      </c>
      <c r="AG953" s="1166">
        <f>IF(ISBLANK(INDEX(MO_IS_FirstRow,0,COLUMN())),0,IF(OR(AG626=AB626,AG626=AH626,AG626=AE626),"CHECK",0))</f>
        <v>0</v>
      </c>
      <c r="AH953" s="1166">
        <f>IF(ISBLANK(INDEX(MO_IS_FirstRow,0,COLUMN())),0,IF(OR(AH626=AC626,AH626=AI626,AH626=AG626),"CHECK",0))</f>
        <v>0</v>
      </c>
      <c r="AI953" s="1166">
        <f>IF(ISBLANK(INDEX(MO_IS_FirstRow,0,COLUMN())),0,IF(OR(AI626=AD626,AI626=AJ626,AI626=AH626),"CHECK",0))</f>
        <v>0</v>
      </c>
      <c r="AJ953" s="1166">
        <f>IF(ISBLANK(INDEX(MO_IS_FirstRow,0,COLUMN())),0,IF(OR(AJ626=AE626,AJ626=AK626,AJ626=AI626),"CHECK",0))</f>
        <v>0</v>
      </c>
      <c r="AK953" s="1166">
        <f>IF(ISBLANK(INDEX(MO_IS_FirstRow,0,COLUMN())),0,IF(AK626=AF626,"CHECK",0))</f>
        <v>0</v>
      </c>
      <c r="AL953" s="1166">
        <f>IF(ISBLANK(INDEX(MO_IS_FirstRow,0,COLUMN())),0,IF(OR(AL626=AG626,AL626=AM626,AL626=AJ626),"CHECK",0))</f>
        <v>0</v>
      </c>
      <c r="AM953" s="1166">
        <f>IF(ISBLANK(INDEX(MO_IS_FirstRow,0,COLUMN())),0,IF(OR(AM626=AH626,AM626=AN626,AM626=AL626),"CHECK",0))</f>
        <v>0</v>
      </c>
      <c r="AN953" s="1166">
        <f>IF(ISBLANK(INDEX(MO_IS_FirstRow,0,COLUMN())),0,IF(OR(AN626=AI626,AN626=AO626,AN626=AM626),"CHECK",0))</f>
        <v>0</v>
      </c>
      <c r="AO953" s="1166">
        <f>IF(ISBLANK(INDEX(MO_IS_FirstRow,0,COLUMN())),0,IF(OR(AO626=AJ626,AO626=AP626,AO626=AN626),"CHECK",0))</f>
        <v>0</v>
      </c>
      <c r="AP953" s="1166">
        <f>IF(ISBLANK(INDEX(MO_IS_FirstRow,0,COLUMN())),0,IF(AP626=AK626,"CHECK",0))</f>
        <v>0</v>
      </c>
      <c r="AQ953" s="1166">
        <f>IF(ISBLANK(INDEX(MO_IS_FirstRow,0,COLUMN())),0,IF(OR(AQ626=AL626,AQ626=AR626,AQ626=AO626),"CHECK",0))</f>
        <v>0</v>
      </c>
      <c r="AR953" s="1166">
        <f>IF(ISBLANK(INDEX(MO_IS_FirstRow,0,COLUMN())),0,IF(OR(AR626=AM626,AR626=AS626,AR626=AQ626),"CHECK",0))</f>
        <v>0</v>
      </c>
      <c r="AS953" s="1166">
        <f>IF(ISBLANK(INDEX(MO_IS_FirstRow,0,COLUMN())),0,IF(OR(AS626=AN626,AS626=AT626,AS626=AR626),"CHECK",0))</f>
        <v>0</v>
      </c>
      <c r="AT953" s="1166">
        <f>IF(ISBLANK(INDEX(MO_IS_FirstRow,0,COLUMN())),0,IF(OR(AT626=AO626,AT626=AU626,AT626=AS626),"CHECK",0))</f>
        <v>0</v>
      </c>
      <c r="AU953" s="1166">
        <f>IF(ISBLANK(INDEX(MO_IS_FirstRow,0,COLUMN())),0,IF(AU626=AP626,"CHECK",0))</f>
        <v>0</v>
      </c>
      <c r="AV953" s="1166">
        <f>IF(ISBLANK(INDEX(MO_IS_FirstRow,0,COLUMN())),0,IF(OR(AV626=AQ626,AV626=AW626,AV626=AT626),"CHECK",0))</f>
        <v>0</v>
      </c>
      <c r="AW953" s="1166">
        <f>IF(ISBLANK(INDEX(MO_IS_FirstRow,0,COLUMN())),0,IF(OR(AW626=AR626,AW626=AX626,AW626=AV626),"CHECK",0))</f>
        <v>0</v>
      </c>
      <c r="AX953" s="1166">
        <f>IF(ISBLANK(INDEX(MO_IS_FirstRow,0,COLUMN())),0,IF(OR(AX626=AS626,AX626=AY626,AX626=AW626),"CHECK",0))</f>
        <v>0</v>
      </c>
      <c r="AY953" s="1166">
        <f>IF(ISBLANK(INDEX(MO_IS_FirstRow,0,COLUMN())),0,IF(OR(AY626=AT626,AY626=AZ626,AY626=AX626),"CHECK",0))</f>
        <v>0</v>
      </c>
      <c r="AZ953" s="1166">
        <f>IF(ISBLANK(INDEX(MO_IS_FirstRow,0,COLUMN())),0,IF(AZ626=AU626,"CHECK",0))</f>
        <v>0</v>
      </c>
      <c r="BA953" s="1166">
        <f>IF(ISBLANK(INDEX(MO_IS_FirstRow,0,COLUMN())),0,IF(OR(BA626=AV626,BA626=BB626,BA626=AY626),"CHECK",0))</f>
        <v>0</v>
      </c>
      <c r="BB953" s="1166">
        <f>IF(ISBLANK(INDEX(MO_IS_FirstRow,0,COLUMN())),0,IF(OR(BB626=AW626,BB626=BC626,BB626=BA626),"CHECK",0))</f>
        <v>0</v>
      </c>
      <c r="BC953" s="1166">
        <f>IF(ISBLANK(INDEX(MO_IS_FirstRow,0,COLUMN())),0,IF(OR(BC626=AX626,BC626=BD626,BC626=BB626),"CHECK",0))</f>
        <v>0</v>
      </c>
      <c r="BD953" s="1166">
        <f>IF(ISBLANK(INDEX(MO_IS_FirstRow,0,COLUMN())),0,IF(OR(BD626=AY626,BD626=BE626,BD626=BC626),"CHECK",0))</f>
        <v>0</v>
      </c>
      <c r="BE953" s="1166">
        <f>IF(ISBLANK(INDEX(MO_IS_FirstRow,0,COLUMN())),0,IF(BE626=AZ626,"CHECK",0))</f>
        <v>0</v>
      </c>
      <c r="BF953" s="1166">
        <f>IF(ISBLANK(INDEX(MO_IS_FirstRow,0,COLUMN())),0,IF(OR(BF626=BA626,BF626=BG626,BF626=BD626),"CHECK",0))</f>
        <v>0</v>
      </c>
      <c r="BG953" s="1166">
        <f>IF(ISBLANK(INDEX(MO_IS_FirstRow,0,COLUMN())),0,IF(OR(BG626=BB626,BG626=BH626,BG626=BF626),"CHECK",0))</f>
        <v>0</v>
      </c>
      <c r="BH953" s="1167">
        <f>IF(ISBLANK(INDEX(MO_IS_FirstRow,0,COLUMN())),0,IF(OR(BH626=BC626,BH626=BI626,BH626=BG626),"CHECK",0))</f>
        <v>0</v>
      </c>
      <c r="BI953" s="1168"/>
      <c r="BJ953" s="1168"/>
      <c r="BK953" s="1168"/>
      <c r="BL953" s="1168"/>
      <c r="BM953" s="1168"/>
      <c r="BN953" s="1168"/>
      <c r="BO953" s="1168"/>
      <c r="BP953" s="1166"/>
      <c r="BQ953" s="1166"/>
      <c r="BR953" s="1168"/>
      <c r="BS953" s="647"/>
    </row>
    <row r="954" spans="1:71" s="665" customFormat="1" ht="15">
      <c r="A954" s="647" t="s">
        <v>240</v>
      </c>
      <c r="B954" s="996"/>
      <c r="C954" s="1166">
        <f>IF(OR(C910=B910,C910=D910),"CHECK",0)</f>
        <v>0</v>
      </c>
      <c r="D954" s="1166">
        <f>IF(OR(D910=C910,D910=E910),"CHECK",0)</f>
        <v>0</v>
      </c>
      <c r="E954" s="1166">
        <f>IF(OR(E910=D910,E910=F910),"CHECK",0)</f>
        <v>0</v>
      </c>
      <c r="F954" s="1166">
        <f>IF(OR(F910=E910,F910=G910),"CHECK",0)</f>
        <v>0</v>
      </c>
      <c r="G954" s="1166">
        <f>IF(OR(G910=F910,G910=H910),"CHECK",0)</f>
        <v>0</v>
      </c>
      <c r="H954" s="1166">
        <f>IF(OR(H910=C910,H910=I910,H910=F910),"CHECK",0)</f>
        <v>0</v>
      </c>
      <c r="I954" s="1166">
        <f>IF(OR(I910=D910,I910=J910,I910=H910),"CHECK",0)</f>
        <v>0</v>
      </c>
      <c r="J954" s="1166">
        <f>IF(OR(J910=E910,J910=K910,J910=I910),"CHECK",0)</f>
        <v>0</v>
      </c>
      <c r="K954" s="1166">
        <f>IF(OR(K910=F910,K910=J910),"CHECK",0)</f>
        <v>0</v>
      </c>
      <c r="L954" s="1166">
        <f>IF(L910=G910,"CHECK",0)</f>
        <v>0</v>
      </c>
      <c r="M954" s="1166">
        <f>IF(OR(M910=H910,M910=N910,M910=K910),"CHECK",0)</f>
        <v>0</v>
      </c>
      <c r="N954" s="1166">
        <f>IF(OR(N910=I910,N910=O910,N910=M910),"CHECK",0)</f>
        <v>0</v>
      </c>
      <c r="O954" s="1166">
        <f>IF(OR(O910=J910,O910=P910,O910=N910),"CHECK",0)</f>
        <v>0</v>
      </c>
      <c r="P954" s="1166">
        <f>IF(OR(P910=K910,P910=O910),"CHECK",0)</f>
        <v>0</v>
      </c>
      <c r="Q954" s="1166">
        <f>IF(Q910=L910,"CHECK",0)</f>
        <v>0</v>
      </c>
      <c r="R954" s="1166">
        <f>IF(OR(R910=M910,R910=S910,R910=P910),"CHECK",0)</f>
        <v>0</v>
      </c>
      <c r="S954" s="1166">
        <f>IF(OR(S910=N910,S910=T910,S910=R910),"CHECK",0)</f>
        <v>0</v>
      </c>
      <c r="T954" s="1166">
        <f>IF(OR(T910=O910,T910=U910,T910=S910),"CHECK",0)</f>
        <v>0</v>
      </c>
      <c r="U954" s="1166">
        <f>IF(OR(U910=P910,U910=T910),"CHECK",0)</f>
        <v>0</v>
      </c>
      <c r="V954" s="1166">
        <f>IF(V910=Q910,"CHECK",0)</f>
        <v>0</v>
      </c>
      <c r="W954" s="1166">
        <f>IF(OR(W910=R910,W910=X910,W910=U910),"CHECK",0)</f>
        <v>0</v>
      </c>
      <c r="X954" s="1166">
        <f>IF(OR(X910=S910,X910=Y910,X910=W910),"CHECK",0)</f>
        <v>0</v>
      </c>
      <c r="Y954" s="1166">
        <f>IF(OR(Y910=T910,Y910=Z910,Y910=X910),"CHECK",0)</f>
        <v>0</v>
      </c>
      <c r="Z954" s="1166">
        <f>IF(OR(Z910=U910,Z910=Y910),"CHECK",0)</f>
        <v>0</v>
      </c>
      <c r="AA954" s="1166">
        <f>IF(AA910=V910,"CHECK",0)</f>
        <v>0</v>
      </c>
      <c r="AB954" s="1166">
        <f>IF(OR(AB910=W910,AB910=AC910,AB910=Z910),"CHECK",0)</f>
        <v>0</v>
      </c>
      <c r="AC954" s="1166">
        <f>IF(OR(AC910=X910,AC910=AD910,AC910=AB910),"CHECK",0)</f>
        <v>0</v>
      </c>
      <c r="AD954" s="1166">
        <f>IF(OR(AD910=Y910,AD910=AE910,AD910=AC910),"CHECK",0)</f>
        <v>0</v>
      </c>
      <c r="AE954" s="1166">
        <f>IF(OR(AE910=Z910,AE910=AD910),"CHECK",0)</f>
        <v>0</v>
      </c>
      <c r="AF954" s="1166">
        <f>IF(AF910=AA910,"CHECK",0)</f>
        <v>0</v>
      </c>
      <c r="AG954" s="1166">
        <f>IF(OR(AG910=AB910,AG910=AH910,AG910=AE910),"CHECK",0)</f>
        <v>0</v>
      </c>
      <c r="AH954" s="1166">
        <f>IF(OR(AH910=AC910,AH910=AI910,AH910=AG910),"CHECK",0)</f>
        <v>0</v>
      </c>
      <c r="AI954" s="1166">
        <f>IF(OR(AI910=AD910,AI910=AJ910,AI910=AH910),"CHECK",0)</f>
        <v>0</v>
      </c>
      <c r="AJ954" s="1166">
        <f>IF(OR(AJ910=AE910,AJ910=AI910),"CHECK",0)</f>
        <v>0</v>
      </c>
      <c r="AK954" s="1166">
        <f>IF(AK910=AF910,"CHECK",0)</f>
        <v>0</v>
      </c>
      <c r="AL954" s="1166">
        <f>IF(OR(AL910=AG910,AL910=AM910,AL910=AJ910),"CHECK",0)</f>
        <v>0</v>
      </c>
      <c r="AM954" s="1166">
        <f>IF(OR(AM910=AH910,AM910=AN910,AM910=AL910),"CHECK",0)</f>
        <v>0</v>
      </c>
      <c r="AN954" s="1166">
        <f>IF(OR(AN910=AI910,AN910=AO910,AN910=AM910),"CHECK",0)</f>
        <v>0</v>
      </c>
      <c r="AO954" s="1166">
        <f>IF(OR(AO910=AJ910,AO910=AN910),"CHECK",0)</f>
        <v>0</v>
      </c>
      <c r="AP954" s="1166">
        <f>IF(AP910=AK910,"CHECK",0)</f>
        <v>0</v>
      </c>
      <c r="AQ954" s="1166">
        <f>IF(OR(AQ910=AL910,AQ910=AR910,AQ910=AO910),"CHECK",0)</f>
        <v>0</v>
      </c>
      <c r="AR954" s="1166">
        <f>IF(OR(AR910=AM910,AR910=AS910,AR910=AQ910),"CHECK",0)</f>
        <v>0</v>
      </c>
      <c r="AS954" s="1166">
        <f>IF(OR(AS910=AN910,AS910=AT910,AS910=AR910),"CHECK",0)</f>
        <v>0</v>
      </c>
      <c r="AT954" s="1166">
        <f>IF(OR(AT910=AO910,AT910=AS910),"CHECK",0)</f>
        <v>0</v>
      </c>
      <c r="AU954" s="1166">
        <f>IF(AU910=AP910,"CHECK",0)</f>
        <v>0</v>
      </c>
      <c r="AV954" s="1166">
        <f>IF(OR(AV910=AQ910,AV910=AW910,AV910=AT910),"CHECK",0)</f>
        <v>0</v>
      </c>
      <c r="AW954" s="1166">
        <f>IF(OR(AW910=AR910,AW910=AX910,AW910=AV910),"CHECK",0)</f>
        <v>0</v>
      </c>
      <c r="AX954" s="1166">
        <f>IF(OR(AX910=AS910,AX910=AY910,AX910=AW910),"CHECK",0)</f>
        <v>0</v>
      </c>
      <c r="AY954" s="1166">
        <f>IF(OR(AY910=AT910,AY910=AX910),"CHECK",0)</f>
        <v>0</v>
      </c>
      <c r="AZ954" s="1166">
        <f>IF(AZ910=AU910,"CHECK",0)</f>
        <v>0</v>
      </c>
      <c r="BA954" s="1166">
        <f>IF(OR(BA910=AV910,BA910=BB910,BA910=AY910),"CHECK",0)</f>
        <v>0</v>
      </c>
      <c r="BB954" s="1166">
        <f>IF(OR(BB910=AW910,BB910=BC910,BB910=BA910),"CHECK",0)</f>
        <v>0</v>
      </c>
      <c r="BC954" s="1166">
        <f>IF(OR(BC910=AX910,BC910=BD910,BC910=BB910),"CHECK",0)</f>
        <v>0</v>
      </c>
      <c r="BD954" s="1166">
        <f>IF(OR(BD910=AY910,BD910=BC910),"CHECK",0)</f>
        <v>0</v>
      </c>
      <c r="BE954" s="1166">
        <f>IF(BE910=AZ910,"CHECK",0)</f>
        <v>0</v>
      </c>
      <c r="BF954" s="1166">
        <f>IF(OR(BF910=BA910,BF910=BG910,BF910=BD910),"CHECK",0)</f>
        <v>0</v>
      </c>
      <c r="BG954" s="1166">
        <f>IF(OR(BG910=BB910,BG910=BH910,BG910=BF910),"CHECK",0)</f>
        <v>0</v>
      </c>
      <c r="BH954" s="1167">
        <f ca="1">IF(OR(BH910=BC910,BH910=BI910,BH910=BG910),"CHECK",0)</f>
        <v>0</v>
      </c>
      <c r="BI954" s="1168"/>
      <c r="BJ954" s="1168"/>
      <c r="BK954" s="1168"/>
      <c r="BL954" s="1168"/>
      <c r="BM954" s="1168"/>
      <c r="BN954" s="1168"/>
      <c r="BO954" s="1168"/>
      <c r="BP954" s="1166"/>
      <c r="BQ954" s="1166"/>
      <c r="BR954" s="1168"/>
      <c r="BS954" s="647"/>
    </row>
    <row r="955" spans="1:71" s="665" customFormat="1" ht="15">
      <c r="A955" s="647" t="s">
        <v>241</v>
      </c>
      <c r="B955" s="996"/>
      <c r="C955" s="1166">
        <f t="shared" si="1957" ref="C955:AH955">IF(ISBLANK(INDEX(MO_IS_FirstRow,0,COLUMN())),0,ROUND(C861-C795,6))</f>
        <v>0</v>
      </c>
      <c r="D955" s="1166">
        <f t="shared" si="1957"/>
        <v>0</v>
      </c>
      <c r="E955" s="1166">
        <f t="shared" si="1957"/>
        <v>0</v>
      </c>
      <c r="F955" s="1166">
        <f t="shared" si="1957"/>
        <v>0</v>
      </c>
      <c r="G955" s="1166">
        <f t="shared" si="1957"/>
        <v>0</v>
      </c>
      <c r="H955" s="1166">
        <f t="shared" si="1957"/>
        <v>0</v>
      </c>
      <c r="I955" s="1166">
        <f t="shared" si="1957"/>
        <v>0</v>
      </c>
      <c r="J955" s="1166">
        <f t="shared" si="1957"/>
        <v>0</v>
      </c>
      <c r="K955" s="1166">
        <f t="shared" si="1957"/>
        <v>0</v>
      </c>
      <c r="L955" s="1166">
        <f t="shared" si="1957"/>
        <v>0</v>
      </c>
      <c r="M955" s="1166">
        <f t="shared" si="1957"/>
        <v>0</v>
      </c>
      <c r="N955" s="1166">
        <f t="shared" si="1957"/>
        <v>0</v>
      </c>
      <c r="O955" s="1166">
        <f t="shared" si="1957"/>
        <v>0</v>
      </c>
      <c r="P955" s="1166">
        <f t="shared" si="1957"/>
        <v>0</v>
      </c>
      <c r="Q955" s="1166">
        <f t="shared" si="1957"/>
        <v>0</v>
      </c>
      <c r="R955" s="1166">
        <f t="shared" si="1957"/>
        <v>0</v>
      </c>
      <c r="S955" s="1166">
        <f t="shared" si="1957"/>
        <v>0</v>
      </c>
      <c r="T955" s="1166">
        <f t="shared" si="1957"/>
        <v>0</v>
      </c>
      <c r="U955" s="1166">
        <f t="shared" si="1957"/>
        <v>0</v>
      </c>
      <c r="V955" s="1166">
        <f t="shared" si="1957"/>
        <v>0</v>
      </c>
      <c r="W955" s="1166">
        <f t="shared" si="1957"/>
        <v>0</v>
      </c>
      <c r="X955" s="1166">
        <f t="shared" si="1957"/>
        <v>0</v>
      </c>
      <c r="Y955" s="1166">
        <f t="shared" si="1957"/>
        <v>0</v>
      </c>
      <c r="Z955" s="1166">
        <f t="shared" si="1957"/>
        <v>0</v>
      </c>
      <c r="AA955" s="1166">
        <f t="shared" si="1957"/>
        <v>0</v>
      </c>
      <c r="AB955" s="1166">
        <f t="shared" si="1957"/>
        <v>0</v>
      </c>
      <c r="AC955" s="1166">
        <f t="shared" si="1957"/>
        <v>0</v>
      </c>
      <c r="AD955" s="1166">
        <f t="shared" si="1957"/>
        <v>0</v>
      </c>
      <c r="AE955" s="1166">
        <f t="shared" si="1957"/>
        <v>0</v>
      </c>
      <c r="AF955" s="1166">
        <f t="shared" si="1957"/>
        <v>0</v>
      </c>
      <c r="AG955" s="1166">
        <f t="shared" si="1957"/>
        <v>0</v>
      </c>
      <c r="AH955" s="1166">
        <f t="shared" si="1957"/>
        <v>0</v>
      </c>
      <c r="AI955" s="1166">
        <f t="shared" si="1958" ref="AI955:AP955">IF(ISBLANK(INDEX(MO_IS_FirstRow,0,COLUMN())),0,ROUND(AI861-AI795,6))</f>
        <v>0</v>
      </c>
      <c r="AJ955" s="1166">
        <f t="shared" si="1958"/>
        <v>0</v>
      </c>
      <c r="AK955" s="1166">
        <f t="shared" si="1958"/>
        <v>0</v>
      </c>
      <c r="AL955" s="1166">
        <f t="shared" si="1958"/>
        <v>0</v>
      </c>
      <c r="AM955" s="1166">
        <f t="shared" si="1958"/>
        <v>0</v>
      </c>
      <c r="AN955" s="1166">
        <f t="shared" si="1958"/>
        <v>0</v>
      </c>
      <c r="AO955" s="1166">
        <f t="shared" si="1958"/>
        <v>0</v>
      </c>
      <c r="AP955" s="1166">
        <f t="shared" si="1958"/>
        <v>0</v>
      </c>
      <c r="AQ955" s="1166">
        <f t="shared" si="1959" ref="AQ955:AV955">IF(ISBLANK(INDEX(MO_IS_FirstRow,0,COLUMN())),0,ROUND(AQ861-AQ795,6))</f>
        <v>0</v>
      </c>
      <c r="AR955" s="1166">
        <f t="shared" si="1959"/>
        <v>0</v>
      </c>
      <c r="AS955" s="1166">
        <f t="shared" si="1959"/>
        <v>0</v>
      </c>
      <c r="AT955" s="1166">
        <f t="shared" si="1959"/>
        <v>0</v>
      </c>
      <c r="AU955" s="1166">
        <f t="shared" si="1959"/>
        <v>0</v>
      </c>
      <c r="AV955" s="1166">
        <f t="shared" si="1959"/>
        <v>0</v>
      </c>
      <c r="AW955" s="1166">
        <f t="shared" si="1960" ref="AW955:BJ955">IF(ISBLANK(INDEX(MO_IS_FirstRow,0,COLUMN())),0,ROUND(AW861-AW795,6))</f>
        <v>0</v>
      </c>
      <c r="AX955" s="1166">
        <f t="shared" si="1960"/>
        <v>0</v>
      </c>
      <c r="AY955" s="1166">
        <f t="shared" si="1960"/>
        <v>0</v>
      </c>
      <c r="AZ955" s="1166">
        <f t="shared" si="1960"/>
        <v>0</v>
      </c>
      <c r="BA955" s="1166">
        <f t="shared" si="1961" ref="BA955:BI955">IF(ISBLANK(INDEX(MO_IS_FirstRow,0,COLUMN())),0,ROUND(BA861-BA795,6))</f>
        <v>0</v>
      </c>
      <c r="BB955" s="1166">
        <f t="shared" si="1961"/>
        <v>0</v>
      </c>
      <c r="BC955" s="1166">
        <f t="shared" si="1961"/>
        <v>0</v>
      </c>
      <c r="BD955" s="1166">
        <f t="shared" si="1961"/>
        <v>0</v>
      </c>
      <c r="BE955" s="1166">
        <f t="shared" si="1961"/>
        <v>0</v>
      </c>
      <c r="BF955" s="1166">
        <f>IF(ISBLANK(INDEX(MO_IS_FirstRow,0,COLUMN())),0,ROUND(BF861-BF795,6))</f>
        <v>0</v>
      </c>
      <c r="BG955" s="1166">
        <f>IF(ISBLANK(INDEX(MO_IS_FirstRow,0,COLUMN())),0,ROUND(BG861-BG795,6))</f>
        <v>0</v>
      </c>
      <c r="BH955" s="1167">
        <f>IF(ISBLANK(INDEX(MO_IS_FirstRow,0,COLUMN())),0,ROUND(BH861-BH795,6))</f>
        <v>0</v>
      </c>
      <c r="BI955" s="1168">
        <f t="shared" si="1961"/>
        <v>0</v>
      </c>
      <c r="BJ955" s="1168">
        <f t="shared" si="1960"/>
        <v>0</v>
      </c>
      <c r="BK955" s="1168">
        <f t="shared" si="1962" ref="BK955:BR955">IF(ISBLANK(INDEX(MO_IS_FirstRow,0,COLUMN())),0,ROUND(BK861-BK795,6))</f>
        <v>0</v>
      </c>
      <c r="BL955" s="1168">
        <f t="shared" si="1962"/>
        <v>0</v>
      </c>
      <c r="BM955" s="1168">
        <f t="shared" si="1962"/>
        <v>0</v>
      </c>
      <c r="BN955" s="1168">
        <f t="shared" si="1962"/>
        <v>0</v>
      </c>
      <c r="BO955" s="1168">
        <f t="shared" si="1962"/>
        <v>0</v>
      </c>
      <c r="BP955" s="1166">
        <f t="shared" si="1962"/>
        <v>0</v>
      </c>
      <c r="BQ955" s="1166">
        <f t="shared" si="1962"/>
        <v>0</v>
      </c>
      <c r="BR955" s="1168">
        <f t="shared" si="1962"/>
        <v>0</v>
      </c>
      <c r="BS955" s="647"/>
    </row>
    <row r="956" spans="1:71" s="665" customFormat="1" ht="15">
      <c r="A956" s="647" t="s">
        <v>242</v>
      </c>
      <c r="B956" s="996"/>
      <c r="C956" s="1166"/>
      <c r="D956" s="1166"/>
      <c r="E956" s="1166"/>
      <c r="F956" s="1166"/>
      <c r="G956" s="1166"/>
      <c r="H956" s="1166"/>
      <c r="I956" s="1166"/>
      <c r="J956" s="1166"/>
      <c r="K956" s="1166"/>
      <c r="L956" s="1166">
        <f>ROUND(L626-SUM(H626,I626,J626,K626),6)</f>
        <v>0</v>
      </c>
      <c r="M956" s="1166"/>
      <c r="N956" s="1166"/>
      <c r="O956" s="1166"/>
      <c r="P956" s="1166"/>
      <c r="Q956" s="1166">
        <f>ROUND(Q626-SUM(M626,N626,O626,P626),6)</f>
        <v>0</v>
      </c>
      <c r="R956" s="1166"/>
      <c r="S956" s="1166"/>
      <c r="T956" s="1166"/>
      <c r="U956" s="1166"/>
      <c r="V956" s="1166">
        <f>ROUND(V626-SUM(R626,S626,T626,U626),6)</f>
        <v>0</v>
      </c>
      <c r="W956" s="1166"/>
      <c r="X956" s="1166"/>
      <c r="Y956" s="1166"/>
      <c r="Z956" s="1166"/>
      <c r="AA956" s="1166">
        <f>ROUND(AA626-SUM(W626,X626,Y626,Z626),6)</f>
        <v>0</v>
      </c>
      <c r="AB956" s="1166"/>
      <c r="AC956" s="1166"/>
      <c r="AD956" s="1166"/>
      <c r="AE956" s="1166"/>
      <c r="AF956" s="1166">
        <f>ROUND(AF626-SUM(AB626,AC626,AD626,AE626),6)</f>
        <v>0</v>
      </c>
      <c r="AG956" s="1166"/>
      <c r="AH956" s="1166"/>
      <c r="AI956" s="1166"/>
      <c r="AJ956" s="1166"/>
      <c r="AK956" s="1166">
        <f>ROUND(AK626-SUM(AG626,AH626,AI626,AJ626),6)</f>
        <v>0</v>
      </c>
      <c r="AL956" s="1166"/>
      <c r="AM956" s="1166"/>
      <c r="AN956" s="1166"/>
      <c r="AO956" s="1166"/>
      <c r="AP956" s="1166">
        <f>ROUND(AP626-SUM(AL626,AM626,AN626,AO626),6)</f>
        <v>0</v>
      </c>
      <c r="AQ956" s="1166"/>
      <c r="AR956" s="1166"/>
      <c r="AS956" s="1166"/>
      <c r="AT956" s="1166"/>
      <c r="AU956" s="1166">
        <f>ROUND(AU626-SUM(AQ626,AR626,AS626,AT626),6)</f>
        <v>0</v>
      </c>
      <c r="AV956" s="1166"/>
      <c r="AW956" s="1166"/>
      <c r="AX956" s="1166"/>
      <c r="AY956" s="1166"/>
      <c r="AZ956" s="1166">
        <f>ROUND(AZ626-SUM(AV626,AW626,AX626,AY626),6)</f>
        <v>0</v>
      </c>
      <c r="BA956" s="1166"/>
      <c r="BB956" s="1166"/>
      <c r="BC956" s="1166"/>
      <c r="BD956" s="1166"/>
      <c r="BE956" s="1166">
        <f>ROUND(BE626-SUM(BA626,BB626,BC626,BD626),6)</f>
        <v>0</v>
      </c>
      <c r="BF956" s="1166"/>
      <c r="BG956" s="1166"/>
      <c r="BH956" s="1167"/>
      <c r="BI956" s="1168"/>
      <c r="BJ956" s="1168">
        <f>ROUND(BJ626-SUM(BF626,BG626,BH626,BI626),6)</f>
        <v>0</v>
      </c>
      <c r="BK956" s="1168"/>
      <c r="BL956" s="1168"/>
      <c r="BM956" s="1168"/>
      <c r="BN956" s="1168"/>
      <c r="BO956" s="1168">
        <f>ROUND(BO626-SUM(BK626,BL626,BM626,BN626),6)</f>
        <v>0</v>
      </c>
      <c r="BP956" s="1166"/>
      <c r="BQ956" s="1166"/>
      <c r="BR956" s="1168"/>
      <c r="BS956" s="647"/>
    </row>
    <row r="957" spans="1:71" s="665" customFormat="1" ht="15">
      <c r="A957" s="647" t="s">
        <v>243</v>
      </c>
      <c r="B957" s="996"/>
      <c r="C957" s="1166"/>
      <c r="D957" s="1166"/>
      <c r="E957" s="1166"/>
      <c r="F957" s="1166"/>
      <c r="G957" s="1166"/>
      <c r="H957" s="1166"/>
      <c r="I957" s="1166"/>
      <c r="J957" s="1166"/>
      <c r="K957" s="1166"/>
      <c r="L957" s="1166">
        <f>ROUND(SUM(H636,I636,J636,K636)-INDEX(MO_RIS_NI_NONGAAP_Diluted,1,COLUMN()),6)</f>
        <v>0</v>
      </c>
      <c r="M957" s="1166"/>
      <c r="N957" s="1166"/>
      <c r="O957" s="1166"/>
      <c r="P957" s="1166"/>
      <c r="Q957" s="1166">
        <f>ROUND(SUM(M636,N636,O636,P636)-INDEX(MO_RIS_NI_NONGAAP_Diluted,1,COLUMN()),6)</f>
        <v>0</v>
      </c>
      <c r="R957" s="1166"/>
      <c r="S957" s="1166"/>
      <c r="T957" s="1166"/>
      <c r="U957" s="1166"/>
      <c r="V957" s="1166">
        <f>ROUND(SUM(R636,S636,T636,U636)-INDEX(MO_RIS_NI_NONGAAP_Diluted,1,COLUMN()),6)</f>
        <v>0</v>
      </c>
      <c r="W957" s="1166"/>
      <c r="X957" s="1166"/>
      <c r="Y957" s="1166"/>
      <c r="Z957" s="1166"/>
      <c r="AA957" s="1166">
        <f>ROUND(SUM(W636,X636,Y636,Z636)-INDEX(MO_RIS_NI_NONGAAP_Diluted,1,COLUMN()),6)</f>
        <v>0</v>
      </c>
      <c r="AB957" s="1166"/>
      <c r="AC957" s="1166"/>
      <c r="AD957" s="1166"/>
      <c r="AE957" s="1166"/>
      <c r="AF957" s="1166">
        <f>ROUND(SUM(AB636,AC636,AD636,AE636)-INDEX(MO_RIS_NI_NONGAAP_Diluted,1,COLUMN()),6)</f>
        <v>0</v>
      </c>
      <c r="AG957" s="1166"/>
      <c r="AH957" s="1166"/>
      <c r="AI957" s="1166"/>
      <c r="AJ957" s="1166"/>
      <c r="AK957" s="1166">
        <f>ROUND(SUM(AG636,AH636,AI636,AJ636)-INDEX(MO_RIS_NI_NONGAAP_Diluted,1,COLUMN()),6)</f>
        <v>0</v>
      </c>
      <c r="AL957" s="1166"/>
      <c r="AM957" s="1166"/>
      <c r="AN957" s="1166"/>
      <c r="AO957" s="1166"/>
      <c r="AP957" s="1166">
        <f>ROUND(SUM(AL636,AM636,AN636,AO636)-INDEX(MO_RIS_NI_NONGAAP_Diluted,1,COLUMN()),6)</f>
        <v>-6.40</v>
      </c>
      <c r="AQ957" s="1166"/>
      <c r="AR957" s="1166"/>
      <c r="AS957" s="1166"/>
      <c r="AT957" s="1166"/>
      <c r="AU957" s="1166">
        <f>ROUND(SUM(AQ636,AR636,AS636,AT636)-INDEX(MO_RIS_NI_NONGAAP_Diluted,1,COLUMN()),6)</f>
        <v>0</v>
      </c>
      <c r="AV957" s="1166"/>
      <c r="AW957" s="1166"/>
      <c r="AX957" s="1166"/>
      <c r="AY957" s="1166"/>
      <c r="AZ957" s="1166">
        <f>ROUND(SUM(AV636,AW636,AX636,AY636)-INDEX(MO_RIS_NI_NONGAAP_Diluted,1,COLUMN()),6)</f>
        <v>0</v>
      </c>
      <c r="BA957" s="1166"/>
      <c r="BB957" s="1166"/>
      <c r="BC957" s="1166"/>
      <c r="BD957" s="1166"/>
      <c r="BE957" s="1166">
        <f>ROUND(SUM(BA636,BB636,BC636,BD636)-INDEX(MO_RIS_NI_NONGAAP_Diluted,1,COLUMN()),6)</f>
        <v>0</v>
      </c>
      <c r="BF957" s="1166"/>
      <c r="BG957" s="1166"/>
      <c r="BH957" s="1167"/>
      <c r="BI957" s="1168"/>
      <c r="BJ957" s="1168">
        <f>ROUND(SUM(BF636,BG636,BH636,BI636)-INDEX(MO_RIS_NI_NONGAAP_Diluted,1,COLUMN()),6)</f>
        <v>0</v>
      </c>
      <c r="BK957" s="1168"/>
      <c r="BL957" s="1168"/>
      <c r="BM957" s="1168"/>
      <c r="BN957" s="1168"/>
      <c r="BO957" s="1168">
        <f>ROUND(SUM(BK636,BL636,BM636,BN636)-INDEX(MO_RIS_NI_NONGAAP_Diluted,1,COLUMN()),6)</f>
        <v>0</v>
      </c>
      <c r="BP957" s="1166"/>
      <c r="BQ957" s="1166"/>
      <c r="BR957" s="1168"/>
      <c r="BS957" s="647"/>
    </row>
    <row r="958" spans="1:71" s="665" customFormat="1" ht="15">
      <c r="A958" s="647" t="s">
        <v>244</v>
      </c>
      <c r="B958" s="996"/>
      <c r="C958" s="1166"/>
      <c r="D958" s="1166"/>
      <c r="E958" s="1166"/>
      <c r="F958" s="1166"/>
      <c r="G958" s="1166"/>
      <c r="H958" s="1166"/>
      <c r="I958" s="1166"/>
      <c r="J958" s="1166"/>
      <c r="K958" s="1166"/>
      <c r="L958" s="1166">
        <f ca="1">ROUND(SUM(H813,I813,J813,K813)-SUM(OFFSET(INDEX(MO_CFS_CFO_BeforeWC,1,COLUMN()),ROW(INDEX(MO_SubSection_CFS_CFO,1,COLUMN()))-ROW(INDEX(MO_CFS_CFO_BeforeWC,1,COLUMN())),0,ROW(INDEX(MO_CFS_CFO_BeforeWC,1,COLUMN()))-ROW(INDEX(MO_SubSection_CFS_CFO,1,COLUMN())),1)),6)</f>
        <v>0</v>
      </c>
      <c r="M958" s="1166"/>
      <c r="N958" s="1166"/>
      <c r="O958" s="1166"/>
      <c r="P958" s="1166"/>
      <c r="Q958" s="1166">
        <f ca="1">ROUND(SUM(M813,N813,O813,P813)-SUM(OFFSET(INDEX(MO_CFS_CFO_BeforeWC,1,COLUMN()),ROW(INDEX(MO_SubSection_CFS_CFO,1,COLUMN()))-ROW(INDEX(MO_CFS_CFO_BeforeWC,1,COLUMN())),0,ROW(INDEX(MO_CFS_CFO_BeforeWC,1,COLUMN()))-ROW(INDEX(MO_SubSection_CFS_CFO,1,COLUMN())),1)),6)</f>
        <v>0</v>
      </c>
      <c r="R958" s="1166"/>
      <c r="S958" s="1166"/>
      <c r="T958" s="1166"/>
      <c r="U958" s="1166"/>
      <c r="V958" s="1166">
        <f ca="1">ROUND(SUM(R813,S813,T813,U813)-SUM(OFFSET(INDEX(MO_CFS_CFO_BeforeWC,1,COLUMN()),ROW(INDEX(MO_SubSection_CFS_CFO,1,COLUMN()))-ROW(INDEX(MO_CFS_CFO_BeforeWC,1,COLUMN())),0,ROW(INDEX(MO_CFS_CFO_BeforeWC,1,COLUMN()))-ROW(INDEX(MO_SubSection_CFS_CFO,1,COLUMN())),1)),6)</f>
        <v>0</v>
      </c>
      <c r="W958" s="1166"/>
      <c r="X958" s="1166"/>
      <c r="Y958" s="1166"/>
      <c r="Z958" s="1166"/>
      <c r="AA958" s="1166">
        <f ca="1">ROUND(SUM(W813,X813,Y813,Z813)-SUM(OFFSET(INDEX(MO_CFS_CFO_BeforeWC,1,COLUMN()),ROW(INDEX(MO_SubSection_CFS_CFO,1,COLUMN()))-ROW(INDEX(MO_CFS_CFO_BeforeWC,1,COLUMN())),0,ROW(INDEX(MO_CFS_CFO_BeforeWC,1,COLUMN()))-ROW(INDEX(MO_SubSection_CFS_CFO,1,COLUMN())),1)),6)</f>
        <v>0</v>
      </c>
      <c r="AB958" s="1166"/>
      <c r="AC958" s="1166"/>
      <c r="AD958" s="1166"/>
      <c r="AE958" s="1166"/>
      <c r="AF958" s="1166">
        <f ca="1">ROUND(SUM(AB813,AC813,AD813,AE813)-SUM(OFFSET(INDEX(MO_CFS_CFO_BeforeWC,1,COLUMN()),ROW(INDEX(MO_SubSection_CFS_CFO,1,COLUMN()))-ROW(INDEX(MO_CFS_CFO_BeforeWC,1,COLUMN())),0,ROW(INDEX(MO_CFS_CFO_BeforeWC,1,COLUMN()))-ROW(INDEX(MO_SubSection_CFS_CFO,1,COLUMN())),1)),6)</f>
        <v>0</v>
      </c>
      <c r="AG958" s="1166"/>
      <c r="AH958" s="1166"/>
      <c r="AI958" s="1166"/>
      <c r="AJ958" s="1166"/>
      <c r="AK958" s="1166">
        <f ca="1">ROUND(SUM(AG813,AH813,AI813,AJ813)-SUM(OFFSET(INDEX(MO_CFS_CFO_BeforeWC,1,COLUMN()),ROW(INDEX(MO_SubSection_CFS_CFO,1,COLUMN()))-ROW(INDEX(MO_CFS_CFO_BeforeWC,1,COLUMN())),0,ROW(INDEX(MO_CFS_CFO_BeforeWC,1,COLUMN()))-ROW(INDEX(MO_SubSection_CFS_CFO,1,COLUMN())),1)),6)</f>
        <v>0</v>
      </c>
      <c r="AL958" s="1166"/>
      <c r="AM958" s="1166"/>
      <c r="AN958" s="1166"/>
      <c r="AO958" s="1166"/>
      <c r="AP958" s="1166">
        <f ca="1">ROUND(SUM(AL813,AM813,AN813,AO813)-SUM(OFFSET(INDEX(MO_CFS_CFO_BeforeWC,1,COLUMN()),ROW(INDEX(MO_SubSection_CFS_CFO,1,COLUMN()))-ROW(INDEX(MO_CFS_CFO_BeforeWC,1,COLUMN())),0,ROW(INDEX(MO_CFS_CFO_BeforeWC,1,COLUMN()))-ROW(INDEX(MO_SubSection_CFS_CFO,1,COLUMN())),1)),6)</f>
        <v>0</v>
      </c>
      <c r="AQ958" s="1166"/>
      <c r="AR958" s="1166"/>
      <c r="AS958" s="1166"/>
      <c r="AT958" s="1166"/>
      <c r="AU958" s="1166">
        <f ca="1">ROUND(SUM(AQ813,AR813,AS813,AT813)-SUM(OFFSET(INDEX(MO_CFS_CFO_BeforeWC,1,COLUMN()),ROW(INDEX(MO_SubSection_CFS_CFO,1,COLUMN()))-ROW(INDEX(MO_CFS_CFO_BeforeWC,1,COLUMN())),0,ROW(INDEX(MO_CFS_CFO_BeforeWC,1,COLUMN()))-ROW(INDEX(MO_SubSection_CFS_CFO,1,COLUMN())),1)),6)</f>
        <v>0</v>
      </c>
      <c r="AV958" s="1166"/>
      <c r="AW958" s="1166"/>
      <c r="AX958" s="1166"/>
      <c r="AY958" s="1166"/>
      <c r="AZ958" s="1166">
        <f ca="1">ROUND(SUM(AV813,AW813,AX813,AY813)-SUM(OFFSET(INDEX(MO_CFS_CFO_BeforeWC,1,COLUMN()),ROW(INDEX(MO_SubSection_CFS_CFO,1,COLUMN()))-ROW(INDEX(MO_CFS_CFO_BeforeWC,1,COLUMN())),0,ROW(INDEX(MO_CFS_CFO_BeforeWC,1,COLUMN()))-ROW(INDEX(MO_SubSection_CFS_CFO,1,COLUMN())),1)),6)</f>
        <v>0</v>
      </c>
      <c r="BA958" s="1166"/>
      <c r="BB958" s="1166"/>
      <c r="BC958" s="1166"/>
      <c r="BD958" s="1166"/>
      <c r="BE958" s="1166">
        <f ca="1">ROUND(SUM(BA813,BB813,BC813,BD813)-SUM(OFFSET(INDEX(MO_CFS_CFO_BeforeWC,1,COLUMN()),ROW(INDEX(MO_SubSection_CFS_CFO,1,COLUMN()))-ROW(INDEX(MO_CFS_CFO_BeforeWC,1,COLUMN())),0,ROW(INDEX(MO_CFS_CFO_BeforeWC,1,COLUMN()))-ROW(INDEX(MO_SubSection_CFS_CFO,1,COLUMN())),1)),6)</f>
        <v>0</v>
      </c>
      <c r="BF958" s="1166"/>
      <c r="BG958" s="1166"/>
      <c r="BH958" s="1167"/>
      <c r="BI958" s="1168"/>
      <c r="BJ958" s="1168">
        <f ca="1">ROUND(SUM(BF813,BG813,BH813,BI813)-SUM(OFFSET(INDEX(MO_CFS_CFO_BeforeWC,1,COLUMN()),ROW(INDEX(MO_SubSection_CFS_CFO,1,COLUMN()))-ROW(INDEX(MO_CFS_CFO_BeforeWC,1,COLUMN())),0,ROW(INDEX(MO_CFS_CFO_BeforeWC,1,COLUMN()))-ROW(INDEX(MO_SubSection_CFS_CFO,1,COLUMN())),1)),6)</f>
        <v>0</v>
      </c>
      <c r="BK958" s="1168"/>
      <c r="BL958" s="1168"/>
      <c r="BM958" s="1168"/>
      <c r="BN958" s="1168"/>
      <c r="BO958" s="1168">
        <f ca="1">ROUND(SUM(BK813,BL813,BM813,BN813)-SUM(OFFSET(INDEX(MO_CFS_CFO_BeforeWC,1,COLUMN()),ROW(INDEX(MO_SubSection_CFS_CFO,1,COLUMN()))-ROW(INDEX(MO_CFS_CFO_BeforeWC,1,COLUMN())),0,ROW(INDEX(MO_CFS_CFO_BeforeWC,1,COLUMN()))-ROW(INDEX(MO_SubSection_CFS_CFO,1,COLUMN())),1)),6)</f>
        <v>0</v>
      </c>
      <c r="BP958" s="1166"/>
      <c r="BQ958" s="1166"/>
      <c r="BR958" s="1168"/>
      <c r="BS958" s="647"/>
    </row>
    <row r="959" spans="1:71" s="665" customFormat="1" ht="15">
      <c r="A959" s="647" t="s">
        <v>245</v>
      </c>
      <c r="B959" s="996"/>
      <c r="C959" s="1166"/>
      <c r="D959" s="1166"/>
      <c r="E959" s="1166"/>
      <c r="F959" s="1166"/>
      <c r="G959" s="1166"/>
      <c r="H959" s="1166"/>
      <c r="I959" s="1166"/>
      <c r="J959" s="1166"/>
      <c r="K959" s="1166"/>
      <c r="L959" s="1166">
        <f ca="1">ROUND(SUM(H824,I824,J824,K824)-SUM(OFFSET(INDEX(MO_CFS_CFO,1,COLUMN()),ROW(INDEX(MO_CFS_CFO_BeforeWC,1,COLUMN()))-ROW(INDEX(MO_CFS_CFO,1,COLUMN())),0,ROW(INDEX(MO_CFS_CFO,1,COLUMN()))-ROW(INDEX(MO_CFS_CFO_BeforeWC,1,COLUMN())),1)),6)</f>
        <v>0</v>
      </c>
      <c r="M959" s="1166"/>
      <c r="N959" s="1166"/>
      <c r="O959" s="1166"/>
      <c r="P959" s="1166"/>
      <c r="Q959" s="1166">
        <f ca="1">ROUND(SUM(M824,N824,O824,P824)-SUM(OFFSET(INDEX(MO_CFS_CFO,1,COLUMN()),ROW(INDEX(MO_CFS_CFO_BeforeWC,1,COLUMN()))-ROW(INDEX(MO_CFS_CFO,1,COLUMN())),0,ROW(INDEX(MO_CFS_CFO,1,COLUMN()))-ROW(INDEX(MO_CFS_CFO_BeforeWC,1,COLUMN())),1)),6)</f>
        <v>0</v>
      </c>
      <c r="R959" s="1166"/>
      <c r="S959" s="1166"/>
      <c r="T959" s="1166"/>
      <c r="U959" s="1166"/>
      <c r="V959" s="1166">
        <f ca="1">ROUND(SUM(R824,S824,T824,U824)-SUM(OFFSET(INDEX(MO_CFS_CFO,1,COLUMN()),ROW(INDEX(MO_CFS_CFO_BeforeWC,1,COLUMN()))-ROW(INDEX(MO_CFS_CFO,1,COLUMN())),0,ROW(INDEX(MO_CFS_CFO,1,COLUMN()))-ROW(INDEX(MO_CFS_CFO_BeforeWC,1,COLUMN())),1)),6)</f>
        <v>0</v>
      </c>
      <c r="W959" s="1166"/>
      <c r="X959" s="1166"/>
      <c r="Y959" s="1166"/>
      <c r="Z959" s="1166"/>
      <c r="AA959" s="1166">
        <f ca="1">ROUND(SUM(W824,X824,Y824,Z824)-SUM(OFFSET(INDEX(MO_CFS_CFO,1,COLUMN()),ROW(INDEX(MO_CFS_CFO_BeforeWC,1,COLUMN()))-ROW(INDEX(MO_CFS_CFO,1,COLUMN())),0,ROW(INDEX(MO_CFS_CFO,1,COLUMN()))-ROW(INDEX(MO_CFS_CFO_BeforeWC,1,COLUMN())),1)),6)</f>
        <v>0</v>
      </c>
      <c r="AB959" s="1166"/>
      <c r="AC959" s="1166"/>
      <c r="AD959" s="1166"/>
      <c r="AE959" s="1166"/>
      <c r="AF959" s="1166">
        <f ca="1">ROUND(SUM(AB824,AC824,AD824,AE824)-SUM(OFFSET(INDEX(MO_CFS_CFO,1,COLUMN()),ROW(INDEX(MO_CFS_CFO_BeforeWC,1,COLUMN()))-ROW(INDEX(MO_CFS_CFO,1,COLUMN())),0,ROW(INDEX(MO_CFS_CFO,1,COLUMN()))-ROW(INDEX(MO_CFS_CFO_BeforeWC,1,COLUMN())),1)),6)</f>
        <v>0</v>
      </c>
      <c r="AG959" s="1166"/>
      <c r="AH959" s="1166"/>
      <c r="AI959" s="1166"/>
      <c r="AJ959" s="1166"/>
      <c r="AK959" s="1166">
        <f ca="1">ROUND(SUM(AG824,AH824,AI824,AJ824)-SUM(OFFSET(INDEX(MO_CFS_CFO,1,COLUMN()),ROW(INDEX(MO_CFS_CFO_BeforeWC,1,COLUMN()))-ROW(INDEX(MO_CFS_CFO,1,COLUMN())),0,ROW(INDEX(MO_CFS_CFO,1,COLUMN()))-ROW(INDEX(MO_CFS_CFO_BeforeWC,1,COLUMN())),1)),6)</f>
        <v>0</v>
      </c>
      <c r="AL959" s="1166"/>
      <c r="AM959" s="1166"/>
      <c r="AN959" s="1166"/>
      <c r="AO959" s="1166"/>
      <c r="AP959" s="1166">
        <f ca="1">ROUND(SUM(AL824,AM824,AN824,AO824)-SUM(OFFSET(INDEX(MO_CFS_CFO,1,COLUMN()),ROW(INDEX(MO_CFS_CFO_BeforeWC,1,COLUMN()))-ROW(INDEX(MO_CFS_CFO,1,COLUMN())),0,ROW(INDEX(MO_CFS_CFO,1,COLUMN()))-ROW(INDEX(MO_CFS_CFO_BeforeWC,1,COLUMN())),1)),6)</f>
        <v>0</v>
      </c>
      <c r="AQ959" s="1166"/>
      <c r="AR959" s="1166"/>
      <c r="AS959" s="1166"/>
      <c r="AT959" s="1166"/>
      <c r="AU959" s="1166">
        <f ca="1">ROUND(SUM(AQ824,AR824,AS824,AT824)-SUM(OFFSET(INDEX(MO_CFS_CFO,1,COLUMN()),ROW(INDEX(MO_CFS_CFO_BeforeWC,1,COLUMN()))-ROW(INDEX(MO_CFS_CFO,1,COLUMN())),0,ROW(INDEX(MO_CFS_CFO,1,COLUMN()))-ROW(INDEX(MO_CFS_CFO_BeforeWC,1,COLUMN())),1)),6)</f>
        <v>0</v>
      </c>
      <c r="AV959" s="1166"/>
      <c r="AW959" s="1166"/>
      <c r="AX959" s="1166"/>
      <c r="AY959" s="1166"/>
      <c r="AZ959" s="1166">
        <f ca="1">ROUND(SUM(AV824,AW824,AX824,AY824)-SUM(OFFSET(INDEX(MO_CFS_CFO,1,COLUMN()),ROW(INDEX(MO_CFS_CFO_BeforeWC,1,COLUMN()))-ROW(INDEX(MO_CFS_CFO,1,COLUMN())),0,ROW(INDEX(MO_CFS_CFO,1,COLUMN()))-ROW(INDEX(MO_CFS_CFO_BeforeWC,1,COLUMN())),1)),6)</f>
        <v>0</v>
      </c>
      <c r="BA959" s="1166"/>
      <c r="BB959" s="1166"/>
      <c r="BC959" s="1166"/>
      <c r="BD959" s="1166"/>
      <c r="BE959" s="1166">
        <f ca="1">ROUND(SUM(BA824,BB824,BC824,BD824)-SUM(OFFSET(INDEX(MO_CFS_CFO,1,COLUMN()),ROW(INDEX(MO_CFS_CFO_BeforeWC,1,COLUMN()))-ROW(INDEX(MO_CFS_CFO,1,COLUMN())),0,ROW(INDEX(MO_CFS_CFO,1,COLUMN()))-ROW(INDEX(MO_CFS_CFO_BeforeWC,1,COLUMN())),1)),6)</f>
        <v>0</v>
      </c>
      <c r="BF959" s="1166"/>
      <c r="BG959" s="1166"/>
      <c r="BH959" s="1167"/>
      <c r="BI959" s="1168"/>
      <c r="BJ959" s="1168">
        <f ca="1">ROUND(SUM(BF824,BG824,BH824,BI824)-SUM(OFFSET(INDEX(MO_CFS_CFO,1,COLUMN()),ROW(INDEX(MO_CFS_CFO_BeforeWC,1,COLUMN()))-ROW(INDEX(MO_CFS_CFO,1,COLUMN())),0,ROW(INDEX(MO_CFS_CFO,1,COLUMN()))-ROW(INDEX(MO_CFS_CFO_BeforeWC,1,COLUMN())),1)),6)</f>
        <v>0</v>
      </c>
      <c r="BK959" s="1168"/>
      <c r="BL959" s="1168"/>
      <c r="BM959" s="1168"/>
      <c r="BN959" s="1168"/>
      <c r="BO959" s="1168">
        <f ca="1">ROUND(SUM(BK824,BL824,BM824,BN824)-SUM(OFFSET(INDEX(MO_CFS_CFO,1,COLUMN()),ROW(INDEX(MO_CFS_CFO_BeforeWC,1,COLUMN()))-ROW(INDEX(MO_CFS_CFO,1,COLUMN())),0,ROW(INDEX(MO_CFS_CFO,1,COLUMN()))-ROW(INDEX(MO_CFS_CFO_BeforeWC,1,COLUMN())),1)),6)</f>
        <v>0</v>
      </c>
      <c r="BP959" s="1166"/>
      <c r="BQ959" s="1166"/>
      <c r="BR959" s="1168"/>
      <c r="BS959" s="647"/>
    </row>
    <row r="960" spans="1:71" s="665" customFormat="1" ht="15">
      <c r="A960" s="647" t="s">
        <v>246</v>
      </c>
      <c r="B960" s="996"/>
      <c r="C960" s="1166"/>
      <c r="D960" s="1166"/>
      <c r="E960" s="1166"/>
      <c r="F960" s="1166"/>
      <c r="G960" s="1166"/>
      <c r="H960" s="1166"/>
      <c r="I960" s="1166"/>
      <c r="J960" s="1166"/>
      <c r="K960" s="1166"/>
      <c r="L960" s="1166">
        <f>ROUND(L840-SUM(H840,I840,J840,K840),6)</f>
        <v>0</v>
      </c>
      <c r="M960" s="1166"/>
      <c r="N960" s="1166"/>
      <c r="O960" s="1166"/>
      <c r="P960" s="1166"/>
      <c r="Q960" s="1166">
        <f>ROUND(Q840-SUM(M840,N840,O840,P840),6)</f>
        <v>0</v>
      </c>
      <c r="R960" s="1166"/>
      <c r="S960" s="1166"/>
      <c r="T960" s="1166"/>
      <c r="U960" s="1166"/>
      <c r="V960" s="1166">
        <f>ROUND(V840-SUM(R840,S840,T840,U840),6)</f>
        <v>0</v>
      </c>
      <c r="W960" s="1166"/>
      <c r="X960" s="1166"/>
      <c r="Y960" s="1166"/>
      <c r="Z960" s="1166"/>
      <c r="AA960" s="1166">
        <f>ROUND(AA840-SUM(W840,X840,Y840,Z840),6)</f>
        <v>0</v>
      </c>
      <c r="AB960" s="1166"/>
      <c r="AC960" s="1166"/>
      <c r="AD960" s="1166"/>
      <c r="AE960" s="1166"/>
      <c r="AF960" s="1166">
        <f>ROUND(AF840-SUM(AB840,AC840,AD840,AE840),6)</f>
        <v>0</v>
      </c>
      <c r="AG960" s="1166"/>
      <c r="AH960" s="1166"/>
      <c r="AI960" s="1166"/>
      <c r="AJ960" s="1166"/>
      <c r="AK960" s="1166">
        <f>ROUND(AK840-SUM(AG840,AH840,AI840,AJ840),6)</f>
        <v>0</v>
      </c>
      <c r="AL960" s="1166"/>
      <c r="AM960" s="1166"/>
      <c r="AN960" s="1166"/>
      <c r="AO960" s="1166"/>
      <c r="AP960" s="1166">
        <f>ROUND(AP840-SUM(AL840,AM840,AN840,AO840),6)</f>
        <v>0</v>
      </c>
      <c r="AQ960" s="1166"/>
      <c r="AR960" s="1166"/>
      <c r="AS960" s="1166"/>
      <c r="AT960" s="1166"/>
      <c r="AU960" s="1166">
        <f>ROUND(AU840-SUM(AQ840,AR840,AS840,AT840),6)</f>
        <v>0</v>
      </c>
      <c r="AV960" s="1166"/>
      <c r="AW960" s="1166"/>
      <c r="AX960" s="1166"/>
      <c r="AY960" s="1166"/>
      <c r="AZ960" s="1166">
        <f>ROUND(AZ840-SUM(AV840,AW840,AX840,AY840),6)</f>
        <v>0</v>
      </c>
      <c r="BA960" s="1166"/>
      <c r="BB960" s="1166"/>
      <c r="BC960" s="1166"/>
      <c r="BD960" s="1166"/>
      <c r="BE960" s="1166">
        <f>ROUND(BE840-SUM(BA840,BB840,BC840,BD840),6)</f>
        <v>0</v>
      </c>
      <c r="BF960" s="1166"/>
      <c r="BG960" s="1166"/>
      <c r="BH960" s="1167"/>
      <c r="BI960" s="1168"/>
      <c r="BJ960" s="1168">
        <f>ROUND(BJ840-SUM(BF840,BG840,BH840,BI840),6)</f>
        <v>0</v>
      </c>
      <c r="BK960" s="1168"/>
      <c r="BL960" s="1168"/>
      <c r="BM960" s="1168"/>
      <c r="BN960" s="1168"/>
      <c r="BO960" s="1168">
        <f>ROUND(BO840-SUM(BK840,BL840,BM840,BN840),6)</f>
        <v>0</v>
      </c>
      <c r="BP960" s="1166"/>
      <c r="BQ960" s="1166"/>
      <c r="BR960" s="1168"/>
      <c r="BS960" s="647"/>
    </row>
    <row r="961" spans="1:71" s="665" customFormat="1" ht="15">
      <c r="A961" s="647" t="s">
        <v>247</v>
      </c>
      <c r="B961" s="996"/>
      <c r="C961" s="1166"/>
      <c r="D961" s="1166"/>
      <c r="E961" s="1166"/>
      <c r="F961" s="1166"/>
      <c r="G961" s="1166"/>
      <c r="H961" s="1166"/>
      <c r="I961" s="1166"/>
      <c r="J961" s="1166"/>
      <c r="K961" s="1166"/>
      <c r="L961" s="1166">
        <f>ROUND(L855-SUM(H855,I855,J855,K855),6)</f>
        <v>0</v>
      </c>
      <c r="M961" s="1166"/>
      <c r="N961" s="1166"/>
      <c r="O961" s="1166"/>
      <c r="P961" s="1166"/>
      <c r="Q961" s="1166">
        <f>ROUND(Q855-SUM(M855,N855,O855,P855),6)</f>
        <v>0</v>
      </c>
      <c r="R961" s="1166"/>
      <c r="S961" s="1166"/>
      <c r="T961" s="1166"/>
      <c r="U961" s="1166"/>
      <c r="V961" s="1166">
        <f>ROUND(V855-SUM(R855,S855,T855,U855),6)</f>
        <v>0</v>
      </c>
      <c r="W961" s="1166"/>
      <c r="X961" s="1166"/>
      <c r="Y961" s="1166"/>
      <c r="Z961" s="1166"/>
      <c r="AA961" s="1166">
        <f>ROUND(AA855-SUM(W855,X855,Y855,Z855),6)</f>
        <v>0</v>
      </c>
      <c r="AB961" s="1166"/>
      <c r="AC961" s="1166"/>
      <c r="AD961" s="1166"/>
      <c r="AE961" s="1166"/>
      <c r="AF961" s="1166">
        <f>ROUND(AF855-SUM(AB855,AC855,AD855,AE855),6)</f>
        <v>0</v>
      </c>
      <c r="AG961" s="1166"/>
      <c r="AH961" s="1166"/>
      <c r="AI961" s="1166"/>
      <c r="AJ961" s="1166"/>
      <c r="AK961" s="1166">
        <f>ROUND(AK855-SUM(AG855,AH855,AI855,AJ855),6)</f>
        <v>0</v>
      </c>
      <c r="AL961" s="1166"/>
      <c r="AM961" s="1166"/>
      <c r="AN961" s="1166"/>
      <c r="AO961" s="1166"/>
      <c r="AP961" s="1166">
        <f>ROUND(AP855-SUM(AL855,AM855,AN855,AO855),6)</f>
        <v>0</v>
      </c>
      <c r="AQ961" s="1166"/>
      <c r="AR961" s="1166"/>
      <c r="AS961" s="1166"/>
      <c r="AT961" s="1166"/>
      <c r="AU961" s="1166">
        <f>ROUND(AU855-SUM(AQ855,AR855,AS855,AT855),6)</f>
        <v>0</v>
      </c>
      <c r="AV961" s="1166"/>
      <c r="AW961" s="1166"/>
      <c r="AX961" s="1166"/>
      <c r="AY961" s="1166"/>
      <c r="AZ961" s="1166">
        <f>ROUND(AZ855-SUM(AV855,AW855,AX855,AY855),6)</f>
        <v>0</v>
      </c>
      <c r="BA961" s="1166"/>
      <c r="BB961" s="1166"/>
      <c r="BC961" s="1166"/>
      <c r="BD961" s="1166"/>
      <c r="BE961" s="1166">
        <f>ROUND(BE855-SUM(BA855,BB855,BC855,BD855),6)</f>
        <v>0</v>
      </c>
      <c r="BF961" s="1166"/>
      <c r="BG961" s="1166"/>
      <c r="BH961" s="1167"/>
      <c r="BI961" s="1168"/>
      <c r="BJ961" s="1168">
        <f ca="1">ROUND(BJ855-SUM(BF855,BG855,BH855,BI855),6)</f>
        <v>0</v>
      </c>
      <c r="BK961" s="1168"/>
      <c r="BL961" s="1168"/>
      <c r="BM961" s="1168"/>
      <c r="BN961" s="1168"/>
      <c r="BO961" s="1168">
        <f ca="1">ROUND(BO855-SUM(BK855,BL855,BM855,BN855),6)</f>
        <v>0</v>
      </c>
      <c r="BP961" s="1166"/>
      <c r="BQ961" s="1166"/>
      <c r="BR961" s="1168"/>
      <c r="BS961" s="647"/>
    </row>
    <row r="962" spans="1:71" s="665" customFormat="1" ht="15">
      <c r="A962" s="992"/>
      <c r="B962" s="992"/>
      <c r="C962" s="1047"/>
      <c r="D962" s="1047"/>
      <c r="E962" s="1047"/>
      <c r="F962" s="1047"/>
      <c r="G962" s="1047"/>
      <c r="H962" s="1047"/>
      <c r="I962" s="1047"/>
      <c r="J962" s="1047"/>
      <c r="K962" s="1047"/>
      <c r="L962" s="1047"/>
      <c r="M962" s="1047"/>
      <c r="N962" s="1047"/>
      <c r="O962" s="1047"/>
      <c r="P962" s="1047"/>
      <c r="Q962" s="1047"/>
      <c r="R962" s="1047"/>
      <c r="S962" s="1047"/>
      <c r="T962" s="1047"/>
      <c r="U962" s="1047"/>
      <c r="V962" s="1047"/>
      <c r="W962" s="1047"/>
      <c r="X962" s="1047"/>
      <c r="Y962" s="1047"/>
      <c r="Z962" s="1047"/>
      <c r="AA962" s="1047"/>
      <c r="AB962" s="1047"/>
      <c r="AC962" s="1047"/>
      <c r="AD962" s="1047"/>
      <c r="AE962" s="1047"/>
      <c r="AF962" s="1047"/>
      <c r="AG962" s="1047"/>
      <c r="AH962" s="1047"/>
      <c r="AI962" s="1047"/>
      <c r="AJ962" s="1047"/>
      <c r="AK962" s="1047"/>
      <c r="AL962" s="1047"/>
      <c r="AM962" s="1047"/>
      <c r="AN962" s="1047"/>
      <c r="AO962" s="1047"/>
      <c r="AP962" s="1047"/>
      <c r="AQ962" s="1047"/>
      <c r="AR962" s="1047"/>
      <c r="AS962" s="1047"/>
      <c r="AT962" s="1047"/>
      <c r="AU962" s="1047"/>
      <c r="AV962" s="1047"/>
      <c r="AW962" s="1047"/>
      <c r="AX962" s="1047"/>
      <c r="AY962" s="1047"/>
      <c r="AZ962" s="1047"/>
      <c r="BA962" s="1047"/>
      <c r="BB962" s="1047"/>
      <c r="BC962" s="1047"/>
      <c r="BD962" s="1047"/>
      <c r="BE962" s="1047"/>
      <c r="BF962" s="1047"/>
      <c r="BG962" s="1047"/>
      <c r="BH962" s="1048"/>
      <c r="BI962" s="1044"/>
      <c r="BJ962" s="1044"/>
      <c r="BK962" s="1044"/>
      <c r="BL962" s="1044"/>
      <c r="BM962" s="1044"/>
      <c r="BN962" s="1044"/>
      <c r="BO962" s="1044"/>
      <c r="BP962" s="1047"/>
      <c r="BQ962" s="1047"/>
      <c r="BR962" s="1044"/>
      <c r="BS962" s="647"/>
    </row>
    <row r="963" spans="1:71" s="668" customFormat="1" ht="15">
      <c r="A963" s="1008" t="s">
        <v>248</v>
      </c>
      <c r="B963" s="1008"/>
      <c r="C963" s="1006"/>
      <c r="D963" s="1006"/>
      <c r="E963" s="1006"/>
      <c r="F963" s="1006"/>
      <c r="G963" s="1006"/>
      <c r="H963" s="1006"/>
      <c r="I963" s="1006"/>
      <c r="J963" s="1006"/>
      <c r="K963" s="1006"/>
      <c r="L963" s="1006"/>
      <c r="M963" s="1006"/>
      <c r="N963" s="1006"/>
      <c r="O963" s="1006"/>
      <c r="P963" s="1006"/>
      <c r="Q963" s="1006"/>
      <c r="R963" s="1006"/>
      <c r="S963" s="1006"/>
      <c r="T963" s="1006"/>
      <c r="U963" s="1006"/>
      <c r="V963" s="1006"/>
      <c r="W963" s="1006"/>
      <c r="X963" s="1006"/>
      <c r="Y963" s="1006"/>
      <c r="Z963" s="1006"/>
      <c r="AA963" s="1006"/>
      <c r="AB963" s="1006"/>
      <c r="AC963" s="1006"/>
      <c r="AD963" s="1006"/>
      <c r="AE963" s="1006"/>
      <c r="AF963" s="1006"/>
      <c r="AG963" s="1006"/>
      <c r="AH963" s="1006"/>
      <c r="AI963" s="1006"/>
      <c r="AJ963" s="1006"/>
      <c r="AK963" s="1006"/>
      <c r="AL963" s="1006"/>
      <c r="AM963" s="1006"/>
      <c r="AN963" s="1006"/>
      <c r="AO963" s="1006"/>
      <c r="AP963" s="1006"/>
      <c r="AQ963" s="1006"/>
      <c r="AR963" s="1006"/>
      <c r="AS963" s="1006"/>
      <c r="AT963" s="1006"/>
      <c r="AU963" s="1006"/>
      <c r="AV963" s="1006"/>
      <c r="AW963" s="1006"/>
      <c r="AX963" s="1006"/>
      <c r="AY963" s="1006"/>
      <c r="AZ963" s="1006"/>
      <c r="BA963" s="1006"/>
      <c r="BB963" s="1006"/>
      <c r="BC963" s="1006"/>
      <c r="BD963" s="1006"/>
      <c r="BE963" s="1006"/>
      <c r="BF963" s="1006"/>
      <c r="BG963" s="1006"/>
      <c r="BH963" s="1007"/>
      <c r="BI963" s="1008"/>
      <c r="BJ963" s="1008"/>
      <c r="BK963" s="1008"/>
      <c r="BL963" s="1008"/>
      <c r="BM963" s="1008"/>
      <c r="BN963" s="1008"/>
      <c r="BO963" s="1008"/>
      <c r="BP963" s="1006"/>
      <c r="BQ963" s="1006"/>
      <c r="BR963" s="1008"/>
      <c r="BS963" s="648"/>
    </row>
    <row r="964" spans="1:71" s="665" customFormat="1" ht="15">
      <c r="A964" s="440"/>
      <c r="B964" s="992"/>
      <c r="C964" s="304"/>
      <c r="D964" s="304"/>
      <c r="E964" s="993"/>
      <c r="F964" s="993"/>
      <c r="G964" s="993"/>
      <c r="H964" s="993"/>
      <c r="I964" s="993"/>
      <c r="J964" s="993"/>
      <c r="K964" s="993"/>
      <c r="L964" s="993"/>
      <c r="M964" s="993"/>
      <c r="N964" s="993"/>
      <c r="O964" s="993"/>
      <c r="P964" s="993"/>
      <c r="Q964" s="993"/>
      <c r="R964" s="993"/>
      <c r="S964" s="993"/>
      <c r="T964" s="993"/>
      <c r="U964" s="993"/>
      <c r="V964" s="993"/>
      <c r="W964" s="993"/>
      <c r="X964" s="993"/>
      <c r="Y964" s="993"/>
      <c r="Z964" s="993"/>
      <c r="AA964" s="993"/>
      <c r="AB964" s="993"/>
      <c r="AC964" s="993"/>
      <c r="AD964" s="993"/>
      <c r="AE964" s="993"/>
      <c r="AF964" s="993"/>
      <c r="AG964" s="993"/>
      <c r="AH964" s="993"/>
      <c r="AI964" s="993"/>
      <c r="AJ964" s="993"/>
      <c r="AK964" s="993"/>
      <c r="AL964" s="993"/>
      <c r="AM964" s="993"/>
      <c r="AN964" s="993"/>
      <c r="AO964" s="993"/>
      <c r="AP964" s="993"/>
      <c r="AQ964" s="993"/>
      <c r="AR964" s="993"/>
      <c r="AS964" s="993"/>
      <c r="AT964" s="993"/>
      <c r="AU964" s="993"/>
      <c r="AV964" s="993"/>
      <c r="AW964" s="993"/>
      <c r="AX964" s="993"/>
      <c r="AY964" s="993"/>
      <c r="AZ964" s="993"/>
      <c r="BA964" s="993"/>
      <c r="BB964" s="993"/>
      <c r="BC964" s="993"/>
      <c r="BD964" s="993"/>
      <c r="BE964" s="993"/>
      <c r="BF964" s="993"/>
      <c r="BG964" s="993"/>
      <c r="BH964" s="994"/>
      <c r="BI964" s="992"/>
      <c r="BJ964" s="992"/>
      <c r="BK964" s="992"/>
      <c r="BL964" s="992"/>
      <c r="BM964" s="992"/>
      <c r="BN964" s="992"/>
      <c r="BO964" s="992"/>
      <c r="BP964" s="993"/>
      <c r="BQ964" s="993"/>
      <c r="BR964" s="992"/>
      <c r="BS964" s="647"/>
    </row>
    <row r="965" spans="1:71" s="697" customFormat="1" ht="15">
      <c r="A965" s="276" t="s">
        <v>249</v>
      </c>
      <c r="B965" s="441"/>
      <c r="C965" s="442"/>
      <c r="D965" s="442"/>
      <c r="E965" s="439"/>
      <c r="F965" s="439"/>
      <c r="G965" s="439"/>
      <c r="H965" s="439"/>
      <c r="I965" s="439"/>
      <c r="J965" s="439"/>
      <c r="K965" s="439"/>
      <c r="L965" s="439"/>
      <c r="M965" s="439"/>
      <c r="N965" s="439"/>
      <c r="O965" s="439"/>
      <c r="P965" s="439"/>
      <c r="Q965" s="439"/>
      <c r="R965" s="439"/>
      <c r="S965" s="439"/>
      <c r="T965" s="439"/>
      <c r="U965" s="439"/>
      <c r="V965" s="439"/>
      <c r="W965" s="439"/>
      <c r="X965" s="439"/>
      <c r="Y965" s="439"/>
      <c r="Z965" s="439"/>
      <c r="AA965" s="439"/>
      <c r="AB965" s="439"/>
      <c r="AC965" s="439"/>
      <c r="AD965" s="439"/>
      <c r="AE965" s="439"/>
      <c r="AF965" s="439"/>
      <c r="AG965" s="439"/>
      <c r="AH965" s="439"/>
      <c r="AI965" s="439"/>
      <c r="AJ965" s="439"/>
      <c r="AK965" s="439"/>
      <c r="AL965" s="439"/>
      <c r="AM965" s="439"/>
      <c r="AN965" s="439"/>
      <c r="AO965" s="439"/>
      <c r="AP965" s="439"/>
      <c r="AQ965" s="439"/>
      <c r="AR965" s="439"/>
      <c r="AS965" s="439"/>
      <c r="AT965" s="439"/>
      <c r="AU965" s="439"/>
      <c r="AV965" s="439"/>
      <c r="AW965" s="439"/>
      <c r="AX965" s="439"/>
      <c r="AY965" s="439"/>
      <c r="AZ965" s="439"/>
      <c r="BA965" s="439"/>
      <c r="BB965" s="439"/>
      <c r="BC965" s="439"/>
      <c r="BD965" s="439"/>
      <c r="BE965" s="439"/>
      <c r="BF965" s="439"/>
      <c r="BG965" s="439"/>
      <c r="BH965" s="443"/>
      <c r="BI965" s="912"/>
      <c r="BJ965" s="912"/>
      <c r="BK965" s="912"/>
      <c r="BL965" s="912"/>
      <c r="BM965" s="912"/>
      <c r="BN965" s="912"/>
      <c r="BO965" s="912"/>
      <c r="BP965" s="439"/>
      <c r="BQ965" s="439"/>
      <c r="BR965" s="912"/>
      <c r="BS965" s="34"/>
    </row>
    <row r="966" spans="1:71" s="697" customFormat="1" ht="15">
      <c r="A966" s="864" t="s">
        <v>703</v>
      </c>
      <c r="B966" s="444"/>
      <c r="C966" s="445"/>
      <c r="D966" s="445"/>
      <c r="E966" s="945"/>
      <c r="F966" s="945"/>
      <c r="G966" s="945"/>
      <c r="H966" s="945"/>
      <c r="I966" s="945"/>
      <c r="J966" s="945"/>
      <c r="K966" s="945"/>
      <c r="L966" s="945"/>
      <c r="M966" s="945"/>
      <c r="N966" s="945"/>
      <c r="O966" s="945"/>
      <c r="P966" s="945"/>
      <c r="Q966" s="945"/>
      <c r="R966" s="945"/>
      <c r="S966" s="945"/>
      <c r="T966" s="945"/>
      <c r="U966" s="945"/>
      <c r="V966" s="945"/>
      <c r="W966" s="945"/>
      <c r="X966" s="945"/>
      <c r="Y966" s="945"/>
      <c r="Z966" s="945"/>
      <c r="AA966" s="945"/>
      <c r="AB966" s="945"/>
      <c r="AC966" s="945"/>
      <c r="AD966" s="945"/>
      <c r="AE966" s="945"/>
      <c r="AF966" s="945"/>
      <c r="AG966" s="945"/>
      <c r="AH966" s="945"/>
      <c r="AI966" s="945"/>
      <c r="AJ966" s="945"/>
      <c r="AK966" s="945"/>
      <c r="AL966" s="945"/>
      <c r="AM966" s="945"/>
      <c r="AN966" s="945"/>
      <c r="AO966" s="945"/>
      <c r="AP966" s="945"/>
      <c r="AQ966" s="945"/>
      <c r="AR966" s="945"/>
      <c r="AS966" s="945"/>
      <c r="AT966" s="945"/>
      <c r="AU966" s="945"/>
      <c r="AV966" s="945"/>
      <c r="AW966" s="945"/>
      <c r="AX966" s="945"/>
      <c r="AY966" s="945"/>
      <c r="AZ966" s="945"/>
      <c r="BA966" s="945"/>
      <c r="BB966" s="945"/>
      <c r="BC966" s="945"/>
      <c r="BD966" s="945"/>
      <c r="BE966" s="945"/>
      <c r="BF966" s="945"/>
      <c r="BG966" s="945"/>
      <c r="BH966" s="446"/>
      <c r="BI966" s="945"/>
      <c r="BJ966" s="945"/>
      <c r="BK966" s="945"/>
      <c r="BL966" s="945"/>
      <c r="BM966" s="945"/>
      <c r="BN966" s="945"/>
      <c r="BO966" s="945"/>
      <c r="BP966" s="945"/>
      <c r="BQ966" s="945"/>
      <c r="BR966" s="945"/>
      <c r="BS966" s="34"/>
    </row>
    <row r="967" spans="1:71" s="673" customFormat="1" ht="15">
      <c r="A967" s="277" t="s">
        <v>250</v>
      </c>
      <c r="B967" s="444"/>
      <c r="C967" s="445"/>
      <c r="D967" s="445"/>
      <c r="E967" s="945"/>
      <c r="F967" s="945"/>
      <c r="G967" s="945"/>
      <c r="H967" s="945"/>
      <c r="I967" s="945"/>
      <c r="J967" s="945"/>
      <c r="K967" s="945"/>
      <c r="L967" s="945"/>
      <c r="M967" s="945"/>
      <c r="N967" s="945"/>
      <c r="O967" s="945"/>
      <c r="P967" s="945"/>
      <c r="Q967" s="945"/>
      <c r="R967" s="945"/>
      <c r="S967" s="945"/>
      <c r="T967" s="945"/>
      <c r="U967" s="945"/>
      <c r="V967" s="945"/>
      <c r="W967" s="945"/>
      <c r="X967" s="945"/>
      <c r="Y967" s="945"/>
      <c r="Z967" s="945"/>
      <c r="AA967" s="945"/>
      <c r="AB967" s="945"/>
      <c r="AC967" s="945"/>
      <c r="AD967" s="945"/>
      <c r="AE967" s="945"/>
      <c r="AF967" s="945"/>
      <c r="AG967" s="945"/>
      <c r="AH967" s="945"/>
      <c r="AI967" s="945"/>
      <c r="AJ967" s="945"/>
      <c r="AK967" s="945"/>
      <c r="AL967" s="945"/>
      <c r="AM967" s="945"/>
      <c r="AN967" s="945"/>
      <c r="AO967" s="945"/>
      <c r="AP967" s="945"/>
      <c r="AQ967" s="945"/>
      <c r="AR967" s="945"/>
      <c r="AS967" s="945"/>
      <c r="AT967" s="945"/>
      <c r="AU967" s="945"/>
      <c r="AV967" s="945"/>
      <c r="AW967" s="945"/>
      <c r="AX967" s="945"/>
      <c r="AY967" s="945"/>
      <c r="AZ967" s="945"/>
      <c r="BA967" s="945"/>
      <c r="BB967" s="945"/>
      <c r="BC967" s="945"/>
      <c r="BD967" s="945"/>
      <c r="BE967" s="945"/>
      <c r="BF967" s="945"/>
      <c r="BG967" s="945"/>
      <c r="BH967" s="446"/>
      <c r="BI967" s="911"/>
      <c r="BJ967" s="911"/>
      <c r="BK967" s="911"/>
      <c r="BL967" s="911"/>
      <c r="BM967" s="911"/>
      <c r="BN967" s="911"/>
      <c r="BO967" s="911"/>
      <c r="BP967" s="945"/>
      <c r="BQ967" s="945"/>
      <c r="BR967" s="911"/>
      <c r="BS967" s="32"/>
    </row>
    <row r="968" spans="1:71" s="673" customFormat="1" ht="15">
      <c r="A968" s="278" t="s">
        <v>251</v>
      </c>
      <c r="B968" s="444"/>
      <c r="C968" s="445"/>
      <c r="D968" s="445"/>
      <c r="E968" s="945"/>
      <c r="F968" s="945"/>
      <c r="G968" s="945"/>
      <c r="H968" s="945"/>
      <c r="I968" s="945"/>
      <c r="J968" s="945"/>
      <c r="K968" s="945"/>
      <c r="L968" s="945"/>
      <c r="M968" s="945"/>
      <c r="N968" s="945"/>
      <c r="O968" s="945"/>
      <c r="P968" s="945"/>
      <c r="Q968" s="945"/>
      <c r="R968" s="945"/>
      <c r="S968" s="945"/>
      <c r="T968" s="945"/>
      <c r="U968" s="945"/>
      <c r="V968" s="945"/>
      <c r="W968" s="945"/>
      <c r="X968" s="945"/>
      <c r="Y968" s="945"/>
      <c r="Z968" s="945"/>
      <c r="AA968" s="945"/>
      <c r="AB968" s="945"/>
      <c r="AC968" s="945"/>
      <c r="AD968" s="945"/>
      <c r="AE968" s="945"/>
      <c r="AF968" s="945"/>
      <c r="AG968" s="945"/>
      <c r="AH968" s="945"/>
      <c r="AI968" s="945"/>
      <c r="AJ968" s="945"/>
      <c r="AK968" s="945"/>
      <c r="AL968" s="945"/>
      <c r="AM968" s="945"/>
      <c r="AN968" s="945"/>
      <c r="AO968" s="945"/>
      <c r="AP968" s="945"/>
      <c r="AQ968" s="945"/>
      <c r="AR968" s="945"/>
      <c r="AS968" s="945"/>
      <c r="AT968" s="945"/>
      <c r="AU968" s="945"/>
      <c r="AV968" s="945"/>
      <c r="AW968" s="945"/>
      <c r="AX968" s="945"/>
      <c r="AY968" s="945"/>
      <c r="AZ968" s="945"/>
      <c r="BA968" s="945"/>
      <c r="BB968" s="945"/>
      <c r="BC968" s="945"/>
      <c r="BD968" s="945"/>
      <c r="BE968" s="945"/>
      <c r="BF968" s="945"/>
      <c r="BG968" s="945"/>
      <c r="BH968" s="446"/>
      <c r="BI968" s="911"/>
      <c r="BJ968" s="911"/>
      <c r="BK968" s="911"/>
      <c r="BL968" s="911"/>
      <c r="BM968" s="911"/>
      <c r="BN968" s="911"/>
      <c r="BO968" s="911"/>
      <c r="BP968" s="945"/>
      <c r="BQ968" s="945"/>
      <c r="BR968" s="911"/>
      <c r="BS968" s="32"/>
    </row>
    <row r="969" spans="1:71" s="673" customFormat="1" ht="15">
      <c r="A969" s="279" t="s">
        <v>252</v>
      </c>
      <c r="B969" s="444"/>
      <c r="C969" s="445"/>
      <c r="D969" s="445"/>
      <c r="E969" s="945"/>
      <c r="F969" s="945"/>
      <c r="G969" s="945"/>
      <c r="H969" s="945"/>
      <c r="I969" s="945"/>
      <c r="J969" s="945"/>
      <c r="K969" s="945"/>
      <c r="L969" s="945"/>
      <c r="M969" s="945"/>
      <c r="N969" s="945"/>
      <c r="O969" s="945"/>
      <c r="P969" s="945"/>
      <c r="Q969" s="945"/>
      <c r="R969" s="945"/>
      <c r="S969" s="945"/>
      <c r="T969" s="945"/>
      <c r="U969" s="945"/>
      <c r="V969" s="945"/>
      <c r="W969" s="945"/>
      <c r="X969" s="945"/>
      <c r="Y969" s="945"/>
      <c r="Z969" s="945"/>
      <c r="AA969" s="945"/>
      <c r="AB969" s="945"/>
      <c r="AC969" s="945"/>
      <c r="AD969" s="945"/>
      <c r="AE969" s="945"/>
      <c r="AF969" s="945"/>
      <c r="AG969" s="945"/>
      <c r="AH969" s="945"/>
      <c r="AI969" s="945"/>
      <c r="AJ969" s="945"/>
      <c r="AK969" s="945"/>
      <c r="AL969" s="945"/>
      <c r="AM969" s="945"/>
      <c r="AN969" s="945"/>
      <c r="AO969" s="945"/>
      <c r="AP969" s="945"/>
      <c r="AQ969" s="945"/>
      <c r="AR969" s="945"/>
      <c r="AS969" s="945"/>
      <c r="AT969" s="945"/>
      <c r="AU969" s="945"/>
      <c r="AV969" s="945"/>
      <c r="AW969" s="945"/>
      <c r="AX969" s="945"/>
      <c r="AY969" s="945"/>
      <c r="AZ969" s="945"/>
      <c r="BA969" s="945"/>
      <c r="BB969" s="945"/>
      <c r="BC969" s="945"/>
      <c r="BD969" s="945"/>
      <c r="BE969" s="945"/>
      <c r="BF969" s="945"/>
      <c r="BG969" s="945"/>
      <c r="BH969" s="446"/>
      <c r="BI969" s="911"/>
      <c r="BJ969" s="911"/>
      <c r="BK969" s="911"/>
      <c r="BL969" s="911"/>
      <c r="BM969" s="911"/>
      <c r="BN969" s="911"/>
      <c r="BO969" s="911"/>
      <c r="BP969" s="945"/>
      <c r="BQ969" s="945"/>
      <c r="BR969" s="911"/>
      <c r="BS969" s="32"/>
    </row>
    <row r="970" spans="1:71" s="673" customFormat="1" ht="15">
      <c r="A970" s="334" t="s">
        <v>253</v>
      </c>
      <c r="B970" s="444"/>
      <c r="C970" s="445"/>
      <c r="D970" s="445"/>
      <c r="E970" s="945"/>
      <c r="F970" s="945"/>
      <c r="G970" s="945"/>
      <c r="H970" s="945"/>
      <c r="I970" s="945"/>
      <c r="J970" s="945"/>
      <c r="K970" s="945"/>
      <c r="L970" s="945"/>
      <c r="M970" s="945"/>
      <c r="N970" s="945"/>
      <c r="O970" s="945"/>
      <c r="P970" s="945"/>
      <c r="Q970" s="945"/>
      <c r="R970" s="945"/>
      <c r="S970" s="945"/>
      <c r="T970" s="945"/>
      <c r="U970" s="945"/>
      <c r="V970" s="945"/>
      <c r="W970" s="945"/>
      <c r="X970" s="945"/>
      <c r="Y970" s="945"/>
      <c r="Z970" s="945"/>
      <c r="AA970" s="945"/>
      <c r="AB970" s="945"/>
      <c r="AC970" s="945"/>
      <c r="AD970" s="945"/>
      <c r="AE970" s="945"/>
      <c r="AF970" s="945"/>
      <c r="AG970" s="945"/>
      <c r="AH970" s="945"/>
      <c r="AI970" s="945"/>
      <c r="AJ970" s="945"/>
      <c r="AK970" s="945"/>
      <c r="AL970" s="945"/>
      <c r="AM970" s="945"/>
      <c r="AN970" s="945"/>
      <c r="AO970" s="945"/>
      <c r="AP970" s="945"/>
      <c r="AQ970" s="945"/>
      <c r="AR970" s="945"/>
      <c r="AS970" s="945"/>
      <c r="AT970" s="945"/>
      <c r="AU970" s="945"/>
      <c r="AV970" s="945"/>
      <c r="AW970" s="945"/>
      <c r="AX970" s="945"/>
      <c r="AY970" s="945"/>
      <c r="AZ970" s="945"/>
      <c r="BA970" s="945"/>
      <c r="BB970" s="945"/>
      <c r="BC970" s="945"/>
      <c r="BD970" s="945"/>
      <c r="BE970" s="945"/>
      <c r="BF970" s="945"/>
      <c r="BG970" s="945"/>
      <c r="BH970" s="446"/>
      <c r="BI970" s="911"/>
      <c r="BJ970" s="911"/>
      <c r="BK970" s="911"/>
      <c r="BL970" s="911"/>
      <c r="BM970" s="911"/>
      <c r="BN970" s="911"/>
      <c r="BO970" s="911"/>
      <c r="BP970" s="945"/>
      <c r="BQ970" s="945"/>
      <c r="BR970" s="911"/>
      <c r="BS970" s="32"/>
    </row>
    <row r="971" spans="1:71" s="673" customFormat="1" ht="15">
      <c r="A971" s="265"/>
      <c r="B971" s="447"/>
      <c r="C971" s="445"/>
      <c r="D971" s="445"/>
      <c r="E971" s="945"/>
      <c r="F971" s="945"/>
      <c r="G971" s="945"/>
      <c r="H971" s="945"/>
      <c r="I971" s="945"/>
      <c r="J971" s="945"/>
      <c r="K971" s="945"/>
      <c r="L971" s="945"/>
      <c r="M971" s="945"/>
      <c r="N971" s="945"/>
      <c r="O971" s="945"/>
      <c r="P971" s="945"/>
      <c r="Q971" s="945"/>
      <c r="R971" s="945"/>
      <c r="S971" s="945"/>
      <c r="T971" s="945"/>
      <c r="U971" s="945"/>
      <c r="V971" s="945"/>
      <c r="W971" s="945"/>
      <c r="X971" s="945"/>
      <c r="Y971" s="945"/>
      <c r="Z971" s="945"/>
      <c r="AA971" s="945"/>
      <c r="AB971" s="945"/>
      <c r="AC971" s="945"/>
      <c r="AD971" s="945"/>
      <c r="AE971" s="945"/>
      <c r="AF971" s="945"/>
      <c r="AG971" s="945"/>
      <c r="AH971" s="945"/>
      <c r="AI971" s="945"/>
      <c r="AJ971" s="945"/>
      <c r="AK971" s="945"/>
      <c r="AL971" s="945"/>
      <c r="AM971" s="945"/>
      <c r="AN971" s="945"/>
      <c r="AO971" s="945"/>
      <c r="AP971" s="945"/>
      <c r="AQ971" s="945"/>
      <c r="AR971" s="945"/>
      <c r="AS971" s="945"/>
      <c r="AT971" s="945"/>
      <c r="AU971" s="945"/>
      <c r="AV971" s="945"/>
      <c r="AW971" s="945"/>
      <c r="AX971" s="945"/>
      <c r="AY971" s="945"/>
      <c r="AZ971" s="945"/>
      <c r="BA971" s="945"/>
      <c r="BB971" s="945"/>
      <c r="BC971" s="945"/>
      <c r="BD971" s="945"/>
      <c r="BE971" s="945"/>
      <c r="BF971" s="945"/>
      <c r="BG971" s="945"/>
      <c r="BH971" s="446"/>
      <c r="BI971" s="911"/>
      <c r="BJ971" s="911"/>
      <c r="BK971" s="911"/>
      <c r="BL971" s="911"/>
      <c r="BM971" s="911"/>
      <c r="BN971" s="911"/>
      <c r="BO971" s="911"/>
      <c r="BP971" s="945"/>
      <c r="BQ971" s="945"/>
      <c r="BR971" s="911"/>
      <c r="BS971" s="32"/>
    </row>
    <row r="972" spans="1:71" s="666" customFormat="1" ht="15">
      <c r="A972" s="280" t="s">
        <v>254</v>
      </c>
      <c r="B972" s="372"/>
      <c r="C972" s="448"/>
      <c r="D972" s="448"/>
      <c r="E972" s="448"/>
      <c r="F972" s="448"/>
      <c r="G972" s="448"/>
      <c r="H972" s="448"/>
      <c r="I972" s="448"/>
      <c r="J972" s="448"/>
      <c r="K972" s="448"/>
      <c r="L972" s="448"/>
      <c r="M972" s="448"/>
      <c r="N972" s="448"/>
      <c r="O972" s="448"/>
      <c r="P972" s="448"/>
      <c r="Q972" s="448"/>
      <c r="R972" s="448"/>
      <c r="S972" s="448"/>
      <c r="T972" s="448"/>
      <c r="U972" s="448"/>
      <c r="V972" s="448"/>
      <c r="W972" s="448"/>
      <c r="X972" s="448"/>
      <c r="Y972" s="448"/>
      <c r="Z972" s="448"/>
      <c r="AA972" s="448"/>
      <c r="AB972" s="448"/>
      <c r="AC972" s="448"/>
      <c r="AD972" s="448"/>
      <c r="AE972" s="448"/>
      <c r="AF972" s="448"/>
      <c r="AG972" s="448"/>
      <c r="AH972" s="448"/>
      <c r="AI972" s="448"/>
      <c r="AJ972" s="448"/>
      <c r="AK972" s="448"/>
      <c r="AL972" s="448"/>
      <c r="AM972" s="448"/>
      <c r="AN972" s="448"/>
      <c r="AO972" s="448"/>
      <c r="AP972" s="448"/>
      <c r="AQ972" s="448"/>
      <c r="AR972" s="448"/>
      <c r="AS972" s="448"/>
      <c r="AT972" s="448"/>
      <c r="AU972" s="448"/>
      <c r="AV972" s="448"/>
      <c r="AW972" s="448"/>
      <c r="AX972" s="448"/>
      <c r="AY972" s="448"/>
      <c r="AZ972" s="448"/>
      <c r="BA972" s="448"/>
      <c r="BB972" s="448"/>
      <c r="BC972" s="448"/>
      <c r="BD972" s="448"/>
      <c r="BE972" s="448"/>
      <c r="BF972" s="448"/>
      <c r="BG972" s="448"/>
      <c r="BH972" s="449"/>
      <c r="BI972" s="450"/>
      <c r="BJ972" s="450"/>
      <c r="BK972" s="450"/>
      <c r="BL972" s="450"/>
      <c r="BM972" s="450"/>
      <c r="BN972" s="450"/>
      <c r="BO972" s="450"/>
      <c r="BP972" s="448"/>
      <c r="BQ972" s="448"/>
      <c r="BR972" s="450"/>
      <c r="BS972" s="35"/>
    </row>
    <row r="973" spans="1:71" s="673" customFormat="1" ht="15">
      <c r="A973" s="274" t="s">
        <v>255</v>
      </c>
      <c r="B973" s="1297">
        <v>1</v>
      </c>
      <c r="C973" s="945"/>
      <c r="D973" s="445"/>
      <c r="E973" s="945"/>
      <c r="F973" s="945"/>
      <c r="G973" s="945"/>
      <c r="H973" s="945"/>
      <c r="I973" s="945"/>
      <c r="J973" s="945"/>
      <c r="K973" s="945"/>
      <c r="L973" s="945"/>
      <c r="M973" s="945"/>
      <c r="N973" s="945"/>
      <c r="O973" s="945"/>
      <c r="P973" s="945"/>
      <c r="Q973" s="945"/>
      <c r="R973" s="945"/>
      <c r="S973" s="945"/>
      <c r="T973" s="945"/>
      <c r="U973" s="945"/>
      <c r="V973" s="945"/>
      <c r="W973" s="945"/>
      <c r="X973" s="945"/>
      <c r="Y973" s="945"/>
      <c r="Z973" s="945"/>
      <c r="AA973" s="945"/>
      <c r="AB973" s="945"/>
      <c r="AC973" s="945"/>
      <c r="AD973" s="945"/>
      <c r="AE973" s="945"/>
      <c r="AF973" s="945"/>
      <c r="AG973" s="945"/>
      <c r="AH973" s="945"/>
      <c r="AI973" s="945"/>
      <c r="AJ973" s="945"/>
      <c r="AK973" s="945"/>
      <c r="AL973" s="945"/>
      <c r="AM973" s="945"/>
      <c r="AN973" s="945"/>
      <c r="AO973" s="945"/>
      <c r="AP973" s="945"/>
      <c r="AQ973" s="945"/>
      <c r="AR973" s="945"/>
      <c r="AS973" s="945"/>
      <c r="AT973" s="945"/>
      <c r="AU973" s="945"/>
      <c r="AV973" s="945"/>
      <c r="AW973" s="945"/>
      <c r="AX973" s="945"/>
      <c r="AY973" s="945"/>
      <c r="AZ973" s="945"/>
      <c r="BA973" s="945"/>
      <c r="BB973" s="945"/>
      <c r="BC973" s="945"/>
      <c r="BD973" s="945"/>
      <c r="BE973" s="945"/>
      <c r="BF973" s="945"/>
      <c r="BG973" s="945"/>
      <c r="BH973" s="446"/>
      <c r="BI973" s="911"/>
      <c r="BJ973" s="911"/>
      <c r="BK973" s="911"/>
      <c r="BL973" s="911"/>
      <c r="BM973" s="911"/>
      <c r="BN973" s="911"/>
      <c r="BO973" s="911"/>
      <c r="BP973" s="945"/>
      <c r="BQ973" s="945"/>
      <c r="BR973" s="911"/>
      <c r="BS973" s="32"/>
    </row>
    <row r="974" spans="1:71" s="673" customFormat="1" ht="15">
      <c r="A974" s="274" t="s">
        <v>256</v>
      </c>
      <c r="B974" s="1297">
        <v>2</v>
      </c>
      <c r="C974" s="945"/>
      <c r="D974" s="445"/>
      <c r="E974" s="945"/>
      <c r="F974" s="945"/>
      <c r="G974" s="945"/>
      <c r="H974" s="945"/>
      <c r="I974" s="945"/>
      <c r="J974" s="945"/>
      <c r="K974" s="945"/>
      <c r="L974" s="945"/>
      <c r="M974" s="945"/>
      <c r="N974" s="945"/>
      <c r="O974" s="945"/>
      <c r="P974" s="945"/>
      <c r="Q974" s="945"/>
      <c r="R974" s="945"/>
      <c r="S974" s="945"/>
      <c r="T974" s="945"/>
      <c r="U974" s="945"/>
      <c r="V974" s="945"/>
      <c r="W974" s="945"/>
      <c r="X974" s="945"/>
      <c r="Y974" s="945"/>
      <c r="Z974" s="945"/>
      <c r="AA974" s="945"/>
      <c r="AB974" s="945"/>
      <c r="AC974" s="945"/>
      <c r="AD974" s="945"/>
      <c r="AE974" s="945"/>
      <c r="AF974" s="945"/>
      <c r="AG974" s="945"/>
      <c r="AH974" s="945"/>
      <c r="AI974" s="945"/>
      <c r="AJ974" s="945"/>
      <c r="AK974" s="945"/>
      <c r="AL974" s="945"/>
      <c r="AM974" s="945"/>
      <c r="AN974" s="945"/>
      <c r="AO974" s="945"/>
      <c r="AP974" s="945"/>
      <c r="AQ974" s="945"/>
      <c r="AR974" s="945"/>
      <c r="AS974" s="945"/>
      <c r="AT974" s="945"/>
      <c r="AU974" s="945"/>
      <c r="AV974" s="945"/>
      <c r="AW974" s="945"/>
      <c r="AX974" s="945"/>
      <c r="AY974" s="945"/>
      <c r="AZ974" s="945"/>
      <c r="BA974" s="945"/>
      <c r="BB974" s="945"/>
      <c r="BC974" s="945"/>
      <c r="BD974" s="945"/>
      <c r="BE974" s="945"/>
      <c r="BF974" s="945"/>
      <c r="BG974" s="945"/>
      <c r="BH974" s="446"/>
      <c r="BI974" s="911"/>
      <c r="BJ974" s="911"/>
      <c r="BK974" s="911"/>
      <c r="BL974" s="911"/>
      <c r="BM974" s="911"/>
      <c r="BN974" s="911"/>
      <c r="BO974" s="911"/>
      <c r="BP974" s="945"/>
      <c r="BQ974" s="945"/>
      <c r="BR974" s="911"/>
      <c r="BS974" s="32"/>
    </row>
    <row r="975" spans="1:71" s="673" customFormat="1" ht="15">
      <c r="A975" s="274" t="s">
        <v>136</v>
      </c>
      <c r="B975" s="1297">
        <v>3</v>
      </c>
      <c r="C975" s="945"/>
      <c r="D975" s="445"/>
      <c r="E975" s="945"/>
      <c r="F975" s="945"/>
      <c r="G975" s="945"/>
      <c r="H975" s="945"/>
      <c r="I975" s="945"/>
      <c r="J975" s="945"/>
      <c r="K975" s="945"/>
      <c r="L975" s="945"/>
      <c r="M975" s="945"/>
      <c r="N975" s="945"/>
      <c r="O975" s="945"/>
      <c r="P975" s="945"/>
      <c r="Q975" s="945"/>
      <c r="R975" s="945"/>
      <c r="S975" s="945"/>
      <c r="T975" s="945"/>
      <c r="U975" s="945"/>
      <c r="V975" s="945"/>
      <c r="W975" s="945"/>
      <c r="X975" s="945"/>
      <c r="Y975" s="945"/>
      <c r="Z975" s="945"/>
      <c r="AA975" s="945"/>
      <c r="AB975" s="945"/>
      <c r="AC975" s="945"/>
      <c r="AD975" s="945"/>
      <c r="AE975" s="945"/>
      <c r="AF975" s="945"/>
      <c r="AG975" s="945"/>
      <c r="AH975" s="945"/>
      <c r="AI975" s="945"/>
      <c r="AJ975" s="945"/>
      <c r="AK975" s="945"/>
      <c r="AL975" s="945"/>
      <c r="AM975" s="945"/>
      <c r="AN975" s="945"/>
      <c r="AO975" s="945"/>
      <c r="AP975" s="945"/>
      <c r="AQ975" s="945"/>
      <c r="AR975" s="945"/>
      <c r="AS975" s="945"/>
      <c r="AT975" s="945"/>
      <c r="AU975" s="945"/>
      <c r="AV975" s="945"/>
      <c r="AW975" s="945"/>
      <c r="AX975" s="945"/>
      <c r="AY975" s="945"/>
      <c r="AZ975" s="945"/>
      <c r="BA975" s="945"/>
      <c r="BB975" s="945"/>
      <c r="BC975" s="945"/>
      <c r="BD975" s="945"/>
      <c r="BE975" s="945"/>
      <c r="BF975" s="945"/>
      <c r="BG975" s="945"/>
      <c r="BH975" s="446"/>
      <c r="BI975" s="945"/>
      <c r="BJ975" s="945"/>
      <c r="BK975" s="945"/>
      <c r="BL975" s="945"/>
      <c r="BM975" s="945"/>
      <c r="BN975" s="945"/>
      <c r="BO975" s="945"/>
      <c r="BP975" s="945"/>
      <c r="BQ975" s="945"/>
      <c r="BR975" s="945"/>
      <c r="BS975" s="32"/>
    </row>
    <row r="976" spans="1:71" s="673" customFormat="1" ht="15">
      <c r="A976" s="275" t="s">
        <v>736</v>
      </c>
      <c r="B976" s="1298">
        <v>4</v>
      </c>
      <c r="C976" s="945"/>
      <c r="D976" s="445"/>
      <c r="E976" s="945"/>
      <c r="F976" s="945"/>
      <c r="G976" s="945"/>
      <c r="H976" s="945"/>
      <c r="I976" s="945"/>
      <c r="J976" s="945"/>
      <c r="K976" s="945"/>
      <c r="L976" s="945"/>
      <c r="M976" s="945"/>
      <c r="N976" s="945"/>
      <c r="O976" s="945"/>
      <c r="P976" s="945"/>
      <c r="Q976" s="945"/>
      <c r="R976" s="945"/>
      <c r="S976" s="945"/>
      <c r="T976" s="945"/>
      <c r="U976" s="945"/>
      <c r="V976" s="945"/>
      <c r="W976" s="945"/>
      <c r="X976" s="945"/>
      <c r="Y976" s="945"/>
      <c r="Z976" s="945"/>
      <c r="AA976" s="945"/>
      <c r="AB976" s="945"/>
      <c r="AC976" s="945"/>
      <c r="AD976" s="945"/>
      <c r="AE976" s="945"/>
      <c r="AF976" s="945"/>
      <c r="AG976" s="945"/>
      <c r="AH976" s="945"/>
      <c r="AI976" s="945"/>
      <c r="AJ976" s="945"/>
      <c r="AK976" s="945"/>
      <c r="AL976" s="945"/>
      <c r="AM976" s="945"/>
      <c r="AN976" s="945"/>
      <c r="AO976" s="945"/>
      <c r="AP976" s="945"/>
      <c r="AQ976" s="945"/>
      <c r="AR976" s="945"/>
      <c r="AS976" s="945"/>
      <c r="AT976" s="945"/>
      <c r="AU976" s="945"/>
      <c r="AV976" s="945"/>
      <c r="AW976" s="945"/>
      <c r="AX976" s="945"/>
      <c r="AY976" s="945"/>
      <c r="AZ976" s="945"/>
      <c r="BA976" s="945"/>
      <c r="BB976" s="945"/>
      <c r="BC976" s="945"/>
      <c r="BD976" s="945"/>
      <c r="BE976" s="945"/>
      <c r="BF976" s="945"/>
      <c r="BG976" s="945"/>
      <c r="BH976" s="446"/>
      <c r="BI976" s="945"/>
      <c r="BJ976" s="945"/>
      <c r="BK976" s="945"/>
      <c r="BL976" s="945"/>
      <c r="BM976" s="945"/>
      <c r="BN976" s="945"/>
      <c r="BO976" s="945"/>
      <c r="BP976" s="945"/>
      <c r="BQ976" s="945"/>
      <c r="BR976" s="945"/>
      <c r="BS976" s="32"/>
    </row>
    <row r="977" spans="1:71" s="673" customFormat="1" ht="15">
      <c r="A977" s="451"/>
      <c r="B977" s="452"/>
      <c r="C977" s="445"/>
      <c r="D977" s="445"/>
      <c r="E977" s="945"/>
      <c r="F977" s="945"/>
      <c r="G977" s="945"/>
      <c r="H977" s="945"/>
      <c r="I977" s="945"/>
      <c r="J977" s="945"/>
      <c r="K977" s="945"/>
      <c r="L977" s="945"/>
      <c r="M977" s="945"/>
      <c r="N977" s="945"/>
      <c r="O977" s="945"/>
      <c r="P977" s="945"/>
      <c r="Q977" s="945"/>
      <c r="R977" s="945"/>
      <c r="S977" s="945"/>
      <c r="T977" s="945"/>
      <c r="U977" s="945"/>
      <c r="V977" s="945"/>
      <c r="W977" s="945"/>
      <c r="X977" s="945"/>
      <c r="Y977" s="945"/>
      <c r="Z977" s="945"/>
      <c r="AA977" s="945"/>
      <c r="AB977" s="945"/>
      <c r="AC977" s="945"/>
      <c r="AD977" s="945"/>
      <c r="AE977" s="945"/>
      <c r="AF977" s="945"/>
      <c r="AG977" s="945"/>
      <c r="AH977" s="945"/>
      <c r="AI977" s="945"/>
      <c r="AJ977" s="945"/>
      <c r="AK977" s="945"/>
      <c r="AL977" s="945"/>
      <c r="AM977" s="945"/>
      <c r="AN977" s="945"/>
      <c r="AO977" s="945"/>
      <c r="AP977" s="945"/>
      <c r="AQ977" s="945"/>
      <c r="AR977" s="945"/>
      <c r="AS977" s="945"/>
      <c r="AT977" s="945"/>
      <c r="AU977" s="945"/>
      <c r="AV977" s="945"/>
      <c r="AW977" s="945"/>
      <c r="AX977" s="945"/>
      <c r="AY977" s="945"/>
      <c r="AZ977" s="945"/>
      <c r="BA977" s="945"/>
      <c r="BB977" s="945"/>
      <c r="BC977" s="945"/>
      <c r="BD977" s="945"/>
      <c r="BE977" s="945"/>
      <c r="BF977" s="945"/>
      <c r="BG977" s="945"/>
      <c r="BH977" s="446"/>
      <c r="BI977" s="945"/>
      <c r="BJ977" s="945"/>
      <c r="BK977" s="945"/>
      <c r="BL977" s="945"/>
      <c r="BM977" s="945"/>
      <c r="BN977" s="945"/>
      <c r="BO977" s="945"/>
      <c r="BP977" s="945"/>
      <c r="BQ977" s="945"/>
      <c r="BR977" s="945"/>
      <c r="BS977" s="219"/>
    </row>
    <row r="978" spans="1:71" s="673" customFormat="1" ht="15">
      <c r="A978" s="301" t="s">
        <v>351</v>
      </c>
      <c r="B978" s="945"/>
      <c r="C978" s="445"/>
      <c r="D978" s="445"/>
      <c r="E978" s="945"/>
      <c r="F978" s="945"/>
      <c r="G978" s="945"/>
      <c r="H978" s="945"/>
      <c r="I978" s="945"/>
      <c r="J978" s="945"/>
      <c r="K978" s="945"/>
      <c r="L978" s="945"/>
      <c r="M978" s="945"/>
      <c r="N978" s="945"/>
      <c r="O978" s="945"/>
      <c r="P978" s="945"/>
      <c r="Q978" s="945"/>
      <c r="R978" s="945"/>
      <c r="S978" s="945"/>
      <c r="T978" s="945"/>
      <c r="U978" s="945"/>
      <c r="V978" s="945"/>
      <c r="W978" s="945"/>
      <c r="X978" s="945"/>
      <c r="Y978" s="945"/>
      <c r="Z978" s="945"/>
      <c r="AA978" s="945"/>
      <c r="AB978" s="945"/>
      <c r="AC978" s="945"/>
      <c r="AD978" s="945"/>
      <c r="AE978" s="945"/>
      <c r="AF978" s="945"/>
      <c r="AG978" s="945"/>
      <c r="AH978" s="945"/>
      <c r="AI978" s="945"/>
      <c r="AJ978" s="945"/>
      <c r="AK978" s="945"/>
      <c r="AL978" s="945"/>
      <c r="AM978" s="945"/>
      <c r="AN978" s="945"/>
      <c r="AO978" s="945"/>
      <c r="AP978" s="945"/>
      <c r="AQ978" s="945"/>
      <c r="AR978" s="945"/>
      <c r="AS978" s="945"/>
      <c r="AT978" s="945"/>
      <c r="AU978" s="945"/>
      <c r="AV978" s="945"/>
      <c r="AW978" s="945"/>
      <c r="AX978" s="945"/>
      <c r="AY978" s="945"/>
      <c r="AZ978" s="945"/>
      <c r="BA978" s="945"/>
      <c r="BB978" s="945"/>
      <c r="BC978" s="945"/>
      <c r="BD978" s="945"/>
      <c r="BE978" s="945"/>
      <c r="BF978" s="945"/>
      <c r="BG978" s="945"/>
      <c r="BH978" s="446"/>
      <c r="BI978" s="945"/>
      <c r="BJ978" s="945"/>
      <c r="BK978" s="945"/>
      <c r="BL978" s="945"/>
      <c r="BM978" s="945"/>
      <c r="BN978" s="945"/>
      <c r="BO978" s="945"/>
      <c r="BP978" s="945"/>
      <c r="BQ978" s="945"/>
      <c r="BR978" s="945"/>
      <c r="BS978" s="219"/>
    </row>
    <row r="979" spans="1:71" s="673" customFormat="1" ht="15">
      <c r="A979" s="302" t="str">
        <f>MO_RIS_EPS_WAD_Adj</f>
        <v>Adjusted Earnings Per Share (No Adjustments) - WAD</v>
      </c>
      <c r="B979" s="945"/>
      <c r="C979" s="445"/>
      <c r="D979" s="445"/>
      <c r="E979" s="945"/>
      <c r="F979" s="945"/>
      <c r="G979" s="945"/>
      <c r="H979" s="945"/>
      <c r="I979" s="945"/>
      <c r="J979" s="945"/>
      <c r="K979" s="945"/>
      <c r="L979" s="945"/>
      <c r="M979" s="945"/>
      <c r="N979" s="945"/>
      <c r="O979" s="945"/>
      <c r="P979" s="945"/>
      <c r="Q979" s="945"/>
      <c r="R979" s="945"/>
      <c r="S979" s="945"/>
      <c r="T979" s="945"/>
      <c r="U979" s="945"/>
      <c r="V979" s="945"/>
      <c r="W979" s="945"/>
      <c r="X979" s="945"/>
      <c r="Y979" s="945"/>
      <c r="Z979" s="945"/>
      <c r="AA979" s="945"/>
      <c r="AB979" s="945"/>
      <c r="AC979" s="945"/>
      <c r="AD979" s="945"/>
      <c r="AE979" s="945"/>
      <c r="AF979" s="945"/>
      <c r="AG979" s="945"/>
      <c r="AH979" s="945"/>
      <c r="AI979" s="945"/>
      <c r="AJ979" s="945"/>
      <c r="AK979" s="945"/>
      <c r="AL979" s="945"/>
      <c r="AM979" s="945"/>
      <c r="AN979" s="945"/>
      <c r="AO979" s="945"/>
      <c r="AP979" s="945"/>
      <c r="AQ979" s="945"/>
      <c r="AR979" s="945"/>
      <c r="AS979" s="945"/>
      <c r="AT979" s="945"/>
      <c r="AU979" s="945"/>
      <c r="AV979" s="945"/>
      <c r="AW979" s="945"/>
      <c r="AX979" s="945"/>
      <c r="AY979" s="945"/>
      <c r="AZ979" s="945"/>
      <c r="BA979" s="945"/>
      <c r="BB979" s="945"/>
      <c r="BC979" s="945"/>
      <c r="BD979" s="945"/>
      <c r="BE979" s="945"/>
      <c r="BF979" s="945"/>
      <c r="BG979" s="945"/>
      <c r="BH979" s="446"/>
      <c r="BI979" s="945"/>
      <c r="BJ979" s="945"/>
      <c r="BK979" s="945"/>
      <c r="BL979" s="945"/>
      <c r="BM979" s="945"/>
      <c r="BN979" s="945"/>
      <c r="BO979" s="945"/>
      <c r="BP979" s="945"/>
      <c r="BQ979" s="945"/>
      <c r="BR979" s="945"/>
      <c r="BS979" s="219"/>
    </row>
    <row r="980" spans="1:71" s="673" customFormat="1" ht="15">
      <c r="A980" s="302" t="str">
        <f>MO_BSS_ROE</f>
        <v>Return on Average Common Equity, %</v>
      </c>
      <c r="B980" s="945"/>
      <c r="C980" s="445"/>
      <c r="D980" s="445"/>
      <c r="E980" s="945"/>
      <c r="F980" s="945"/>
      <c r="G980" s="945"/>
      <c r="H980" s="945"/>
      <c r="I980" s="945"/>
      <c r="J980" s="945"/>
      <c r="K980" s="945"/>
      <c r="L980" s="945"/>
      <c r="M980" s="945"/>
      <c r="N980" s="945"/>
      <c r="O980" s="945"/>
      <c r="P980" s="945"/>
      <c r="Q980" s="945"/>
      <c r="R980" s="945"/>
      <c r="S980" s="945"/>
      <c r="T980" s="945"/>
      <c r="U980" s="945"/>
      <c r="V980" s="945"/>
      <c r="W980" s="945"/>
      <c r="X980" s="945"/>
      <c r="Y980" s="945"/>
      <c r="Z980" s="945"/>
      <c r="AA980" s="945"/>
      <c r="AB980" s="945"/>
      <c r="AC980" s="945"/>
      <c r="AD980" s="945"/>
      <c r="AE980" s="945"/>
      <c r="AF980" s="945"/>
      <c r="AG980" s="945"/>
      <c r="AH980" s="945"/>
      <c r="AI980" s="945"/>
      <c r="AJ980" s="945"/>
      <c r="AK980" s="945"/>
      <c r="AL980" s="945"/>
      <c r="AM980" s="945"/>
      <c r="AN980" s="945"/>
      <c r="AO980" s="945"/>
      <c r="AP980" s="945"/>
      <c r="AQ980" s="945"/>
      <c r="AR980" s="945"/>
      <c r="AS980" s="945"/>
      <c r="AT980" s="945"/>
      <c r="AU980" s="945"/>
      <c r="AV980" s="945"/>
      <c r="AW980" s="945"/>
      <c r="AX980" s="945"/>
      <c r="AY980" s="945"/>
      <c r="AZ980" s="945"/>
      <c r="BA980" s="945"/>
      <c r="BB980" s="945"/>
      <c r="BC980" s="945"/>
      <c r="BD980" s="945"/>
      <c r="BE980" s="945"/>
      <c r="BF980" s="945"/>
      <c r="BG980" s="945"/>
      <c r="BH980" s="446"/>
      <c r="BI980" s="945"/>
      <c r="BJ980" s="945"/>
      <c r="BK980" s="945"/>
      <c r="BL980" s="945"/>
      <c r="BM980" s="945"/>
      <c r="BN980" s="945"/>
      <c r="BO980" s="945"/>
      <c r="BP980" s="945"/>
      <c r="BQ980" s="945"/>
      <c r="BR980" s="945"/>
      <c r="BS980" s="219"/>
    </row>
    <row r="981" spans="1:71" s="673" customFormat="1" ht="15">
      <c r="A981" s="302" t="str">
        <f>MO_BSS_BVPS</f>
        <v>Book Value per Common Share</v>
      </c>
      <c r="B981" s="945"/>
      <c r="C981" s="445"/>
      <c r="D981" s="445"/>
      <c r="E981" s="945"/>
      <c r="F981" s="945"/>
      <c r="G981" s="945"/>
      <c r="H981" s="945"/>
      <c r="I981" s="945"/>
      <c r="J981" s="945"/>
      <c r="K981" s="945"/>
      <c r="L981" s="945"/>
      <c r="M981" s="945"/>
      <c r="N981" s="945"/>
      <c r="O981" s="945"/>
      <c r="P981" s="945"/>
      <c r="Q981" s="945"/>
      <c r="R981" s="945"/>
      <c r="S981" s="945"/>
      <c r="T981" s="945"/>
      <c r="U981" s="945"/>
      <c r="V981" s="945"/>
      <c r="W981" s="945"/>
      <c r="X981" s="945"/>
      <c r="Y981" s="945"/>
      <c r="Z981" s="945"/>
      <c r="AA981" s="945"/>
      <c r="AB981" s="945"/>
      <c r="AC981" s="945"/>
      <c r="AD981" s="945"/>
      <c r="AE981" s="945"/>
      <c r="AF981" s="945"/>
      <c r="AG981" s="945"/>
      <c r="AH981" s="945"/>
      <c r="AI981" s="945"/>
      <c r="AJ981" s="945"/>
      <c r="AK981" s="945"/>
      <c r="AL981" s="945"/>
      <c r="AM981" s="945"/>
      <c r="AN981" s="945"/>
      <c r="AO981" s="945"/>
      <c r="AP981" s="945"/>
      <c r="AQ981" s="945"/>
      <c r="AR981" s="945"/>
      <c r="AS981" s="945"/>
      <c r="AT981" s="945"/>
      <c r="AU981" s="945"/>
      <c r="AV981" s="945"/>
      <c r="AW981" s="945"/>
      <c r="AX981" s="945"/>
      <c r="AY981" s="945"/>
      <c r="AZ981" s="945"/>
      <c r="BA981" s="945"/>
      <c r="BB981" s="945"/>
      <c r="BC981" s="945"/>
      <c r="BD981" s="945"/>
      <c r="BE981" s="945"/>
      <c r="BF981" s="945"/>
      <c r="BG981" s="945"/>
      <c r="BH981" s="446"/>
      <c r="BI981" s="945"/>
      <c r="BJ981" s="945"/>
      <c r="BK981" s="945"/>
      <c r="BL981" s="945"/>
      <c r="BM981" s="945"/>
      <c r="BN981" s="945"/>
      <c r="BO981" s="945"/>
      <c r="BP981" s="945"/>
      <c r="BQ981" s="945"/>
      <c r="BR981" s="945"/>
      <c r="BS981" s="219"/>
    </row>
    <row r="982" spans="1:71" s="673" customFormat="1" ht="15">
      <c r="A982" s="302" t="str">
        <f>MO_VA_P_ToE</f>
        <v>P/E - EoP</v>
      </c>
      <c r="B982" s="945"/>
      <c r="C982" s="445"/>
      <c r="D982" s="445"/>
      <c r="E982" s="945"/>
      <c r="F982" s="945"/>
      <c r="G982" s="945"/>
      <c r="H982" s="945"/>
      <c r="I982" s="945"/>
      <c r="J982" s="945"/>
      <c r="K982" s="945"/>
      <c r="L982" s="945"/>
      <c r="M982" s="945"/>
      <c r="N982" s="945"/>
      <c r="O982" s="945"/>
      <c r="P982" s="945"/>
      <c r="Q982" s="945"/>
      <c r="R982" s="945"/>
      <c r="S982" s="945"/>
      <c r="T982" s="945"/>
      <c r="U982" s="945"/>
      <c r="V982" s="945"/>
      <c r="W982" s="945"/>
      <c r="X982" s="945"/>
      <c r="Y982" s="945"/>
      <c r="Z982" s="945"/>
      <c r="AA982" s="945"/>
      <c r="AB982" s="945"/>
      <c r="AC982" s="945"/>
      <c r="AD982" s="945"/>
      <c r="AE982" s="945"/>
      <c r="AF982" s="945"/>
      <c r="AG982" s="945"/>
      <c r="AH982" s="945"/>
      <c r="AI982" s="945"/>
      <c r="AJ982" s="945"/>
      <c r="AK982" s="945"/>
      <c r="AL982" s="945"/>
      <c r="AM982" s="945"/>
      <c r="AN982" s="945"/>
      <c r="AO982" s="945"/>
      <c r="AP982" s="945"/>
      <c r="AQ982" s="945"/>
      <c r="AR982" s="945"/>
      <c r="AS982" s="945"/>
      <c r="AT982" s="945"/>
      <c r="AU982" s="945"/>
      <c r="AV982" s="945"/>
      <c r="AW982" s="945"/>
      <c r="AX982" s="945"/>
      <c r="AY982" s="945"/>
      <c r="AZ982" s="945"/>
      <c r="BA982" s="945"/>
      <c r="BB982" s="945"/>
      <c r="BC982" s="945"/>
      <c r="BD982" s="945"/>
      <c r="BE982" s="945"/>
      <c r="BF982" s="945"/>
      <c r="BG982" s="945"/>
      <c r="BH982" s="446"/>
      <c r="BI982" s="945"/>
      <c r="BJ982" s="945"/>
      <c r="BK982" s="945"/>
      <c r="BL982" s="945"/>
      <c r="BM982" s="945"/>
      <c r="BN982" s="945"/>
      <c r="BO982" s="945"/>
      <c r="BP982" s="945"/>
      <c r="BQ982" s="945"/>
      <c r="BR982" s="945"/>
      <c r="BS982" s="219"/>
    </row>
    <row r="983" spans="1:71" s="673" customFormat="1" ht="15">
      <c r="A983" s="302" t="str">
        <f>MO_VA_P_ToB</f>
        <v>P/B - EoP</v>
      </c>
      <c r="B983" s="945"/>
      <c r="C983" s="445"/>
      <c r="D983" s="445"/>
      <c r="E983" s="945"/>
      <c r="F983" s="945"/>
      <c r="G983" s="945"/>
      <c r="H983" s="945"/>
      <c r="I983" s="945"/>
      <c r="J983" s="945"/>
      <c r="K983" s="945"/>
      <c r="L983" s="945"/>
      <c r="M983" s="945"/>
      <c r="N983" s="945"/>
      <c r="O983" s="945"/>
      <c r="P983" s="945"/>
      <c r="Q983" s="945"/>
      <c r="R983" s="945"/>
      <c r="S983" s="945"/>
      <c r="T983" s="945"/>
      <c r="U983" s="945"/>
      <c r="V983" s="945"/>
      <c r="W983" s="945"/>
      <c r="X983" s="945"/>
      <c r="Y983" s="945"/>
      <c r="Z983" s="945"/>
      <c r="AA983" s="945"/>
      <c r="AB983" s="945"/>
      <c r="AC983" s="945"/>
      <c r="AD983" s="945"/>
      <c r="AE983" s="945"/>
      <c r="AF983" s="945"/>
      <c r="AG983" s="945"/>
      <c r="AH983" s="945"/>
      <c r="AI983" s="945"/>
      <c r="AJ983" s="945"/>
      <c r="AK983" s="945"/>
      <c r="AL983" s="945"/>
      <c r="AM983" s="945"/>
      <c r="AN983" s="945"/>
      <c r="AO983" s="945"/>
      <c r="AP983" s="945"/>
      <c r="AQ983" s="945"/>
      <c r="AR983" s="945"/>
      <c r="AS983" s="945"/>
      <c r="AT983" s="945"/>
      <c r="AU983" s="945"/>
      <c r="AV983" s="945"/>
      <c r="AW983" s="945"/>
      <c r="AX983" s="945"/>
      <c r="AY983" s="945"/>
      <c r="AZ983" s="945"/>
      <c r="BA983" s="945"/>
      <c r="BB983" s="945"/>
      <c r="BC983" s="945"/>
      <c r="BD983" s="945"/>
      <c r="BE983" s="945"/>
      <c r="BF983" s="945"/>
      <c r="BG983" s="945"/>
      <c r="BH983" s="446"/>
      <c r="BI983" s="945"/>
      <c r="BJ983" s="945"/>
      <c r="BK983" s="945"/>
      <c r="BL983" s="945"/>
      <c r="BM983" s="945"/>
      <c r="BN983" s="945"/>
      <c r="BO983" s="945"/>
      <c r="BP983" s="945"/>
      <c r="BQ983" s="945"/>
      <c r="BR983" s="945"/>
      <c r="BS983" s="219"/>
    </row>
    <row r="984" spans="1:71" s="673" customFormat="1" ht="15">
      <c r="A984" s="453"/>
      <c r="B984" s="945"/>
      <c r="C984" s="445"/>
      <c r="D984" s="445"/>
      <c r="E984" s="945"/>
      <c r="F984" s="945"/>
      <c r="G984" s="945"/>
      <c r="H984" s="945"/>
      <c r="I984" s="945"/>
      <c r="J984" s="945"/>
      <c r="K984" s="945"/>
      <c r="L984" s="945"/>
      <c r="M984" s="945"/>
      <c r="N984" s="945"/>
      <c r="O984" s="945"/>
      <c r="P984" s="945"/>
      <c r="Q984" s="945"/>
      <c r="R984" s="945"/>
      <c r="S984" s="945"/>
      <c r="T984" s="945"/>
      <c r="U984" s="945"/>
      <c r="V984" s="945"/>
      <c r="W984" s="945"/>
      <c r="X984" s="945"/>
      <c r="Y984" s="945"/>
      <c r="Z984" s="945"/>
      <c r="AA984" s="945"/>
      <c r="AB984" s="945"/>
      <c r="AC984" s="945"/>
      <c r="AD984" s="945"/>
      <c r="AE984" s="945"/>
      <c r="AF984" s="945"/>
      <c r="AG984" s="945"/>
      <c r="AH984" s="945"/>
      <c r="AI984" s="945"/>
      <c r="AJ984" s="945"/>
      <c r="AK984" s="945"/>
      <c r="AL984" s="945"/>
      <c r="AM984" s="945"/>
      <c r="AN984" s="945"/>
      <c r="AO984" s="945"/>
      <c r="AP984" s="945"/>
      <c r="AQ984" s="945"/>
      <c r="AR984" s="945"/>
      <c r="AS984" s="945"/>
      <c r="AT984" s="945"/>
      <c r="AU984" s="945"/>
      <c r="AV984" s="945"/>
      <c r="AW984" s="945"/>
      <c r="AX984" s="945"/>
      <c r="AY984" s="945"/>
      <c r="AZ984" s="945"/>
      <c r="BA984" s="945"/>
      <c r="BB984" s="945"/>
      <c r="BC984" s="945"/>
      <c r="BD984" s="945"/>
      <c r="BE984" s="945"/>
      <c r="BF984" s="945"/>
      <c r="BG984" s="945"/>
      <c r="BH984" s="446"/>
      <c r="BI984" s="945"/>
      <c r="BJ984" s="945"/>
      <c r="BK984" s="945"/>
      <c r="BL984" s="945"/>
      <c r="BM984" s="945"/>
      <c r="BN984" s="945"/>
      <c r="BO984" s="945"/>
      <c r="BP984" s="945"/>
      <c r="BQ984" s="945"/>
      <c r="BR984" s="945"/>
      <c r="BS984" s="219"/>
    </row>
    <row r="985" spans="1:71" s="673" customFormat="1" ht="15">
      <c r="A985" s="713"/>
      <c r="B985" s="945"/>
      <c r="C985" s="445"/>
      <c r="D985" s="445"/>
      <c r="E985" s="945"/>
      <c r="F985" s="945"/>
      <c r="G985" s="945"/>
      <c r="H985" s="945"/>
      <c r="I985" s="945"/>
      <c r="J985" s="945"/>
      <c r="K985" s="945"/>
      <c r="L985" s="945"/>
      <c r="M985" s="945"/>
      <c r="N985" s="945"/>
      <c r="O985" s="945"/>
      <c r="P985" s="945"/>
      <c r="Q985" s="945"/>
      <c r="R985" s="945"/>
      <c r="S985" s="945"/>
      <c r="T985" s="945"/>
      <c r="U985" s="945"/>
      <c r="V985" s="945"/>
      <c r="W985" s="945"/>
      <c r="X985" s="945"/>
      <c r="Y985" s="945"/>
      <c r="Z985" s="945"/>
      <c r="AA985" s="945"/>
      <c r="AB985" s="945"/>
      <c r="AC985" s="945"/>
      <c r="AD985" s="945"/>
      <c r="AE985" s="945"/>
      <c r="AF985" s="945"/>
      <c r="AG985" s="945"/>
      <c r="AH985" s="945"/>
      <c r="AI985" s="945"/>
      <c r="AJ985" s="945"/>
      <c r="AK985" s="945"/>
      <c r="AL985" s="945"/>
      <c r="AM985" s="945"/>
      <c r="AN985" s="945"/>
      <c r="AO985" s="945"/>
      <c r="AP985" s="945"/>
      <c r="AQ985" s="945"/>
      <c r="AR985" s="945"/>
      <c r="AS985" s="945"/>
      <c r="AT985" s="945"/>
      <c r="AU985" s="945"/>
      <c r="AV985" s="945"/>
      <c r="AW985" s="945"/>
      <c r="AX985" s="945"/>
      <c r="AY985" s="945"/>
      <c r="AZ985" s="945"/>
      <c r="BA985" s="945"/>
      <c r="BB985" s="945"/>
      <c r="BC985" s="945"/>
      <c r="BD985" s="945"/>
      <c r="BE985" s="945"/>
      <c r="BF985" s="945"/>
      <c r="BG985" s="945"/>
      <c r="BH985" s="446"/>
      <c r="BI985" s="945"/>
      <c r="BJ985" s="945"/>
      <c r="BK985" s="945"/>
      <c r="BL985" s="945"/>
      <c r="BM985" s="945"/>
      <c r="BN985" s="945"/>
      <c r="BO985" s="945"/>
      <c r="BP985" s="945"/>
      <c r="BQ985" s="945"/>
      <c r="BR985" s="945"/>
      <c r="BS985" s="219"/>
    </row>
    <row r="986" spans="1:71" s="673" customFormat="1" ht="15">
      <c r="A986" s="714" t="s">
        <v>715</v>
      </c>
      <c r="B986" s="945"/>
      <c r="C986" s="445"/>
      <c r="D986" s="445"/>
      <c r="E986" s="945"/>
      <c r="F986" s="945"/>
      <c r="G986" s="945"/>
      <c r="H986" s="945"/>
      <c r="I986" s="945"/>
      <c r="J986" s="945"/>
      <c r="K986" s="945"/>
      <c r="L986" s="945"/>
      <c r="M986" s="945"/>
      <c r="N986" s="945"/>
      <c r="O986" s="945"/>
      <c r="P986" s="945"/>
      <c r="Q986" s="945"/>
      <c r="R986" s="945"/>
      <c r="S986" s="945"/>
      <c r="T986" s="945"/>
      <c r="U986" s="945"/>
      <c r="V986" s="945"/>
      <c r="W986" s="945"/>
      <c r="X986" s="945"/>
      <c r="Y986" s="945"/>
      <c r="Z986" s="945"/>
      <c r="AA986" s="945"/>
      <c r="AB986" s="945"/>
      <c r="AC986" s="945"/>
      <c r="AD986" s="945"/>
      <c r="AE986" s="945"/>
      <c r="AF986" s="945"/>
      <c r="AG986" s="945"/>
      <c r="AH986" s="945"/>
      <c r="AI986" s="945"/>
      <c r="AJ986" s="945"/>
      <c r="AK986" s="945"/>
      <c r="AL986" s="945"/>
      <c r="AM986" s="945"/>
      <c r="AN986" s="945"/>
      <c r="AO986" s="945"/>
      <c r="AP986" s="945"/>
      <c r="AQ986" s="945"/>
      <c r="AR986" s="945"/>
      <c r="AS986" s="945"/>
      <c r="AT986" s="945"/>
      <c r="AU986" s="945"/>
      <c r="AV986" s="945"/>
      <c r="AW986" s="945"/>
      <c r="AX986" s="945"/>
      <c r="AY986" s="945"/>
      <c r="AZ986" s="945"/>
      <c r="BA986" s="945"/>
      <c r="BB986" s="945"/>
      <c r="BC986" s="945"/>
      <c r="BD986" s="945"/>
      <c r="BE986" s="945"/>
      <c r="BF986" s="945"/>
      <c r="BG986" s="945"/>
      <c r="BH986" s="446"/>
      <c r="BI986" s="945"/>
      <c r="BJ986" s="945"/>
      <c r="BK986" s="945"/>
      <c r="BL986" s="945"/>
      <c r="BM986" s="945"/>
      <c r="BN986" s="945"/>
      <c r="BO986" s="945"/>
      <c r="BP986" s="945"/>
      <c r="BQ986" s="945"/>
      <c r="BR986" s="945"/>
      <c r="BS986" s="219"/>
    </row>
    <row r="987" spans="1:71" s="673" customFormat="1" ht="15">
      <c r="A987" s="715" t="s">
        <v>716</v>
      </c>
      <c r="B987" s="945"/>
      <c r="C987" s="445"/>
      <c r="D987" s="445"/>
      <c r="E987" s="945"/>
      <c r="F987" s="945"/>
      <c r="G987" s="945"/>
      <c r="H987" s="945"/>
      <c r="I987" s="945"/>
      <c r="J987" s="945"/>
      <c r="K987" s="945"/>
      <c r="L987" s="945"/>
      <c r="M987" s="945"/>
      <c r="N987" s="945"/>
      <c r="O987" s="945"/>
      <c r="P987" s="945"/>
      <c r="Q987" s="945"/>
      <c r="R987" s="945"/>
      <c r="S987" s="945"/>
      <c r="T987" s="945"/>
      <c r="U987" s="945"/>
      <c r="V987" s="945"/>
      <c r="W987" s="945"/>
      <c r="X987" s="945"/>
      <c r="Y987" s="945"/>
      <c r="Z987" s="945"/>
      <c r="AA987" s="945"/>
      <c r="AB987" s="945"/>
      <c r="AC987" s="945"/>
      <c r="AD987" s="945"/>
      <c r="AE987" s="945"/>
      <c r="AF987" s="945"/>
      <c r="AG987" s="945"/>
      <c r="AH987" s="945"/>
      <c r="AI987" s="945"/>
      <c r="AJ987" s="945"/>
      <c r="AK987" s="945"/>
      <c r="AL987" s="945"/>
      <c r="AM987" s="945"/>
      <c r="AN987" s="945"/>
      <c r="AO987" s="945"/>
      <c r="AP987" s="945"/>
      <c r="AQ987" s="945"/>
      <c r="AR987" s="945"/>
      <c r="AS987" s="945"/>
      <c r="AT987" s="945"/>
      <c r="AU987" s="945"/>
      <c r="AV987" s="945"/>
      <c r="AW987" s="945"/>
      <c r="AX987" s="945"/>
      <c r="AY987" s="945"/>
      <c r="AZ987" s="945"/>
      <c r="BA987" s="945"/>
      <c r="BB987" s="945"/>
      <c r="BC987" s="945"/>
      <c r="BD987" s="945"/>
      <c r="BE987" s="945"/>
      <c r="BF987" s="945"/>
      <c r="BG987" s="945"/>
      <c r="BH987" s="446"/>
      <c r="BI987" s="945"/>
      <c r="BJ987" s="945"/>
      <c r="BK987" s="945"/>
      <c r="BL987" s="945"/>
      <c r="BM987" s="945"/>
      <c r="BN987" s="945"/>
      <c r="BO987" s="945"/>
      <c r="BP987" s="945"/>
      <c r="BQ987" s="945"/>
      <c r="BR987" s="945"/>
      <c r="BS987" s="219"/>
    </row>
    <row r="988" spans="1:71" s="673" customFormat="1" ht="15">
      <c r="A988" s="715" t="s">
        <v>717</v>
      </c>
      <c r="B988" s="945"/>
      <c r="C988" s="445"/>
      <c r="D988" s="445"/>
      <c r="E988" s="945"/>
      <c r="F988" s="945"/>
      <c r="G988" s="945"/>
      <c r="H988" s="945"/>
      <c r="I988" s="945"/>
      <c r="J988" s="945"/>
      <c r="K988" s="945"/>
      <c r="L988" s="945"/>
      <c r="M988" s="945"/>
      <c r="N988" s="945"/>
      <c r="O988" s="945"/>
      <c r="P988" s="945"/>
      <c r="Q988" s="945"/>
      <c r="R988" s="945"/>
      <c r="S988" s="945"/>
      <c r="T988" s="945"/>
      <c r="U988" s="945"/>
      <c r="V988" s="945"/>
      <c r="W988" s="945"/>
      <c r="X988" s="945"/>
      <c r="Y988" s="945"/>
      <c r="Z988" s="945"/>
      <c r="AA988" s="945"/>
      <c r="AB988" s="945"/>
      <c r="AC988" s="945"/>
      <c r="AD988" s="945"/>
      <c r="AE988" s="945"/>
      <c r="AF988" s="945"/>
      <c r="AG988" s="945"/>
      <c r="AH988" s="945"/>
      <c r="AI988" s="945"/>
      <c r="AJ988" s="945"/>
      <c r="AK988" s="945"/>
      <c r="AL988" s="945"/>
      <c r="AM988" s="945"/>
      <c r="AN988" s="945"/>
      <c r="AO988" s="945"/>
      <c r="AP988" s="945"/>
      <c r="AQ988" s="945"/>
      <c r="AR988" s="945"/>
      <c r="AS988" s="945"/>
      <c r="AT988" s="945"/>
      <c r="AU988" s="945"/>
      <c r="AV988" s="945"/>
      <c r="AW988" s="945"/>
      <c r="AX988" s="945"/>
      <c r="AY988" s="945"/>
      <c r="AZ988" s="945"/>
      <c r="BA988" s="945"/>
      <c r="BB988" s="945"/>
      <c r="BC988" s="945"/>
      <c r="BD988" s="945"/>
      <c r="BE988" s="945"/>
      <c r="BF988" s="945"/>
      <c r="BG988" s="945"/>
      <c r="BH988" s="446"/>
      <c r="BI988" s="945"/>
      <c r="BJ988" s="945"/>
      <c r="BK988" s="945"/>
      <c r="BL988" s="945"/>
      <c r="BM988" s="945"/>
      <c r="BN988" s="945"/>
      <c r="BO988" s="945"/>
      <c r="BP988" s="945"/>
      <c r="BQ988" s="945"/>
      <c r="BR988" s="945"/>
      <c r="BS988" s="219"/>
    </row>
    <row r="989" spans="1:71" s="673" customFormat="1" ht="15">
      <c r="A989" s="715" t="s">
        <v>718</v>
      </c>
      <c r="B989" s="945"/>
      <c r="C989" s="445"/>
      <c r="D989" s="445"/>
      <c r="E989" s="945"/>
      <c r="F989" s="945"/>
      <c r="G989" s="945"/>
      <c r="H989" s="945"/>
      <c r="I989" s="945"/>
      <c r="J989" s="945"/>
      <c r="K989" s="945"/>
      <c r="L989" s="945"/>
      <c r="M989" s="945"/>
      <c r="N989" s="945"/>
      <c r="O989" s="945"/>
      <c r="P989" s="945"/>
      <c r="Q989" s="945"/>
      <c r="R989" s="945"/>
      <c r="S989" s="945"/>
      <c r="T989" s="945"/>
      <c r="U989" s="945"/>
      <c r="V989" s="945"/>
      <c r="W989" s="945"/>
      <c r="X989" s="945"/>
      <c r="Y989" s="945"/>
      <c r="Z989" s="945"/>
      <c r="AA989" s="945"/>
      <c r="AB989" s="945"/>
      <c r="AC989" s="945"/>
      <c r="AD989" s="945"/>
      <c r="AE989" s="945"/>
      <c r="AF989" s="945"/>
      <c r="AG989" s="945"/>
      <c r="AH989" s="945"/>
      <c r="AI989" s="945"/>
      <c r="AJ989" s="945"/>
      <c r="AK989" s="945"/>
      <c r="AL989" s="945"/>
      <c r="AM989" s="945"/>
      <c r="AN989" s="945"/>
      <c r="AO989" s="945"/>
      <c r="AP989" s="945"/>
      <c r="AQ989" s="945"/>
      <c r="AR989" s="945"/>
      <c r="AS989" s="945"/>
      <c r="AT989" s="945"/>
      <c r="AU989" s="945"/>
      <c r="AV989" s="945"/>
      <c r="AW989" s="945"/>
      <c r="AX989" s="945"/>
      <c r="AY989" s="945"/>
      <c r="AZ989" s="945"/>
      <c r="BA989" s="945"/>
      <c r="BB989" s="945"/>
      <c r="BC989" s="945"/>
      <c r="BD989" s="945"/>
      <c r="BE989" s="945"/>
      <c r="BF989" s="945"/>
      <c r="BG989" s="945"/>
      <c r="BH989" s="446"/>
      <c r="BI989" s="945"/>
      <c r="BJ989" s="945"/>
      <c r="BK989" s="945"/>
      <c r="BL989" s="945"/>
      <c r="BM989" s="945"/>
      <c r="BN989" s="945"/>
      <c r="BO989" s="945"/>
      <c r="BP989" s="945"/>
      <c r="BQ989" s="945"/>
      <c r="BR989" s="945"/>
      <c r="BS989" s="219"/>
    </row>
    <row r="990" spans="1:71" s="673" customFormat="1" ht="15">
      <c r="A990" s="715" t="s">
        <v>719</v>
      </c>
      <c r="B990" s="945"/>
      <c r="C990" s="445"/>
      <c r="D990" s="445"/>
      <c r="E990" s="945"/>
      <c r="F990" s="945"/>
      <c r="G990" s="945"/>
      <c r="H990" s="945"/>
      <c r="I990" s="945"/>
      <c r="J990" s="945"/>
      <c r="K990" s="945"/>
      <c r="L990" s="945"/>
      <c r="M990" s="945"/>
      <c r="N990" s="945"/>
      <c r="O990" s="945"/>
      <c r="P990" s="945"/>
      <c r="Q990" s="945"/>
      <c r="R990" s="945"/>
      <c r="S990" s="945"/>
      <c r="T990" s="945"/>
      <c r="U990" s="945"/>
      <c r="V990" s="945"/>
      <c r="W990" s="945"/>
      <c r="X990" s="945"/>
      <c r="Y990" s="945"/>
      <c r="Z990" s="945"/>
      <c r="AA990" s="945"/>
      <c r="AB990" s="945"/>
      <c r="AC990" s="945"/>
      <c r="AD990" s="945"/>
      <c r="AE990" s="945"/>
      <c r="AF990" s="945"/>
      <c r="AG990" s="945"/>
      <c r="AH990" s="945"/>
      <c r="AI990" s="945"/>
      <c r="AJ990" s="945"/>
      <c r="AK990" s="945"/>
      <c r="AL990" s="945"/>
      <c r="AM990" s="945"/>
      <c r="AN990" s="945"/>
      <c r="AO990" s="945"/>
      <c r="AP990" s="945"/>
      <c r="AQ990" s="945"/>
      <c r="AR990" s="945"/>
      <c r="AS990" s="945"/>
      <c r="AT990" s="945"/>
      <c r="AU990" s="945"/>
      <c r="AV990" s="945"/>
      <c r="AW990" s="945"/>
      <c r="AX990" s="945"/>
      <c r="AY990" s="945"/>
      <c r="AZ990" s="945"/>
      <c r="BA990" s="945"/>
      <c r="BB990" s="945"/>
      <c r="BC990" s="945"/>
      <c r="BD990" s="945"/>
      <c r="BE990" s="945"/>
      <c r="BF990" s="945"/>
      <c r="BG990" s="945"/>
      <c r="BH990" s="446"/>
      <c r="BI990" s="945"/>
      <c r="BJ990" s="945"/>
      <c r="BK990" s="945"/>
      <c r="BL990" s="945"/>
      <c r="BM990" s="945"/>
      <c r="BN990" s="945"/>
      <c r="BO990" s="945"/>
      <c r="BP990" s="945"/>
      <c r="BQ990" s="945"/>
      <c r="BR990" s="945"/>
      <c r="BS990" s="219"/>
    </row>
    <row r="991" spans="1:71" s="673" customFormat="1" ht="15">
      <c r="A991" s="715" t="s">
        <v>747</v>
      </c>
      <c r="B991" s="945"/>
      <c r="C991" s="445"/>
      <c r="D991" s="445"/>
      <c r="E991" s="945"/>
      <c r="F991" s="945"/>
      <c r="G991" s="945"/>
      <c r="H991" s="945"/>
      <c r="I991" s="945"/>
      <c r="J991" s="945"/>
      <c r="K991" s="945"/>
      <c r="L991" s="945"/>
      <c r="M991" s="945"/>
      <c r="N991" s="945"/>
      <c r="O991" s="945"/>
      <c r="P991" s="945"/>
      <c r="Q991" s="945"/>
      <c r="R991" s="945"/>
      <c r="S991" s="945"/>
      <c r="T991" s="945"/>
      <c r="U991" s="945"/>
      <c r="V991" s="945"/>
      <c r="W991" s="945"/>
      <c r="X991" s="945"/>
      <c r="Y991" s="945"/>
      <c r="Z991" s="945"/>
      <c r="AA991" s="945"/>
      <c r="AB991" s="945"/>
      <c r="AC991" s="945"/>
      <c r="AD991" s="945"/>
      <c r="AE991" s="945"/>
      <c r="AF991" s="945"/>
      <c r="AG991" s="945"/>
      <c r="AH991" s="945"/>
      <c r="AI991" s="945"/>
      <c r="AJ991" s="945"/>
      <c r="AK991" s="945"/>
      <c r="AL991" s="945"/>
      <c r="AM991" s="945"/>
      <c r="AN991" s="945"/>
      <c r="AO991" s="945"/>
      <c r="AP991" s="945"/>
      <c r="AQ991" s="945"/>
      <c r="AR991" s="945"/>
      <c r="AS991" s="945"/>
      <c r="AT991" s="945"/>
      <c r="AU991" s="945"/>
      <c r="AV991" s="945"/>
      <c r="AW991" s="945"/>
      <c r="AX991" s="945"/>
      <c r="AY991" s="945"/>
      <c r="AZ991" s="945"/>
      <c r="BA991" s="945"/>
      <c r="BB991" s="945"/>
      <c r="BC991" s="945"/>
      <c r="BD991" s="945"/>
      <c r="BE991" s="945"/>
      <c r="BF991" s="945"/>
      <c r="BG991" s="945"/>
      <c r="BH991" s="446"/>
      <c r="BI991" s="945"/>
      <c r="BJ991" s="945"/>
      <c r="BK991" s="945"/>
      <c r="BL991" s="945"/>
      <c r="BM991" s="945"/>
      <c r="BN991" s="945"/>
      <c r="BO991" s="945"/>
      <c r="BP991" s="945"/>
      <c r="BQ991" s="945"/>
      <c r="BR991" s="945"/>
      <c r="BS991" s="219"/>
    </row>
    <row r="992" spans="1:71" s="673" customFormat="1" ht="15">
      <c r="A992" s="715" t="s">
        <v>748</v>
      </c>
      <c r="B992" s="945"/>
      <c r="C992" s="445"/>
      <c r="D992" s="445"/>
      <c r="E992" s="945"/>
      <c r="F992" s="945"/>
      <c r="G992" s="945"/>
      <c r="H992" s="945"/>
      <c r="I992" s="945"/>
      <c r="J992" s="945"/>
      <c r="K992" s="945"/>
      <c r="L992" s="945"/>
      <c r="M992" s="945"/>
      <c r="N992" s="945"/>
      <c r="O992" s="945"/>
      <c r="P992" s="945"/>
      <c r="Q992" s="945"/>
      <c r="R992" s="945"/>
      <c r="S992" s="945"/>
      <c r="T992" s="945"/>
      <c r="U992" s="945"/>
      <c r="V992" s="945"/>
      <c r="W992" s="945"/>
      <c r="X992" s="945"/>
      <c r="Y992" s="945"/>
      <c r="Z992" s="945"/>
      <c r="AA992" s="945"/>
      <c r="AB992" s="945"/>
      <c r="AC992" s="945"/>
      <c r="AD992" s="945"/>
      <c r="AE992" s="945"/>
      <c r="AF992" s="945"/>
      <c r="AG992" s="945"/>
      <c r="AH992" s="945"/>
      <c r="AI992" s="945"/>
      <c r="AJ992" s="945"/>
      <c r="AK992" s="945"/>
      <c r="AL992" s="945"/>
      <c r="AM992" s="945"/>
      <c r="AN992" s="945"/>
      <c r="AO992" s="945"/>
      <c r="AP992" s="945"/>
      <c r="AQ992" s="945"/>
      <c r="AR992" s="945"/>
      <c r="AS992" s="945"/>
      <c r="AT992" s="945"/>
      <c r="AU992" s="945"/>
      <c r="AV992" s="945"/>
      <c r="AW992" s="945"/>
      <c r="AX992" s="945"/>
      <c r="AY992" s="945"/>
      <c r="AZ992" s="945"/>
      <c r="BA992" s="945"/>
      <c r="BB992" s="945"/>
      <c r="BC992" s="945"/>
      <c r="BD992" s="945"/>
      <c r="BE992" s="945"/>
      <c r="BF992" s="945"/>
      <c r="BG992" s="945"/>
      <c r="BH992" s="446"/>
      <c r="BI992" s="945"/>
      <c r="BJ992" s="945"/>
      <c r="BK992" s="945"/>
      <c r="BL992" s="945"/>
      <c r="BM992" s="945"/>
      <c r="BN992" s="945"/>
      <c r="BO992" s="945"/>
      <c r="BP992" s="945"/>
      <c r="BQ992" s="945"/>
      <c r="BR992" s="945"/>
      <c r="BS992" s="219"/>
    </row>
    <row r="993" spans="1:71" s="673" customFormat="1" ht="15">
      <c r="A993" s="715" t="s">
        <v>749</v>
      </c>
      <c r="B993" s="945"/>
      <c r="C993" s="445"/>
      <c r="D993" s="445"/>
      <c r="E993" s="945"/>
      <c r="F993" s="945"/>
      <c r="G993" s="945"/>
      <c r="H993" s="945"/>
      <c r="I993" s="945"/>
      <c r="J993" s="945"/>
      <c r="K993" s="945"/>
      <c r="L993" s="945"/>
      <c r="M993" s="945"/>
      <c r="N993" s="945"/>
      <c r="O993" s="945"/>
      <c r="P993" s="945"/>
      <c r="Q993" s="945"/>
      <c r="R993" s="945"/>
      <c r="S993" s="945"/>
      <c r="T993" s="945"/>
      <c r="U993" s="945"/>
      <c r="V993" s="945"/>
      <c r="W993" s="945"/>
      <c r="X993" s="945"/>
      <c r="Y993" s="945"/>
      <c r="Z993" s="945"/>
      <c r="AA993" s="945"/>
      <c r="AB993" s="945"/>
      <c r="AC993" s="945"/>
      <c r="AD993" s="945"/>
      <c r="AE993" s="945"/>
      <c r="AF993" s="945"/>
      <c r="AG993" s="945"/>
      <c r="AH993" s="945"/>
      <c r="AI993" s="945"/>
      <c r="AJ993" s="945"/>
      <c r="AK993" s="945"/>
      <c r="AL993" s="945"/>
      <c r="AM993" s="945"/>
      <c r="AN993" s="945"/>
      <c r="AO993" s="945"/>
      <c r="AP993" s="945"/>
      <c r="AQ993" s="945"/>
      <c r="AR993" s="945"/>
      <c r="AS993" s="945"/>
      <c r="AT993" s="945"/>
      <c r="AU993" s="945"/>
      <c r="AV993" s="945"/>
      <c r="AW993" s="945"/>
      <c r="AX993" s="945"/>
      <c r="AY993" s="945"/>
      <c r="AZ993" s="945"/>
      <c r="BA993" s="945"/>
      <c r="BB993" s="945"/>
      <c r="BC993" s="945"/>
      <c r="BD993" s="945"/>
      <c r="BE993" s="945"/>
      <c r="BF993" s="945"/>
      <c r="BG993" s="945"/>
      <c r="BH993" s="446"/>
      <c r="BI993" s="945"/>
      <c r="BJ993" s="945"/>
      <c r="BK993" s="945"/>
      <c r="BL993" s="945"/>
      <c r="BM993" s="945"/>
      <c r="BN993" s="945"/>
      <c r="BO993" s="945"/>
      <c r="BP993" s="945"/>
      <c r="BQ993" s="945"/>
      <c r="BR993" s="945"/>
      <c r="BS993" s="219"/>
    </row>
    <row r="994" spans="1:71" s="673" customFormat="1" ht="15">
      <c r="A994" s="715" t="s">
        <v>750</v>
      </c>
      <c r="B994" s="945"/>
      <c r="C994" s="445"/>
      <c r="D994" s="445"/>
      <c r="E994" s="945"/>
      <c r="F994" s="945"/>
      <c r="G994" s="945"/>
      <c r="H994" s="945"/>
      <c r="I994" s="945"/>
      <c r="J994" s="945"/>
      <c r="K994" s="945"/>
      <c r="L994" s="945"/>
      <c r="M994" s="945"/>
      <c r="N994" s="945"/>
      <c r="O994" s="945"/>
      <c r="P994" s="945"/>
      <c r="Q994" s="945"/>
      <c r="R994" s="945"/>
      <c r="S994" s="945"/>
      <c r="T994" s="945"/>
      <c r="U994" s="945"/>
      <c r="V994" s="945"/>
      <c r="W994" s="945"/>
      <c r="X994" s="945"/>
      <c r="Y994" s="945"/>
      <c r="Z994" s="945"/>
      <c r="AA994" s="945"/>
      <c r="AB994" s="945"/>
      <c r="AC994" s="945"/>
      <c r="AD994" s="945"/>
      <c r="AE994" s="945"/>
      <c r="AF994" s="945"/>
      <c r="AG994" s="945"/>
      <c r="AH994" s="945"/>
      <c r="AI994" s="945"/>
      <c r="AJ994" s="945"/>
      <c r="AK994" s="945"/>
      <c r="AL994" s="945"/>
      <c r="AM994" s="945"/>
      <c r="AN994" s="945"/>
      <c r="AO994" s="945"/>
      <c r="AP994" s="945"/>
      <c r="AQ994" s="945"/>
      <c r="AR994" s="945"/>
      <c r="AS994" s="945"/>
      <c r="AT994" s="945"/>
      <c r="AU994" s="945"/>
      <c r="AV994" s="945"/>
      <c r="AW994" s="945"/>
      <c r="AX994" s="945"/>
      <c r="AY994" s="945"/>
      <c r="AZ994" s="945"/>
      <c r="BA994" s="945"/>
      <c r="BB994" s="945"/>
      <c r="BC994" s="945"/>
      <c r="BD994" s="945"/>
      <c r="BE994" s="945"/>
      <c r="BF994" s="945"/>
      <c r="BG994" s="945"/>
      <c r="BH994" s="446"/>
      <c r="BI994" s="945"/>
      <c r="BJ994" s="945"/>
      <c r="BK994" s="945"/>
      <c r="BL994" s="945"/>
      <c r="BM994" s="945"/>
      <c r="BN994" s="945"/>
      <c r="BO994" s="945"/>
      <c r="BP994" s="945"/>
      <c r="BQ994" s="945"/>
      <c r="BR994" s="945"/>
      <c r="BS994" s="219"/>
    </row>
    <row r="995" spans="1:71" s="673" customFormat="1" ht="15">
      <c r="A995" s="715" t="s">
        <v>751</v>
      </c>
      <c r="B995" s="945"/>
      <c r="C995" s="445"/>
      <c r="D995" s="445"/>
      <c r="E995" s="945"/>
      <c r="F995" s="945"/>
      <c r="G995" s="945"/>
      <c r="H995" s="945"/>
      <c r="I995" s="945"/>
      <c r="J995" s="945"/>
      <c r="K995" s="945"/>
      <c r="L995" s="945"/>
      <c r="M995" s="945"/>
      <c r="N995" s="945"/>
      <c r="O995" s="945"/>
      <c r="P995" s="945"/>
      <c r="Q995" s="945"/>
      <c r="R995" s="945"/>
      <c r="S995" s="945"/>
      <c r="T995" s="945"/>
      <c r="U995" s="945"/>
      <c r="V995" s="945"/>
      <c r="W995" s="945"/>
      <c r="X995" s="945"/>
      <c r="Y995" s="945"/>
      <c r="Z995" s="945"/>
      <c r="AA995" s="945"/>
      <c r="AB995" s="945"/>
      <c r="AC995" s="945"/>
      <c r="AD995" s="945"/>
      <c r="AE995" s="945"/>
      <c r="AF995" s="945"/>
      <c r="AG995" s="945"/>
      <c r="AH995" s="945"/>
      <c r="AI995" s="945"/>
      <c r="AJ995" s="945"/>
      <c r="AK995" s="945"/>
      <c r="AL995" s="945"/>
      <c r="AM995" s="945"/>
      <c r="AN995" s="945"/>
      <c r="AO995" s="945"/>
      <c r="AP995" s="945"/>
      <c r="AQ995" s="945"/>
      <c r="AR995" s="945"/>
      <c r="AS995" s="945"/>
      <c r="AT995" s="945"/>
      <c r="AU995" s="945"/>
      <c r="AV995" s="945"/>
      <c r="AW995" s="945"/>
      <c r="AX995" s="945"/>
      <c r="AY995" s="945"/>
      <c r="AZ995" s="945"/>
      <c r="BA995" s="945"/>
      <c r="BB995" s="945"/>
      <c r="BC995" s="945"/>
      <c r="BD995" s="945"/>
      <c r="BE995" s="945"/>
      <c r="BF995" s="945"/>
      <c r="BG995" s="945"/>
      <c r="BH995" s="446"/>
      <c r="BI995" s="945"/>
      <c r="BJ995" s="945"/>
      <c r="BK995" s="945"/>
      <c r="BL995" s="945"/>
      <c r="BM995" s="945"/>
      <c r="BN995" s="945"/>
      <c r="BO995" s="945"/>
      <c r="BP995" s="945"/>
      <c r="BQ995" s="945"/>
      <c r="BR995" s="945"/>
      <c r="BS995" s="219"/>
    </row>
    <row r="996" spans="1:71" s="673" customFormat="1" ht="15">
      <c r="A996" s="715" t="s">
        <v>752</v>
      </c>
      <c r="B996" s="945"/>
      <c r="C996" s="445"/>
      <c r="D996" s="445"/>
      <c r="E996" s="945"/>
      <c r="F996" s="945"/>
      <c r="G996" s="945"/>
      <c r="H996" s="945"/>
      <c r="I996" s="945"/>
      <c r="J996" s="945"/>
      <c r="K996" s="945"/>
      <c r="L996" s="945"/>
      <c r="M996" s="945"/>
      <c r="N996" s="945"/>
      <c r="O996" s="945"/>
      <c r="P996" s="945"/>
      <c r="Q996" s="945"/>
      <c r="R996" s="945"/>
      <c r="S996" s="945"/>
      <c r="T996" s="945"/>
      <c r="U996" s="945"/>
      <c r="V996" s="945"/>
      <c r="W996" s="945"/>
      <c r="X996" s="945"/>
      <c r="Y996" s="945"/>
      <c r="Z996" s="945"/>
      <c r="AA996" s="945"/>
      <c r="AB996" s="945"/>
      <c r="AC996" s="945"/>
      <c r="AD996" s="945"/>
      <c r="AE996" s="945"/>
      <c r="AF996" s="945"/>
      <c r="AG996" s="945"/>
      <c r="AH996" s="945"/>
      <c r="AI996" s="945"/>
      <c r="AJ996" s="945"/>
      <c r="AK996" s="945"/>
      <c r="AL996" s="945"/>
      <c r="AM996" s="945"/>
      <c r="AN996" s="945"/>
      <c r="AO996" s="945"/>
      <c r="AP996" s="945"/>
      <c r="AQ996" s="945"/>
      <c r="AR996" s="945"/>
      <c r="AS996" s="945"/>
      <c r="AT996" s="945"/>
      <c r="AU996" s="945"/>
      <c r="AV996" s="945"/>
      <c r="AW996" s="945"/>
      <c r="AX996" s="945"/>
      <c r="AY996" s="945"/>
      <c r="AZ996" s="945"/>
      <c r="BA996" s="945"/>
      <c r="BB996" s="945"/>
      <c r="BC996" s="945"/>
      <c r="BD996" s="945"/>
      <c r="BE996" s="945"/>
      <c r="BF996" s="945"/>
      <c r="BG996" s="945"/>
      <c r="BH996" s="446"/>
      <c r="BI996" s="945"/>
      <c r="BJ996" s="945"/>
      <c r="BK996" s="945"/>
      <c r="BL996" s="945"/>
      <c r="BM996" s="945"/>
      <c r="BN996" s="945"/>
      <c r="BO996" s="945"/>
      <c r="BP996" s="945"/>
      <c r="BQ996" s="945"/>
      <c r="BR996" s="945"/>
      <c r="BS996" s="219"/>
    </row>
    <row r="997" spans="1:71" s="673" customFormat="1" ht="15">
      <c r="A997" s="715" t="s">
        <v>753</v>
      </c>
      <c r="B997" s="945"/>
      <c r="C997" s="445"/>
      <c r="D997" s="445"/>
      <c r="E997" s="945"/>
      <c r="F997" s="945"/>
      <c r="G997" s="945"/>
      <c r="H997" s="945"/>
      <c r="I997" s="945"/>
      <c r="J997" s="945"/>
      <c r="K997" s="945"/>
      <c r="L997" s="945"/>
      <c r="M997" s="945"/>
      <c r="N997" s="945"/>
      <c r="O997" s="945"/>
      <c r="P997" s="945"/>
      <c r="Q997" s="945"/>
      <c r="R997" s="945"/>
      <c r="S997" s="945"/>
      <c r="T997" s="945"/>
      <c r="U997" s="945"/>
      <c r="V997" s="945"/>
      <c r="W997" s="945"/>
      <c r="X997" s="945"/>
      <c r="Y997" s="945"/>
      <c r="Z997" s="945"/>
      <c r="AA997" s="945"/>
      <c r="AB997" s="945"/>
      <c r="AC997" s="945"/>
      <c r="AD997" s="945"/>
      <c r="AE997" s="945"/>
      <c r="AF997" s="945"/>
      <c r="AG997" s="945"/>
      <c r="AH997" s="945"/>
      <c r="AI997" s="945"/>
      <c r="AJ997" s="945"/>
      <c r="AK997" s="945"/>
      <c r="AL997" s="945"/>
      <c r="AM997" s="945"/>
      <c r="AN997" s="945"/>
      <c r="AO997" s="945"/>
      <c r="AP997" s="945"/>
      <c r="AQ997" s="945"/>
      <c r="AR997" s="945"/>
      <c r="AS997" s="945"/>
      <c r="AT997" s="945"/>
      <c r="AU997" s="945"/>
      <c r="AV997" s="945"/>
      <c r="AW997" s="945"/>
      <c r="AX997" s="945"/>
      <c r="AY997" s="945"/>
      <c r="AZ997" s="945"/>
      <c r="BA997" s="945"/>
      <c r="BB997" s="945"/>
      <c r="BC997" s="945"/>
      <c r="BD997" s="945"/>
      <c r="BE997" s="945"/>
      <c r="BF997" s="945"/>
      <c r="BG997" s="945"/>
      <c r="BH997" s="446"/>
      <c r="BI997" s="945"/>
      <c r="BJ997" s="945"/>
      <c r="BK997" s="945"/>
      <c r="BL997" s="945"/>
      <c r="BM997" s="945"/>
      <c r="BN997" s="945"/>
      <c r="BO997" s="945"/>
      <c r="BP997" s="945"/>
      <c r="BQ997" s="945"/>
      <c r="BR997" s="945"/>
      <c r="BS997" s="219"/>
    </row>
    <row r="998" spans="1:71" s="673" customFormat="1" ht="15">
      <c r="A998" s="715" t="s">
        <v>754</v>
      </c>
      <c r="B998" s="945"/>
      <c r="C998" s="445"/>
      <c r="D998" s="445"/>
      <c r="E998" s="945"/>
      <c r="F998" s="945"/>
      <c r="G998" s="945"/>
      <c r="H998" s="945"/>
      <c r="I998" s="945"/>
      <c r="J998" s="945"/>
      <c r="K998" s="945"/>
      <c r="L998" s="945"/>
      <c r="M998" s="945"/>
      <c r="N998" s="945"/>
      <c r="O998" s="945"/>
      <c r="P998" s="945"/>
      <c r="Q998" s="945"/>
      <c r="R998" s="945"/>
      <c r="S998" s="945"/>
      <c r="T998" s="945"/>
      <c r="U998" s="945"/>
      <c r="V998" s="945"/>
      <c r="W998" s="945"/>
      <c r="X998" s="945"/>
      <c r="Y998" s="945"/>
      <c r="Z998" s="945"/>
      <c r="AA998" s="945"/>
      <c r="AB998" s="945"/>
      <c r="AC998" s="945"/>
      <c r="AD998" s="945"/>
      <c r="AE998" s="945"/>
      <c r="AF998" s="945"/>
      <c r="AG998" s="945"/>
      <c r="AH998" s="945"/>
      <c r="AI998" s="945"/>
      <c r="AJ998" s="945"/>
      <c r="AK998" s="945"/>
      <c r="AL998" s="945"/>
      <c r="AM998" s="945"/>
      <c r="AN998" s="945"/>
      <c r="AO998" s="945"/>
      <c r="AP998" s="945"/>
      <c r="AQ998" s="945"/>
      <c r="AR998" s="945"/>
      <c r="AS998" s="945"/>
      <c r="AT998" s="945"/>
      <c r="AU998" s="945"/>
      <c r="AV998" s="945"/>
      <c r="AW998" s="945"/>
      <c r="AX998" s="945"/>
      <c r="AY998" s="945"/>
      <c r="AZ998" s="945"/>
      <c r="BA998" s="945"/>
      <c r="BB998" s="945"/>
      <c r="BC998" s="945"/>
      <c r="BD998" s="945"/>
      <c r="BE998" s="945"/>
      <c r="BF998" s="945"/>
      <c r="BG998" s="945"/>
      <c r="BH998" s="446"/>
      <c r="BI998" s="945"/>
      <c r="BJ998" s="945"/>
      <c r="BK998" s="945"/>
      <c r="BL998" s="945"/>
      <c r="BM998" s="945"/>
      <c r="BN998" s="945"/>
      <c r="BO998" s="945"/>
      <c r="BP998" s="945"/>
      <c r="BQ998" s="945"/>
      <c r="BR998" s="945"/>
      <c r="BS998" s="219"/>
    </row>
    <row r="999" spans="1:71" s="673" customFormat="1" ht="15">
      <c r="A999" s="715" t="s">
        <v>755</v>
      </c>
      <c r="B999" s="945"/>
      <c r="C999" s="445"/>
      <c r="D999" s="445"/>
      <c r="E999" s="945"/>
      <c r="F999" s="945"/>
      <c r="G999" s="945"/>
      <c r="H999" s="945"/>
      <c r="I999" s="945"/>
      <c r="J999" s="945"/>
      <c r="K999" s="945"/>
      <c r="L999" s="945"/>
      <c r="M999" s="945"/>
      <c r="N999" s="945"/>
      <c r="O999" s="945"/>
      <c r="P999" s="945"/>
      <c r="Q999" s="945"/>
      <c r="R999" s="945"/>
      <c r="S999" s="945"/>
      <c r="T999" s="945"/>
      <c r="U999" s="945"/>
      <c r="V999" s="945"/>
      <c r="W999" s="945"/>
      <c r="X999" s="945"/>
      <c r="Y999" s="945"/>
      <c r="Z999" s="945"/>
      <c r="AA999" s="945"/>
      <c r="AB999" s="945"/>
      <c r="AC999" s="945"/>
      <c r="AD999" s="945"/>
      <c r="AE999" s="945"/>
      <c r="AF999" s="945"/>
      <c r="AG999" s="945"/>
      <c r="AH999" s="945"/>
      <c r="AI999" s="945"/>
      <c r="AJ999" s="945"/>
      <c r="AK999" s="945"/>
      <c r="AL999" s="945"/>
      <c r="AM999" s="945"/>
      <c r="AN999" s="945"/>
      <c r="AO999" s="945"/>
      <c r="AP999" s="945"/>
      <c r="AQ999" s="945"/>
      <c r="AR999" s="945"/>
      <c r="AS999" s="945"/>
      <c r="AT999" s="945"/>
      <c r="AU999" s="945"/>
      <c r="AV999" s="945"/>
      <c r="AW999" s="945"/>
      <c r="AX999" s="945"/>
      <c r="AY999" s="945"/>
      <c r="AZ999" s="945"/>
      <c r="BA999" s="945"/>
      <c r="BB999" s="945"/>
      <c r="BC999" s="945"/>
      <c r="BD999" s="945"/>
      <c r="BE999" s="945"/>
      <c r="BF999" s="945"/>
      <c r="BG999" s="945"/>
      <c r="BH999" s="446"/>
      <c r="BI999" s="945"/>
      <c r="BJ999" s="945"/>
      <c r="BK999" s="945"/>
      <c r="BL999" s="945"/>
      <c r="BM999" s="945"/>
      <c r="BN999" s="945"/>
      <c r="BO999" s="945"/>
      <c r="BP999" s="945"/>
      <c r="BQ999" s="945"/>
      <c r="BR999" s="945"/>
      <c r="BS999" s="219"/>
    </row>
    <row r="1000" spans="1:71" s="673" customFormat="1" ht="15">
      <c r="A1000" s="715" t="s">
        <v>756</v>
      </c>
      <c r="B1000" s="945"/>
      <c r="C1000" s="445"/>
      <c r="D1000" s="445"/>
      <c r="E1000" s="945"/>
      <c r="F1000" s="945"/>
      <c r="G1000" s="945"/>
      <c r="H1000" s="945"/>
      <c r="I1000" s="945"/>
      <c r="J1000" s="945"/>
      <c r="K1000" s="945"/>
      <c r="L1000" s="945"/>
      <c r="M1000" s="945"/>
      <c r="N1000" s="945"/>
      <c r="O1000" s="945"/>
      <c r="P1000" s="945"/>
      <c r="Q1000" s="945"/>
      <c r="R1000" s="945"/>
      <c r="S1000" s="945"/>
      <c r="T1000" s="945"/>
      <c r="U1000" s="945"/>
      <c r="V1000" s="945"/>
      <c r="W1000" s="945"/>
      <c r="X1000" s="945"/>
      <c r="Y1000" s="945"/>
      <c r="Z1000" s="945"/>
      <c r="AA1000" s="945"/>
      <c r="AB1000" s="945"/>
      <c r="AC1000" s="945"/>
      <c r="AD1000" s="945"/>
      <c r="AE1000" s="945"/>
      <c r="AF1000" s="945"/>
      <c r="AG1000" s="945"/>
      <c r="AH1000" s="945"/>
      <c r="AI1000" s="945"/>
      <c r="AJ1000" s="945"/>
      <c r="AK1000" s="945"/>
      <c r="AL1000" s="945"/>
      <c r="AM1000" s="945"/>
      <c r="AN1000" s="945"/>
      <c r="AO1000" s="945"/>
      <c r="AP1000" s="945"/>
      <c r="AQ1000" s="945"/>
      <c r="AR1000" s="945"/>
      <c r="AS1000" s="945"/>
      <c r="AT1000" s="945"/>
      <c r="AU1000" s="945"/>
      <c r="AV1000" s="945"/>
      <c r="AW1000" s="945"/>
      <c r="AX1000" s="945"/>
      <c r="AY1000" s="945"/>
      <c r="AZ1000" s="945"/>
      <c r="BA1000" s="945"/>
      <c r="BB1000" s="945"/>
      <c r="BC1000" s="945"/>
      <c r="BD1000" s="945"/>
      <c r="BE1000" s="945"/>
      <c r="BF1000" s="945"/>
      <c r="BG1000" s="945"/>
      <c r="BH1000" s="446"/>
      <c r="BI1000" s="945"/>
      <c r="BJ1000" s="945"/>
      <c r="BK1000" s="945"/>
      <c r="BL1000" s="945"/>
      <c r="BM1000" s="945"/>
      <c r="BN1000" s="945"/>
      <c r="BO1000" s="945"/>
      <c r="BP1000" s="945"/>
      <c r="BQ1000" s="945"/>
      <c r="BR1000" s="945"/>
      <c r="BS1000" s="219"/>
    </row>
    <row r="1001" spans="1:71" s="673" customFormat="1" ht="15">
      <c r="A1001" s="715" t="s">
        <v>757</v>
      </c>
      <c r="B1001" s="945"/>
      <c r="C1001" s="445"/>
      <c r="D1001" s="445"/>
      <c r="E1001" s="945"/>
      <c r="F1001" s="945"/>
      <c r="G1001" s="945"/>
      <c r="H1001" s="945"/>
      <c r="I1001" s="945"/>
      <c r="J1001" s="945"/>
      <c r="K1001" s="945"/>
      <c r="L1001" s="945"/>
      <c r="M1001" s="945"/>
      <c r="N1001" s="945"/>
      <c r="O1001" s="945"/>
      <c r="P1001" s="945"/>
      <c r="Q1001" s="945"/>
      <c r="R1001" s="945"/>
      <c r="S1001" s="945"/>
      <c r="T1001" s="945"/>
      <c r="U1001" s="945"/>
      <c r="V1001" s="945"/>
      <c r="W1001" s="945"/>
      <c r="X1001" s="945"/>
      <c r="Y1001" s="945"/>
      <c r="Z1001" s="945"/>
      <c r="AA1001" s="945"/>
      <c r="AB1001" s="945"/>
      <c r="AC1001" s="945"/>
      <c r="AD1001" s="945"/>
      <c r="AE1001" s="945"/>
      <c r="AF1001" s="945"/>
      <c r="AG1001" s="945"/>
      <c r="AH1001" s="945"/>
      <c r="AI1001" s="945"/>
      <c r="AJ1001" s="945"/>
      <c r="AK1001" s="945"/>
      <c r="AL1001" s="945"/>
      <c r="AM1001" s="945"/>
      <c r="AN1001" s="945"/>
      <c r="AO1001" s="945"/>
      <c r="AP1001" s="945"/>
      <c r="AQ1001" s="945"/>
      <c r="AR1001" s="945"/>
      <c r="AS1001" s="945"/>
      <c r="AT1001" s="945"/>
      <c r="AU1001" s="945"/>
      <c r="AV1001" s="945"/>
      <c r="AW1001" s="945"/>
      <c r="AX1001" s="945"/>
      <c r="AY1001" s="945"/>
      <c r="AZ1001" s="945"/>
      <c r="BA1001" s="945"/>
      <c r="BB1001" s="945"/>
      <c r="BC1001" s="945"/>
      <c r="BD1001" s="945"/>
      <c r="BE1001" s="945"/>
      <c r="BF1001" s="945"/>
      <c r="BG1001" s="945"/>
      <c r="BH1001" s="446"/>
      <c r="BI1001" s="945"/>
      <c r="BJ1001" s="945"/>
      <c r="BK1001" s="945"/>
      <c r="BL1001" s="945"/>
      <c r="BM1001" s="945"/>
      <c r="BN1001" s="945"/>
      <c r="BO1001" s="945"/>
      <c r="BP1001" s="945"/>
      <c r="BQ1001" s="945"/>
      <c r="BR1001" s="945"/>
      <c r="BS1001" s="219"/>
    </row>
    <row r="1002" spans="1:71" s="673" customFormat="1" ht="15">
      <c r="A1002" s="715" t="s">
        <v>758</v>
      </c>
      <c r="B1002" s="945"/>
      <c r="C1002" s="445"/>
      <c r="D1002" s="445"/>
      <c r="E1002" s="945"/>
      <c r="F1002" s="945"/>
      <c r="G1002" s="945"/>
      <c r="H1002" s="945"/>
      <c r="I1002" s="945"/>
      <c r="J1002" s="945"/>
      <c r="K1002" s="945"/>
      <c r="L1002" s="945"/>
      <c r="M1002" s="945"/>
      <c r="N1002" s="945"/>
      <c r="O1002" s="945"/>
      <c r="P1002" s="945"/>
      <c r="Q1002" s="945"/>
      <c r="R1002" s="945"/>
      <c r="S1002" s="945"/>
      <c r="T1002" s="945"/>
      <c r="U1002" s="945"/>
      <c r="V1002" s="945"/>
      <c r="W1002" s="945"/>
      <c r="X1002" s="945"/>
      <c r="Y1002" s="945"/>
      <c r="Z1002" s="945"/>
      <c r="AA1002" s="945"/>
      <c r="AB1002" s="945"/>
      <c r="AC1002" s="945"/>
      <c r="AD1002" s="945"/>
      <c r="AE1002" s="945"/>
      <c r="AF1002" s="945"/>
      <c r="AG1002" s="945"/>
      <c r="AH1002" s="945"/>
      <c r="AI1002" s="945"/>
      <c r="AJ1002" s="945"/>
      <c r="AK1002" s="945"/>
      <c r="AL1002" s="945"/>
      <c r="AM1002" s="945"/>
      <c r="AN1002" s="945"/>
      <c r="AO1002" s="945"/>
      <c r="AP1002" s="945"/>
      <c r="AQ1002" s="945"/>
      <c r="AR1002" s="945"/>
      <c r="AS1002" s="945"/>
      <c r="AT1002" s="945"/>
      <c r="AU1002" s="945"/>
      <c r="AV1002" s="945"/>
      <c r="AW1002" s="945"/>
      <c r="AX1002" s="945"/>
      <c r="AY1002" s="945"/>
      <c r="AZ1002" s="945"/>
      <c r="BA1002" s="945"/>
      <c r="BB1002" s="945"/>
      <c r="BC1002" s="945"/>
      <c r="BD1002" s="945"/>
      <c r="BE1002" s="945"/>
      <c r="BF1002" s="945"/>
      <c r="BG1002" s="945"/>
      <c r="BH1002" s="446"/>
      <c r="BI1002" s="945"/>
      <c r="BJ1002" s="945"/>
      <c r="BK1002" s="945"/>
      <c r="BL1002" s="945"/>
      <c r="BM1002" s="945"/>
      <c r="BN1002" s="945"/>
      <c r="BO1002" s="945"/>
      <c r="BP1002" s="945"/>
      <c r="BQ1002" s="945"/>
      <c r="BR1002" s="945"/>
      <c r="BS1002" s="219"/>
    </row>
    <row r="1003" spans="1:71" s="673" customFormat="1" ht="15">
      <c r="A1003" s="715" t="s">
        <v>759</v>
      </c>
      <c r="B1003" s="945"/>
      <c r="C1003" s="445"/>
      <c r="D1003" s="445"/>
      <c r="E1003" s="945"/>
      <c r="F1003" s="945"/>
      <c r="G1003" s="945"/>
      <c r="H1003" s="945"/>
      <c r="I1003" s="945"/>
      <c r="J1003" s="945"/>
      <c r="K1003" s="945"/>
      <c r="L1003" s="945"/>
      <c r="M1003" s="945"/>
      <c r="N1003" s="945"/>
      <c r="O1003" s="945"/>
      <c r="P1003" s="945"/>
      <c r="Q1003" s="945"/>
      <c r="R1003" s="945"/>
      <c r="S1003" s="945"/>
      <c r="T1003" s="945"/>
      <c r="U1003" s="945"/>
      <c r="V1003" s="945"/>
      <c r="W1003" s="945"/>
      <c r="X1003" s="945"/>
      <c r="Y1003" s="945"/>
      <c r="Z1003" s="945"/>
      <c r="AA1003" s="945"/>
      <c r="AB1003" s="945"/>
      <c r="AC1003" s="945"/>
      <c r="AD1003" s="945"/>
      <c r="AE1003" s="945"/>
      <c r="AF1003" s="945"/>
      <c r="AG1003" s="945"/>
      <c r="AH1003" s="945"/>
      <c r="AI1003" s="945"/>
      <c r="AJ1003" s="945"/>
      <c r="AK1003" s="945"/>
      <c r="AL1003" s="945"/>
      <c r="AM1003" s="945"/>
      <c r="AN1003" s="945"/>
      <c r="AO1003" s="945"/>
      <c r="AP1003" s="945"/>
      <c r="AQ1003" s="945"/>
      <c r="AR1003" s="945"/>
      <c r="AS1003" s="945"/>
      <c r="AT1003" s="945"/>
      <c r="AU1003" s="945"/>
      <c r="AV1003" s="945"/>
      <c r="AW1003" s="945"/>
      <c r="AX1003" s="945"/>
      <c r="AY1003" s="945"/>
      <c r="AZ1003" s="945"/>
      <c r="BA1003" s="945"/>
      <c r="BB1003" s="945"/>
      <c r="BC1003" s="945"/>
      <c r="BD1003" s="945"/>
      <c r="BE1003" s="945"/>
      <c r="BF1003" s="945"/>
      <c r="BG1003" s="945"/>
      <c r="BH1003" s="446"/>
      <c r="BI1003" s="945"/>
      <c r="BJ1003" s="945"/>
      <c r="BK1003" s="945"/>
      <c r="BL1003" s="945"/>
      <c r="BM1003" s="945"/>
      <c r="BN1003" s="945"/>
      <c r="BO1003" s="945"/>
      <c r="BP1003" s="945"/>
      <c r="BQ1003" s="945"/>
      <c r="BR1003" s="945"/>
      <c r="BS1003" s="219"/>
    </row>
    <row r="1004" spans="1:71" s="673" customFormat="1" ht="15">
      <c r="A1004" s="715" t="s">
        <v>760</v>
      </c>
      <c r="B1004" s="945"/>
      <c r="C1004" s="445"/>
      <c r="D1004" s="445"/>
      <c r="E1004" s="945"/>
      <c r="F1004" s="945"/>
      <c r="G1004" s="945"/>
      <c r="H1004" s="945"/>
      <c r="I1004" s="945"/>
      <c r="J1004" s="945"/>
      <c r="K1004" s="945"/>
      <c r="L1004" s="945"/>
      <c r="M1004" s="945"/>
      <c r="N1004" s="945"/>
      <c r="O1004" s="945"/>
      <c r="P1004" s="945"/>
      <c r="Q1004" s="945"/>
      <c r="R1004" s="945"/>
      <c r="S1004" s="945"/>
      <c r="T1004" s="945"/>
      <c r="U1004" s="945"/>
      <c r="V1004" s="945"/>
      <c r="W1004" s="945"/>
      <c r="X1004" s="945"/>
      <c r="Y1004" s="945"/>
      <c r="Z1004" s="945"/>
      <c r="AA1004" s="945"/>
      <c r="AB1004" s="945"/>
      <c r="AC1004" s="945"/>
      <c r="AD1004" s="945"/>
      <c r="AE1004" s="945"/>
      <c r="AF1004" s="945"/>
      <c r="AG1004" s="945"/>
      <c r="AH1004" s="945"/>
      <c r="AI1004" s="945"/>
      <c r="AJ1004" s="945"/>
      <c r="AK1004" s="945"/>
      <c r="AL1004" s="945"/>
      <c r="AM1004" s="945"/>
      <c r="AN1004" s="945"/>
      <c r="AO1004" s="945"/>
      <c r="AP1004" s="945"/>
      <c r="AQ1004" s="945"/>
      <c r="AR1004" s="945"/>
      <c r="AS1004" s="945"/>
      <c r="AT1004" s="945"/>
      <c r="AU1004" s="945"/>
      <c r="AV1004" s="945"/>
      <c r="AW1004" s="945"/>
      <c r="AX1004" s="945"/>
      <c r="AY1004" s="945"/>
      <c r="AZ1004" s="945"/>
      <c r="BA1004" s="945"/>
      <c r="BB1004" s="945"/>
      <c r="BC1004" s="945"/>
      <c r="BD1004" s="945"/>
      <c r="BE1004" s="945"/>
      <c r="BF1004" s="945"/>
      <c r="BG1004" s="945"/>
      <c r="BH1004" s="446"/>
      <c r="BI1004" s="945"/>
      <c r="BJ1004" s="945"/>
      <c r="BK1004" s="945"/>
      <c r="BL1004" s="945"/>
      <c r="BM1004" s="945"/>
      <c r="BN1004" s="945"/>
      <c r="BO1004" s="945"/>
      <c r="BP1004" s="945"/>
      <c r="BQ1004" s="945"/>
      <c r="BR1004" s="945"/>
      <c r="BS1004" s="219"/>
    </row>
    <row r="1005" spans="1:71" s="673" customFormat="1" ht="15">
      <c r="A1005" s="715" t="s">
        <v>761</v>
      </c>
      <c r="B1005" s="945"/>
      <c r="C1005" s="445"/>
      <c r="D1005" s="445"/>
      <c r="E1005" s="945"/>
      <c r="F1005" s="945"/>
      <c r="G1005" s="945"/>
      <c r="H1005" s="945"/>
      <c r="I1005" s="945"/>
      <c r="J1005" s="945"/>
      <c r="K1005" s="945"/>
      <c r="L1005" s="945"/>
      <c r="M1005" s="945"/>
      <c r="N1005" s="945"/>
      <c r="O1005" s="945"/>
      <c r="P1005" s="945"/>
      <c r="Q1005" s="945"/>
      <c r="R1005" s="945"/>
      <c r="S1005" s="945"/>
      <c r="T1005" s="945"/>
      <c r="U1005" s="945"/>
      <c r="V1005" s="945"/>
      <c r="W1005" s="945"/>
      <c r="X1005" s="945"/>
      <c r="Y1005" s="945"/>
      <c r="Z1005" s="945"/>
      <c r="AA1005" s="945"/>
      <c r="AB1005" s="945"/>
      <c r="AC1005" s="945"/>
      <c r="AD1005" s="945"/>
      <c r="AE1005" s="945"/>
      <c r="AF1005" s="945"/>
      <c r="AG1005" s="945"/>
      <c r="AH1005" s="945"/>
      <c r="AI1005" s="945"/>
      <c r="AJ1005" s="945"/>
      <c r="AK1005" s="945"/>
      <c r="AL1005" s="945"/>
      <c r="AM1005" s="945"/>
      <c r="AN1005" s="945"/>
      <c r="AO1005" s="945"/>
      <c r="AP1005" s="945"/>
      <c r="AQ1005" s="945"/>
      <c r="AR1005" s="945"/>
      <c r="AS1005" s="945"/>
      <c r="AT1005" s="945"/>
      <c r="AU1005" s="945"/>
      <c r="AV1005" s="945"/>
      <c r="AW1005" s="945"/>
      <c r="AX1005" s="945"/>
      <c r="AY1005" s="945"/>
      <c r="AZ1005" s="945"/>
      <c r="BA1005" s="945"/>
      <c r="BB1005" s="945"/>
      <c r="BC1005" s="945"/>
      <c r="BD1005" s="945"/>
      <c r="BE1005" s="945"/>
      <c r="BF1005" s="945"/>
      <c r="BG1005" s="945"/>
      <c r="BH1005" s="446"/>
      <c r="BI1005" s="945"/>
      <c r="BJ1005" s="945"/>
      <c r="BK1005" s="945"/>
      <c r="BL1005" s="945"/>
      <c r="BM1005" s="945"/>
      <c r="BN1005" s="945"/>
      <c r="BO1005" s="945"/>
      <c r="BP1005" s="945"/>
      <c r="BQ1005" s="945"/>
      <c r="BR1005" s="945"/>
      <c r="BS1005" s="219"/>
    </row>
    <row r="1006" spans="1:71" s="673" customFormat="1" ht="15">
      <c r="A1006" s="715" t="s">
        <v>762</v>
      </c>
      <c r="B1006" s="945"/>
      <c r="C1006" s="445"/>
      <c r="D1006" s="445"/>
      <c r="E1006" s="945"/>
      <c r="F1006" s="945"/>
      <c r="G1006" s="945"/>
      <c r="H1006" s="945"/>
      <c r="I1006" s="945"/>
      <c r="J1006" s="945"/>
      <c r="K1006" s="945"/>
      <c r="L1006" s="945"/>
      <c r="M1006" s="945"/>
      <c r="N1006" s="945"/>
      <c r="O1006" s="945"/>
      <c r="P1006" s="945"/>
      <c r="Q1006" s="945"/>
      <c r="R1006" s="945"/>
      <c r="S1006" s="945"/>
      <c r="T1006" s="945"/>
      <c r="U1006" s="945"/>
      <c r="V1006" s="945"/>
      <c r="W1006" s="945"/>
      <c r="X1006" s="945"/>
      <c r="Y1006" s="945"/>
      <c r="Z1006" s="945"/>
      <c r="AA1006" s="945"/>
      <c r="AB1006" s="945"/>
      <c r="AC1006" s="945"/>
      <c r="AD1006" s="945"/>
      <c r="AE1006" s="945"/>
      <c r="AF1006" s="945"/>
      <c r="AG1006" s="945"/>
      <c r="AH1006" s="945"/>
      <c r="AI1006" s="945"/>
      <c r="AJ1006" s="945"/>
      <c r="AK1006" s="945"/>
      <c r="AL1006" s="945"/>
      <c r="AM1006" s="945"/>
      <c r="AN1006" s="945"/>
      <c r="AO1006" s="945"/>
      <c r="AP1006" s="945"/>
      <c r="AQ1006" s="945"/>
      <c r="AR1006" s="945"/>
      <c r="AS1006" s="945"/>
      <c r="AT1006" s="945"/>
      <c r="AU1006" s="945"/>
      <c r="AV1006" s="945"/>
      <c r="AW1006" s="945"/>
      <c r="AX1006" s="945"/>
      <c r="AY1006" s="945"/>
      <c r="AZ1006" s="945"/>
      <c r="BA1006" s="945"/>
      <c r="BB1006" s="945"/>
      <c r="BC1006" s="945"/>
      <c r="BD1006" s="945"/>
      <c r="BE1006" s="945"/>
      <c r="BF1006" s="945"/>
      <c r="BG1006" s="945"/>
      <c r="BH1006" s="446"/>
      <c r="BI1006" s="945"/>
      <c r="BJ1006" s="945"/>
      <c r="BK1006" s="945"/>
      <c r="BL1006" s="945"/>
      <c r="BM1006" s="945"/>
      <c r="BN1006" s="945"/>
      <c r="BO1006" s="945"/>
      <c r="BP1006" s="945"/>
      <c r="BQ1006" s="945"/>
      <c r="BR1006" s="945"/>
      <c r="BS1006" s="219"/>
    </row>
    <row r="1007" spans="1:71" s="673" customFormat="1" ht="15">
      <c r="A1007" s="715" t="s">
        <v>763</v>
      </c>
      <c r="B1007" s="945"/>
      <c r="C1007" s="445"/>
      <c r="D1007" s="445"/>
      <c r="E1007" s="945"/>
      <c r="F1007" s="945"/>
      <c r="G1007" s="945"/>
      <c r="H1007" s="945"/>
      <c r="I1007" s="945"/>
      <c r="J1007" s="945"/>
      <c r="K1007" s="945"/>
      <c r="L1007" s="945"/>
      <c r="M1007" s="945"/>
      <c r="N1007" s="945"/>
      <c r="O1007" s="945"/>
      <c r="P1007" s="945"/>
      <c r="Q1007" s="945"/>
      <c r="R1007" s="945"/>
      <c r="S1007" s="945"/>
      <c r="T1007" s="945"/>
      <c r="U1007" s="945"/>
      <c r="V1007" s="945"/>
      <c r="W1007" s="945"/>
      <c r="X1007" s="945"/>
      <c r="Y1007" s="945"/>
      <c r="Z1007" s="945"/>
      <c r="AA1007" s="945"/>
      <c r="AB1007" s="945"/>
      <c r="AC1007" s="945"/>
      <c r="AD1007" s="945"/>
      <c r="AE1007" s="945"/>
      <c r="AF1007" s="945"/>
      <c r="AG1007" s="945"/>
      <c r="AH1007" s="945"/>
      <c r="AI1007" s="945"/>
      <c r="AJ1007" s="945"/>
      <c r="AK1007" s="945"/>
      <c r="AL1007" s="945"/>
      <c r="AM1007" s="945"/>
      <c r="AN1007" s="945"/>
      <c r="AO1007" s="945"/>
      <c r="AP1007" s="945"/>
      <c r="AQ1007" s="945"/>
      <c r="AR1007" s="945"/>
      <c r="AS1007" s="945"/>
      <c r="AT1007" s="945"/>
      <c r="AU1007" s="945"/>
      <c r="AV1007" s="945"/>
      <c r="AW1007" s="945"/>
      <c r="AX1007" s="945"/>
      <c r="AY1007" s="945"/>
      <c r="AZ1007" s="945"/>
      <c r="BA1007" s="945"/>
      <c r="BB1007" s="945"/>
      <c r="BC1007" s="945"/>
      <c r="BD1007" s="945"/>
      <c r="BE1007" s="945"/>
      <c r="BF1007" s="945"/>
      <c r="BG1007" s="945"/>
      <c r="BH1007" s="446"/>
      <c r="BI1007" s="945"/>
      <c r="BJ1007" s="945"/>
      <c r="BK1007" s="945"/>
      <c r="BL1007" s="945"/>
      <c r="BM1007" s="945"/>
      <c r="BN1007" s="945"/>
      <c r="BO1007" s="945"/>
      <c r="BP1007" s="945"/>
      <c r="BQ1007" s="945"/>
      <c r="BR1007" s="945"/>
      <c r="BS1007" s="219"/>
    </row>
    <row r="1008" spans="1:71" s="673" customFormat="1" ht="15">
      <c r="A1008" s="715" t="s">
        <v>764</v>
      </c>
      <c r="B1008" s="945"/>
      <c r="C1008" s="445"/>
      <c r="D1008" s="445"/>
      <c r="E1008" s="945"/>
      <c r="F1008" s="945"/>
      <c r="G1008" s="945"/>
      <c r="H1008" s="945"/>
      <c r="I1008" s="945"/>
      <c r="J1008" s="945"/>
      <c r="K1008" s="945"/>
      <c r="L1008" s="945"/>
      <c r="M1008" s="945"/>
      <c r="N1008" s="945"/>
      <c r="O1008" s="945"/>
      <c r="P1008" s="945"/>
      <c r="Q1008" s="945"/>
      <c r="R1008" s="945"/>
      <c r="S1008" s="945"/>
      <c r="T1008" s="945"/>
      <c r="U1008" s="945"/>
      <c r="V1008" s="945"/>
      <c r="W1008" s="945"/>
      <c r="X1008" s="945"/>
      <c r="Y1008" s="945"/>
      <c r="Z1008" s="945"/>
      <c r="AA1008" s="945"/>
      <c r="AB1008" s="945"/>
      <c r="AC1008" s="945"/>
      <c r="AD1008" s="945"/>
      <c r="AE1008" s="945"/>
      <c r="AF1008" s="945"/>
      <c r="AG1008" s="945"/>
      <c r="AH1008" s="945"/>
      <c r="AI1008" s="945"/>
      <c r="AJ1008" s="945"/>
      <c r="AK1008" s="945"/>
      <c r="AL1008" s="945"/>
      <c r="AM1008" s="945"/>
      <c r="AN1008" s="945"/>
      <c r="AO1008" s="945"/>
      <c r="AP1008" s="945"/>
      <c r="AQ1008" s="945"/>
      <c r="AR1008" s="945"/>
      <c r="AS1008" s="945"/>
      <c r="AT1008" s="945"/>
      <c r="AU1008" s="945"/>
      <c r="AV1008" s="945"/>
      <c r="AW1008" s="945"/>
      <c r="AX1008" s="945"/>
      <c r="AY1008" s="945"/>
      <c r="AZ1008" s="945"/>
      <c r="BA1008" s="945"/>
      <c r="BB1008" s="945"/>
      <c r="BC1008" s="945"/>
      <c r="BD1008" s="945"/>
      <c r="BE1008" s="945"/>
      <c r="BF1008" s="945"/>
      <c r="BG1008" s="945"/>
      <c r="BH1008" s="446"/>
      <c r="BI1008" s="945"/>
      <c r="BJ1008" s="945"/>
      <c r="BK1008" s="945"/>
      <c r="BL1008" s="945"/>
      <c r="BM1008" s="945"/>
      <c r="BN1008" s="945"/>
      <c r="BO1008" s="945"/>
      <c r="BP1008" s="945"/>
      <c r="BQ1008" s="945"/>
      <c r="BR1008" s="945"/>
      <c r="BS1008" s="219"/>
    </row>
    <row r="1009" spans="1:71" s="673" customFormat="1" ht="15">
      <c r="A1009" s="715" t="s">
        <v>765</v>
      </c>
      <c r="B1009" s="945"/>
      <c r="C1009" s="445"/>
      <c r="D1009" s="445"/>
      <c r="E1009" s="945"/>
      <c r="F1009" s="945"/>
      <c r="G1009" s="945"/>
      <c r="H1009" s="945"/>
      <c r="I1009" s="945"/>
      <c r="J1009" s="945"/>
      <c r="K1009" s="945"/>
      <c r="L1009" s="945"/>
      <c r="M1009" s="945"/>
      <c r="N1009" s="945"/>
      <c r="O1009" s="945"/>
      <c r="P1009" s="945"/>
      <c r="Q1009" s="945"/>
      <c r="R1009" s="945"/>
      <c r="S1009" s="945"/>
      <c r="T1009" s="945"/>
      <c r="U1009" s="945"/>
      <c r="V1009" s="945"/>
      <c r="W1009" s="945"/>
      <c r="X1009" s="945"/>
      <c r="Y1009" s="945"/>
      <c r="Z1009" s="945"/>
      <c r="AA1009" s="945"/>
      <c r="AB1009" s="945"/>
      <c r="AC1009" s="945"/>
      <c r="AD1009" s="945"/>
      <c r="AE1009" s="945"/>
      <c r="AF1009" s="945"/>
      <c r="AG1009" s="945"/>
      <c r="AH1009" s="945"/>
      <c r="AI1009" s="945"/>
      <c r="AJ1009" s="945"/>
      <c r="AK1009" s="945"/>
      <c r="AL1009" s="945"/>
      <c r="AM1009" s="945"/>
      <c r="AN1009" s="945"/>
      <c r="AO1009" s="945"/>
      <c r="AP1009" s="945"/>
      <c r="AQ1009" s="945"/>
      <c r="AR1009" s="945"/>
      <c r="AS1009" s="945"/>
      <c r="AT1009" s="945"/>
      <c r="AU1009" s="945"/>
      <c r="AV1009" s="945"/>
      <c r="AW1009" s="945"/>
      <c r="AX1009" s="945"/>
      <c r="AY1009" s="945"/>
      <c r="AZ1009" s="945"/>
      <c r="BA1009" s="945"/>
      <c r="BB1009" s="945"/>
      <c r="BC1009" s="945"/>
      <c r="BD1009" s="945"/>
      <c r="BE1009" s="945"/>
      <c r="BF1009" s="945"/>
      <c r="BG1009" s="945"/>
      <c r="BH1009" s="446"/>
      <c r="BI1009" s="945"/>
      <c r="BJ1009" s="945"/>
      <c r="BK1009" s="945"/>
      <c r="BL1009" s="945"/>
      <c r="BM1009" s="945"/>
      <c r="BN1009" s="945"/>
      <c r="BO1009" s="945"/>
      <c r="BP1009" s="945"/>
      <c r="BQ1009" s="945"/>
      <c r="BR1009" s="945"/>
      <c r="BS1009" s="219"/>
    </row>
    <row r="1010" spans="1:71" s="673" customFormat="1" ht="15">
      <c r="A1010" s="715" t="s">
        <v>766</v>
      </c>
      <c r="B1010" s="945"/>
      <c r="C1010" s="445"/>
      <c r="D1010" s="445"/>
      <c r="E1010" s="945"/>
      <c r="F1010" s="945"/>
      <c r="G1010" s="945"/>
      <c r="H1010" s="945"/>
      <c r="I1010" s="945"/>
      <c r="J1010" s="945"/>
      <c r="K1010" s="945"/>
      <c r="L1010" s="945"/>
      <c r="M1010" s="945"/>
      <c r="N1010" s="945"/>
      <c r="O1010" s="945"/>
      <c r="P1010" s="945"/>
      <c r="Q1010" s="945"/>
      <c r="R1010" s="945"/>
      <c r="S1010" s="945"/>
      <c r="T1010" s="945"/>
      <c r="U1010" s="945"/>
      <c r="V1010" s="945"/>
      <c r="W1010" s="945"/>
      <c r="X1010" s="945"/>
      <c r="Y1010" s="945"/>
      <c r="Z1010" s="945"/>
      <c r="AA1010" s="945"/>
      <c r="AB1010" s="945"/>
      <c r="AC1010" s="945"/>
      <c r="AD1010" s="945"/>
      <c r="AE1010" s="945"/>
      <c r="AF1010" s="945"/>
      <c r="AG1010" s="945"/>
      <c r="AH1010" s="945"/>
      <c r="AI1010" s="945"/>
      <c r="AJ1010" s="945"/>
      <c r="AK1010" s="945"/>
      <c r="AL1010" s="945"/>
      <c r="AM1010" s="945"/>
      <c r="AN1010" s="945"/>
      <c r="AO1010" s="945"/>
      <c r="AP1010" s="945"/>
      <c r="AQ1010" s="945"/>
      <c r="AR1010" s="945"/>
      <c r="AS1010" s="945"/>
      <c r="AT1010" s="945"/>
      <c r="AU1010" s="945"/>
      <c r="AV1010" s="945"/>
      <c r="AW1010" s="945"/>
      <c r="AX1010" s="945"/>
      <c r="AY1010" s="945"/>
      <c r="AZ1010" s="945"/>
      <c r="BA1010" s="945"/>
      <c r="BB1010" s="945"/>
      <c r="BC1010" s="945"/>
      <c r="BD1010" s="945"/>
      <c r="BE1010" s="945"/>
      <c r="BF1010" s="945"/>
      <c r="BG1010" s="945"/>
      <c r="BH1010" s="446"/>
      <c r="BI1010" s="945"/>
      <c r="BJ1010" s="945"/>
      <c r="BK1010" s="945"/>
      <c r="BL1010" s="945"/>
      <c r="BM1010" s="945"/>
      <c r="BN1010" s="945"/>
      <c r="BO1010" s="945"/>
      <c r="BP1010" s="945"/>
      <c r="BQ1010" s="945"/>
      <c r="BR1010" s="945"/>
      <c r="BS1010" s="219"/>
    </row>
    <row r="1011" spans="1:71" s="673" customFormat="1" ht="15">
      <c r="A1011" s="715" t="s">
        <v>767</v>
      </c>
      <c r="B1011" s="945"/>
      <c r="C1011" s="445"/>
      <c r="D1011" s="445"/>
      <c r="E1011" s="945"/>
      <c r="F1011" s="945"/>
      <c r="G1011" s="945"/>
      <c r="H1011" s="945"/>
      <c r="I1011" s="945"/>
      <c r="J1011" s="945"/>
      <c r="K1011" s="945"/>
      <c r="L1011" s="945"/>
      <c r="M1011" s="945"/>
      <c r="N1011" s="945"/>
      <c r="O1011" s="945"/>
      <c r="P1011" s="945"/>
      <c r="Q1011" s="945"/>
      <c r="R1011" s="945"/>
      <c r="S1011" s="945"/>
      <c r="T1011" s="945"/>
      <c r="U1011" s="945"/>
      <c r="V1011" s="945"/>
      <c r="W1011" s="945"/>
      <c r="X1011" s="945"/>
      <c r="Y1011" s="945"/>
      <c r="Z1011" s="945"/>
      <c r="AA1011" s="945"/>
      <c r="AB1011" s="945"/>
      <c r="AC1011" s="945"/>
      <c r="AD1011" s="945"/>
      <c r="AE1011" s="945"/>
      <c r="AF1011" s="945"/>
      <c r="AG1011" s="945"/>
      <c r="AH1011" s="945"/>
      <c r="AI1011" s="945"/>
      <c r="AJ1011" s="945"/>
      <c r="AK1011" s="945"/>
      <c r="AL1011" s="945"/>
      <c r="AM1011" s="945"/>
      <c r="AN1011" s="945"/>
      <c r="AO1011" s="945"/>
      <c r="AP1011" s="945"/>
      <c r="AQ1011" s="945"/>
      <c r="AR1011" s="945"/>
      <c r="AS1011" s="945"/>
      <c r="AT1011" s="945"/>
      <c r="AU1011" s="945"/>
      <c r="AV1011" s="945"/>
      <c r="AW1011" s="945"/>
      <c r="AX1011" s="945"/>
      <c r="AY1011" s="945"/>
      <c r="AZ1011" s="945"/>
      <c r="BA1011" s="945"/>
      <c r="BB1011" s="945"/>
      <c r="BC1011" s="945"/>
      <c r="BD1011" s="945"/>
      <c r="BE1011" s="945"/>
      <c r="BF1011" s="945"/>
      <c r="BG1011" s="945"/>
      <c r="BH1011" s="446"/>
      <c r="BI1011" s="945"/>
      <c r="BJ1011" s="945"/>
      <c r="BK1011" s="945"/>
      <c r="BL1011" s="945"/>
      <c r="BM1011" s="945"/>
      <c r="BN1011" s="945"/>
      <c r="BO1011" s="945"/>
      <c r="BP1011" s="945"/>
      <c r="BQ1011" s="945"/>
      <c r="BR1011" s="945"/>
      <c r="BS1011" s="219"/>
    </row>
    <row r="1012" spans="1:71" s="673" customFormat="1" ht="15">
      <c r="A1012" s="715" t="s">
        <v>768</v>
      </c>
      <c r="B1012" s="945"/>
      <c r="C1012" s="445"/>
      <c r="D1012" s="445"/>
      <c r="E1012" s="945"/>
      <c r="F1012" s="945"/>
      <c r="G1012" s="945"/>
      <c r="H1012" s="945"/>
      <c r="I1012" s="945"/>
      <c r="J1012" s="945"/>
      <c r="K1012" s="945"/>
      <c r="L1012" s="945"/>
      <c r="M1012" s="945"/>
      <c r="N1012" s="945"/>
      <c r="O1012" s="945"/>
      <c r="P1012" s="945"/>
      <c r="Q1012" s="945"/>
      <c r="R1012" s="945"/>
      <c r="S1012" s="945"/>
      <c r="T1012" s="945"/>
      <c r="U1012" s="945"/>
      <c r="V1012" s="945"/>
      <c r="W1012" s="945"/>
      <c r="X1012" s="945"/>
      <c r="Y1012" s="945"/>
      <c r="Z1012" s="945"/>
      <c r="AA1012" s="945"/>
      <c r="AB1012" s="945"/>
      <c r="AC1012" s="945"/>
      <c r="AD1012" s="945"/>
      <c r="AE1012" s="945"/>
      <c r="AF1012" s="945"/>
      <c r="AG1012" s="945"/>
      <c r="AH1012" s="945"/>
      <c r="AI1012" s="945"/>
      <c r="AJ1012" s="945"/>
      <c r="AK1012" s="945"/>
      <c r="AL1012" s="945"/>
      <c r="AM1012" s="945"/>
      <c r="AN1012" s="945"/>
      <c r="AO1012" s="945"/>
      <c r="AP1012" s="945"/>
      <c r="AQ1012" s="945"/>
      <c r="AR1012" s="945"/>
      <c r="AS1012" s="945"/>
      <c r="AT1012" s="945"/>
      <c r="AU1012" s="945"/>
      <c r="AV1012" s="945"/>
      <c r="AW1012" s="945"/>
      <c r="AX1012" s="945"/>
      <c r="AY1012" s="945"/>
      <c r="AZ1012" s="945"/>
      <c r="BA1012" s="945"/>
      <c r="BB1012" s="945"/>
      <c r="BC1012" s="945"/>
      <c r="BD1012" s="945"/>
      <c r="BE1012" s="945"/>
      <c r="BF1012" s="945"/>
      <c r="BG1012" s="945"/>
      <c r="BH1012" s="446"/>
      <c r="BI1012" s="945"/>
      <c r="BJ1012" s="945"/>
      <c r="BK1012" s="945"/>
      <c r="BL1012" s="945"/>
      <c r="BM1012" s="945"/>
      <c r="BN1012" s="945"/>
      <c r="BO1012" s="945"/>
      <c r="BP1012" s="945"/>
      <c r="BQ1012" s="945"/>
      <c r="BR1012" s="945"/>
      <c r="BS1012" s="219"/>
    </row>
    <row r="1013" spans="1:71" s="673" customFormat="1" ht="15">
      <c r="A1013" s="715" t="s">
        <v>769</v>
      </c>
      <c r="B1013" s="945"/>
      <c r="C1013" s="445"/>
      <c r="D1013" s="445"/>
      <c r="E1013" s="945"/>
      <c r="F1013" s="945"/>
      <c r="G1013" s="945"/>
      <c r="H1013" s="945"/>
      <c r="I1013" s="945"/>
      <c r="J1013" s="945"/>
      <c r="K1013" s="945"/>
      <c r="L1013" s="945"/>
      <c r="M1013" s="945"/>
      <c r="N1013" s="945"/>
      <c r="O1013" s="945"/>
      <c r="P1013" s="945"/>
      <c r="Q1013" s="945"/>
      <c r="R1013" s="945"/>
      <c r="S1013" s="945"/>
      <c r="T1013" s="945"/>
      <c r="U1013" s="945"/>
      <c r="V1013" s="945"/>
      <c r="W1013" s="945"/>
      <c r="X1013" s="945"/>
      <c r="Y1013" s="945"/>
      <c r="Z1013" s="945"/>
      <c r="AA1013" s="945"/>
      <c r="AB1013" s="945"/>
      <c r="AC1013" s="945"/>
      <c r="AD1013" s="945"/>
      <c r="AE1013" s="945"/>
      <c r="AF1013" s="945"/>
      <c r="AG1013" s="945"/>
      <c r="AH1013" s="945"/>
      <c r="AI1013" s="945"/>
      <c r="AJ1013" s="945"/>
      <c r="AK1013" s="945"/>
      <c r="AL1013" s="945"/>
      <c r="AM1013" s="945"/>
      <c r="AN1013" s="945"/>
      <c r="AO1013" s="945"/>
      <c r="AP1013" s="945"/>
      <c r="AQ1013" s="945"/>
      <c r="AR1013" s="945"/>
      <c r="AS1013" s="945"/>
      <c r="AT1013" s="945"/>
      <c r="AU1013" s="945"/>
      <c r="AV1013" s="945"/>
      <c r="AW1013" s="945"/>
      <c r="AX1013" s="945"/>
      <c r="AY1013" s="945"/>
      <c r="AZ1013" s="945"/>
      <c r="BA1013" s="945"/>
      <c r="BB1013" s="945"/>
      <c r="BC1013" s="945"/>
      <c r="BD1013" s="945"/>
      <c r="BE1013" s="945"/>
      <c r="BF1013" s="945"/>
      <c r="BG1013" s="945"/>
      <c r="BH1013" s="446"/>
      <c r="BI1013" s="945"/>
      <c r="BJ1013" s="945"/>
      <c r="BK1013" s="945"/>
      <c r="BL1013" s="945"/>
      <c r="BM1013" s="945"/>
      <c r="BN1013" s="945"/>
      <c r="BO1013" s="945"/>
      <c r="BP1013" s="945"/>
      <c r="BQ1013" s="945"/>
      <c r="BR1013" s="945"/>
      <c r="BS1013" s="219"/>
    </row>
    <row r="1014" spans="1:71" s="673" customFormat="1" ht="15">
      <c r="A1014" s="715" t="s">
        <v>770</v>
      </c>
      <c r="B1014" s="945"/>
      <c r="C1014" s="445"/>
      <c r="D1014" s="445"/>
      <c r="E1014" s="945"/>
      <c r="F1014" s="945"/>
      <c r="G1014" s="945"/>
      <c r="H1014" s="945"/>
      <c r="I1014" s="945"/>
      <c r="J1014" s="945"/>
      <c r="K1014" s="945"/>
      <c r="L1014" s="945"/>
      <c r="M1014" s="945"/>
      <c r="N1014" s="945"/>
      <c r="O1014" s="945"/>
      <c r="P1014" s="945"/>
      <c r="Q1014" s="945"/>
      <c r="R1014" s="945"/>
      <c r="S1014" s="945"/>
      <c r="T1014" s="945"/>
      <c r="U1014" s="945"/>
      <c r="V1014" s="945"/>
      <c r="W1014" s="945"/>
      <c r="X1014" s="945"/>
      <c r="Y1014" s="945"/>
      <c r="Z1014" s="945"/>
      <c r="AA1014" s="945"/>
      <c r="AB1014" s="945"/>
      <c r="AC1014" s="945"/>
      <c r="AD1014" s="945"/>
      <c r="AE1014" s="945"/>
      <c r="AF1014" s="945"/>
      <c r="AG1014" s="945"/>
      <c r="AH1014" s="945"/>
      <c r="AI1014" s="945"/>
      <c r="AJ1014" s="945"/>
      <c r="AK1014" s="945"/>
      <c r="AL1014" s="945"/>
      <c r="AM1014" s="945"/>
      <c r="AN1014" s="945"/>
      <c r="AO1014" s="945"/>
      <c r="AP1014" s="945"/>
      <c r="AQ1014" s="945"/>
      <c r="AR1014" s="945"/>
      <c r="AS1014" s="945"/>
      <c r="AT1014" s="945"/>
      <c r="AU1014" s="945"/>
      <c r="AV1014" s="945"/>
      <c r="AW1014" s="945"/>
      <c r="AX1014" s="945"/>
      <c r="AY1014" s="945"/>
      <c r="AZ1014" s="945"/>
      <c r="BA1014" s="945"/>
      <c r="BB1014" s="945"/>
      <c r="BC1014" s="945"/>
      <c r="BD1014" s="945"/>
      <c r="BE1014" s="945"/>
      <c r="BF1014" s="945"/>
      <c r="BG1014" s="945"/>
      <c r="BH1014" s="446"/>
      <c r="BI1014" s="945"/>
      <c r="BJ1014" s="945"/>
      <c r="BK1014" s="945"/>
      <c r="BL1014" s="945"/>
      <c r="BM1014" s="945"/>
      <c r="BN1014" s="945"/>
      <c r="BO1014" s="945"/>
      <c r="BP1014" s="945"/>
      <c r="BQ1014" s="945"/>
      <c r="BR1014" s="945"/>
      <c r="BS1014" s="219"/>
    </row>
    <row r="1015" spans="1:71" s="673" customFormat="1" ht="15">
      <c r="A1015" s="715" t="s">
        <v>771</v>
      </c>
      <c r="B1015" s="945"/>
      <c r="C1015" s="445"/>
      <c r="D1015" s="445"/>
      <c r="E1015" s="945"/>
      <c r="F1015" s="945"/>
      <c r="G1015" s="945"/>
      <c r="H1015" s="945"/>
      <c r="I1015" s="945"/>
      <c r="J1015" s="945"/>
      <c r="K1015" s="945"/>
      <c r="L1015" s="945"/>
      <c r="M1015" s="945"/>
      <c r="N1015" s="945"/>
      <c r="O1015" s="945"/>
      <c r="P1015" s="945"/>
      <c r="Q1015" s="945"/>
      <c r="R1015" s="945"/>
      <c r="S1015" s="945"/>
      <c r="T1015" s="945"/>
      <c r="U1015" s="945"/>
      <c r="V1015" s="945"/>
      <c r="W1015" s="945"/>
      <c r="X1015" s="945"/>
      <c r="Y1015" s="945"/>
      <c r="Z1015" s="945"/>
      <c r="AA1015" s="945"/>
      <c r="AB1015" s="945"/>
      <c r="AC1015" s="945"/>
      <c r="AD1015" s="945"/>
      <c r="AE1015" s="945"/>
      <c r="AF1015" s="945"/>
      <c r="AG1015" s="945"/>
      <c r="AH1015" s="945"/>
      <c r="AI1015" s="945"/>
      <c r="AJ1015" s="945"/>
      <c r="AK1015" s="945"/>
      <c r="AL1015" s="945"/>
      <c r="AM1015" s="945"/>
      <c r="AN1015" s="945"/>
      <c r="AO1015" s="945"/>
      <c r="AP1015" s="945"/>
      <c r="AQ1015" s="945"/>
      <c r="AR1015" s="945"/>
      <c r="AS1015" s="945"/>
      <c r="AT1015" s="945"/>
      <c r="AU1015" s="945"/>
      <c r="AV1015" s="945"/>
      <c r="AW1015" s="945"/>
      <c r="AX1015" s="945"/>
      <c r="AY1015" s="945"/>
      <c r="AZ1015" s="945"/>
      <c r="BA1015" s="945"/>
      <c r="BB1015" s="945"/>
      <c r="BC1015" s="945"/>
      <c r="BD1015" s="945"/>
      <c r="BE1015" s="945"/>
      <c r="BF1015" s="945"/>
      <c r="BG1015" s="945"/>
      <c r="BH1015" s="446"/>
      <c r="BI1015" s="945"/>
      <c r="BJ1015" s="945"/>
      <c r="BK1015" s="945"/>
      <c r="BL1015" s="945"/>
      <c r="BM1015" s="945"/>
      <c r="BN1015" s="945"/>
      <c r="BO1015" s="945"/>
      <c r="BP1015" s="945"/>
      <c r="BQ1015" s="945"/>
      <c r="BR1015" s="945"/>
      <c r="BS1015" s="219"/>
    </row>
    <row r="1016" spans="1:71" s="673" customFormat="1" ht="15">
      <c r="A1016" s="715" t="s">
        <v>772</v>
      </c>
      <c r="B1016" s="945"/>
      <c r="C1016" s="445"/>
      <c r="D1016" s="445"/>
      <c r="E1016" s="945"/>
      <c r="F1016" s="945"/>
      <c r="G1016" s="945"/>
      <c r="H1016" s="945"/>
      <c r="I1016" s="945"/>
      <c r="J1016" s="945"/>
      <c r="K1016" s="945"/>
      <c r="L1016" s="945"/>
      <c r="M1016" s="945"/>
      <c r="N1016" s="945"/>
      <c r="O1016" s="945"/>
      <c r="P1016" s="945"/>
      <c r="Q1016" s="945"/>
      <c r="R1016" s="945"/>
      <c r="S1016" s="945"/>
      <c r="T1016" s="945"/>
      <c r="U1016" s="945"/>
      <c r="V1016" s="945"/>
      <c r="W1016" s="945"/>
      <c r="X1016" s="945"/>
      <c r="Y1016" s="945"/>
      <c r="Z1016" s="945"/>
      <c r="AA1016" s="945"/>
      <c r="AB1016" s="945"/>
      <c r="AC1016" s="945"/>
      <c r="AD1016" s="945"/>
      <c r="AE1016" s="945"/>
      <c r="AF1016" s="945"/>
      <c r="AG1016" s="945"/>
      <c r="AH1016" s="945"/>
      <c r="AI1016" s="945"/>
      <c r="AJ1016" s="945"/>
      <c r="AK1016" s="945"/>
      <c r="AL1016" s="945"/>
      <c r="AM1016" s="945"/>
      <c r="AN1016" s="945"/>
      <c r="AO1016" s="945"/>
      <c r="AP1016" s="945"/>
      <c r="AQ1016" s="945"/>
      <c r="AR1016" s="945"/>
      <c r="AS1016" s="945"/>
      <c r="AT1016" s="945"/>
      <c r="AU1016" s="945"/>
      <c r="AV1016" s="945"/>
      <c r="AW1016" s="945"/>
      <c r="AX1016" s="945"/>
      <c r="AY1016" s="945"/>
      <c r="AZ1016" s="945"/>
      <c r="BA1016" s="945"/>
      <c r="BB1016" s="945"/>
      <c r="BC1016" s="945"/>
      <c r="BD1016" s="945"/>
      <c r="BE1016" s="945"/>
      <c r="BF1016" s="945"/>
      <c r="BG1016" s="945"/>
      <c r="BH1016" s="446"/>
      <c r="BI1016" s="945"/>
      <c r="BJ1016" s="945"/>
      <c r="BK1016" s="945"/>
      <c r="BL1016" s="945"/>
      <c r="BM1016" s="945"/>
      <c r="BN1016" s="945"/>
      <c r="BO1016" s="945"/>
      <c r="BP1016" s="945"/>
      <c r="BQ1016" s="945"/>
      <c r="BR1016" s="945"/>
      <c r="BS1016" s="219"/>
    </row>
    <row r="1017" spans="1:71" s="673" customFormat="1" ht="15">
      <c r="A1017" s="715" t="s">
        <v>773</v>
      </c>
      <c r="B1017" s="945"/>
      <c r="C1017" s="445"/>
      <c r="D1017" s="445"/>
      <c r="E1017" s="945"/>
      <c r="F1017" s="945"/>
      <c r="G1017" s="945"/>
      <c r="H1017" s="945"/>
      <c r="I1017" s="945"/>
      <c r="J1017" s="945"/>
      <c r="K1017" s="945"/>
      <c r="L1017" s="945"/>
      <c r="M1017" s="945"/>
      <c r="N1017" s="945"/>
      <c r="O1017" s="945"/>
      <c r="P1017" s="945"/>
      <c r="Q1017" s="945"/>
      <c r="R1017" s="945"/>
      <c r="S1017" s="945"/>
      <c r="T1017" s="945"/>
      <c r="U1017" s="945"/>
      <c r="V1017" s="945"/>
      <c r="W1017" s="945"/>
      <c r="X1017" s="945"/>
      <c r="Y1017" s="945"/>
      <c r="Z1017" s="945"/>
      <c r="AA1017" s="945"/>
      <c r="AB1017" s="945"/>
      <c r="AC1017" s="945"/>
      <c r="AD1017" s="945"/>
      <c r="AE1017" s="945"/>
      <c r="AF1017" s="945"/>
      <c r="AG1017" s="945"/>
      <c r="AH1017" s="945"/>
      <c r="AI1017" s="945"/>
      <c r="AJ1017" s="945"/>
      <c r="AK1017" s="945"/>
      <c r="AL1017" s="945"/>
      <c r="AM1017" s="945"/>
      <c r="AN1017" s="945"/>
      <c r="AO1017" s="945"/>
      <c r="AP1017" s="945"/>
      <c r="AQ1017" s="945"/>
      <c r="AR1017" s="945"/>
      <c r="AS1017" s="945"/>
      <c r="AT1017" s="945"/>
      <c r="AU1017" s="945"/>
      <c r="AV1017" s="945"/>
      <c r="AW1017" s="945"/>
      <c r="AX1017" s="945"/>
      <c r="AY1017" s="945"/>
      <c r="AZ1017" s="945"/>
      <c r="BA1017" s="945"/>
      <c r="BB1017" s="945"/>
      <c r="BC1017" s="945"/>
      <c r="BD1017" s="945"/>
      <c r="BE1017" s="945"/>
      <c r="BF1017" s="945"/>
      <c r="BG1017" s="945"/>
      <c r="BH1017" s="446"/>
      <c r="BI1017" s="945"/>
      <c r="BJ1017" s="945"/>
      <c r="BK1017" s="945"/>
      <c r="BL1017" s="945"/>
      <c r="BM1017" s="945"/>
      <c r="BN1017" s="945"/>
      <c r="BO1017" s="945"/>
      <c r="BP1017" s="945"/>
      <c r="BQ1017" s="945"/>
      <c r="BR1017" s="945"/>
      <c r="BS1017" s="219"/>
    </row>
    <row r="1018" spans="1:71" s="673" customFormat="1" ht="15">
      <c r="A1018" s="715" t="s">
        <v>774</v>
      </c>
      <c r="B1018" s="945"/>
      <c r="C1018" s="445"/>
      <c r="D1018" s="445"/>
      <c r="E1018" s="945"/>
      <c r="F1018" s="945"/>
      <c r="G1018" s="945"/>
      <c r="H1018" s="945"/>
      <c r="I1018" s="945"/>
      <c r="J1018" s="945"/>
      <c r="K1018" s="945"/>
      <c r="L1018" s="945"/>
      <c r="M1018" s="945"/>
      <c r="N1018" s="945"/>
      <c r="O1018" s="945"/>
      <c r="P1018" s="945"/>
      <c r="Q1018" s="945"/>
      <c r="R1018" s="945"/>
      <c r="S1018" s="945"/>
      <c r="T1018" s="945"/>
      <c r="U1018" s="945"/>
      <c r="V1018" s="945"/>
      <c r="W1018" s="945"/>
      <c r="X1018" s="945"/>
      <c r="Y1018" s="945"/>
      <c r="Z1018" s="945"/>
      <c r="AA1018" s="945"/>
      <c r="AB1018" s="945"/>
      <c r="AC1018" s="945"/>
      <c r="AD1018" s="945"/>
      <c r="AE1018" s="945"/>
      <c r="AF1018" s="945"/>
      <c r="AG1018" s="945"/>
      <c r="AH1018" s="945"/>
      <c r="AI1018" s="945"/>
      <c r="AJ1018" s="945"/>
      <c r="AK1018" s="945"/>
      <c r="AL1018" s="945"/>
      <c r="AM1018" s="945"/>
      <c r="AN1018" s="945"/>
      <c r="AO1018" s="945"/>
      <c r="AP1018" s="945"/>
      <c r="AQ1018" s="945"/>
      <c r="AR1018" s="945"/>
      <c r="AS1018" s="945"/>
      <c r="AT1018" s="945"/>
      <c r="AU1018" s="945"/>
      <c r="AV1018" s="945"/>
      <c r="AW1018" s="945"/>
      <c r="AX1018" s="945"/>
      <c r="AY1018" s="945"/>
      <c r="AZ1018" s="945"/>
      <c r="BA1018" s="945"/>
      <c r="BB1018" s="945"/>
      <c r="BC1018" s="945"/>
      <c r="BD1018" s="945"/>
      <c r="BE1018" s="945"/>
      <c r="BF1018" s="945"/>
      <c r="BG1018" s="945"/>
      <c r="BH1018" s="446"/>
      <c r="BI1018" s="945"/>
      <c r="BJ1018" s="945"/>
      <c r="BK1018" s="945"/>
      <c r="BL1018" s="945"/>
      <c r="BM1018" s="945"/>
      <c r="BN1018" s="945"/>
      <c r="BO1018" s="945"/>
      <c r="BP1018" s="945"/>
      <c r="BQ1018" s="945"/>
      <c r="BR1018" s="945"/>
      <c r="BS1018" s="219"/>
    </row>
    <row r="1019" spans="1:71" s="673" customFormat="1" ht="15">
      <c r="A1019" s="715" t="s">
        <v>775</v>
      </c>
      <c r="B1019" s="945"/>
      <c r="C1019" s="445"/>
      <c r="D1019" s="445"/>
      <c r="E1019" s="945"/>
      <c r="F1019" s="945"/>
      <c r="G1019" s="945"/>
      <c r="H1019" s="945"/>
      <c r="I1019" s="945"/>
      <c r="J1019" s="945"/>
      <c r="K1019" s="945"/>
      <c r="L1019" s="945"/>
      <c r="M1019" s="945"/>
      <c r="N1019" s="945"/>
      <c r="O1019" s="945"/>
      <c r="P1019" s="945"/>
      <c r="Q1019" s="945"/>
      <c r="R1019" s="945"/>
      <c r="S1019" s="945"/>
      <c r="T1019" s="945"/>
      <c r="U1019" s="945"/>
      <c r="V1019" s="945"/>
      <c r="W1019" s="945"/>
      <c r="X1019" s="945"/>
      <c r="Y1019" s="945"/>
      <c r="Z1019" s="945"/>
      <c r="AA1019" s="945"/>
      <c r="AB1019" s="945"/>
      <c r="AC1019" s="945"/>
      <c r="AD1019" s="945"/>
      <c r="AE1019" s="945"/>
      <c r="AF1019" s="945"/>
      <c r="AG1019" s="945"/>
      <c r="AH1019" s="945"/>
      <c r="AI1019" s="945"/>
      <c r="AJ1019" s="945"/>
      <c r="AK1019" s="945"/>
      <c r="AL1019" s="945"/>
      <c r="AM1019" s="945"/>
      <c r="AN1019" s="945"/>
      <c r="AO1019" s="945"/>
      <c r="AP1019" s="945"/>
      <c r="AQ1019" s="945"/>
      <c r="AR1019" s="945"/>
      <c r="AS1019" s="945"/>
      <c r="AT1019" s="945"/>
      <c r="AU1019" s="945"/>
      <c r="AV1019" s="945"/>
      <c r="AW1019" s="945"/>
      <c r="AX1019" s="945"/>
      <c r="AY1019" s="945"/>
      <c r="AZ1019" s="945"/>
      <c r="BA1019" s="945"/>
      <c r="BB1019" s="945"/>
      <c r="BC1019" s="945"/>
      <c r="BD1019" s="945"/>
      <c r="BE1019" s="945"/>
      <c r="BF1019" s="945"/>
      <c r="BG1019" s="945"/>
      <c r="BH1019" s="446"/>
      <c r="BI1019" s="945"/>
      <c r="BJ1019" s="945"/>
      <c r="BK1019" s="945"/>
      <c r="BL1019" s="945"/>
      <c r="BM1019" s="945"/>
      <c r="BN1019" s="945"/>
      <c r="BO1019" s="945"/>
      <c r="BP1019" s="945"/>
      <c r="BQ1019" s="945"/>
      <c r="BR1019" s="945"/>
      <c r="BS1019" s="219"/>
    </row>
    <row r="1020" spans="1:71" s="673" customFormat="1" ht="15">
      <c r="A1020" s="715" t="s">
        <v>776</v>
      </c>
      <c r="B1020" s="945"/>
      <c r="C1020" s="445"/>
      <c r="D1020" s="445"/>
      <c r="E1020" s="945"/>
      <c r="F1020" s="945"/>
      <c r="G1020" s="945"/>
      <c r="H1020" s="945"/>
      <c r="I1020" s="945"/>
      <c r="J1020" s="945"/>
      <c r="K1020" s="945"/>
      <c r="L1020" s="945"/>
      <c r="M1020" s="945"/>
      <c r="N1020" s="945"/>
      <c r="O1020" s="945"/>
      <c r="P1020" s="945"/>
      <c r="Q1020" s="945"/>
      <c r="R1020" s="945"/>
      <c r="S1020" s="945"/>
      <c r="T1020" s="945"/>
      <c r="U1020" s="945"/>
      <c r="V1020" s="945"/>
      <c r="W1020" s="945"/>
      <c r="X1020" s="945"/>
      <c r="Y1020" s="945"/>
      <c r="Z1020" s="945"/>
      <c r="AA1020" s="945"/>
      <c r="AB1020" s="945"/>
      <c r="AC1020" s="945"/>
      <c r="AD1020" s="945"/>
      <c r="AE1020" s="945"/>
      <c r="AF1020" s="945"/>
      <c r="AG1020" s="945"/>
      <c r="AH1020" s="945"/>
      <c r="AI1020" s="945"/>
      <c r="AJ1020" s="945"/>
      <c r="AK1020" s="945"/>
      <c r="AL1020" s="945"/>
      <c r="AM1020" s="945"/>
      <c r="AN1020" s="945"/>
      <c r="AO1020" s="945"/>
      <c r="AP1020" s="945"/>
      <c r="AQ1020" s="945"/>
      <c r="AR1020" s="945"/>
      <c r="AS1020" s="945"/>
      <c r="AT1020" s="945"/>
      <c r="AU1020" s="945"/>
      <c r="AV1020" s="945"/>
      <c r="AW1020" s="945"/>
      <c r="AX1020" s="945"/>
      <c r="AY1020" s="945"/>
      <c r="AZ1020" s="945"/>
      <c r="BA1020" s="945"/>
      <c r="BB1020" s="945"/>
      <c r="BC1020" s="945"/>
      <c r="BD1020" s="945"/>
      <c r="BE1020" s="945"/>
      <c r="BF1020" s="945"/>
      <c r="BG1020" s="945"/>
      <c r="BH1020" s="446"/>
      <c r="BI1020" s="945"/>
      <c r="BJ1020" s="945"/>
      <c r="BK1020" s="945"/>
      <c r="BL1020" s="945"/>
      <c r="BM1020" s="945"/>
      <c r="BN1020" s="945"/>
      <c r="BO1020" s="945"/>
      <c r="BP1020" s="945"/>
      <c r="BQ1020" s="945"/>
      <c r="BR1020" s="945"/>
      <c r="BS1020" s="219"/>
    </row>
    <row r="1021" spans="1:71" s="673" customFormat="1" ht="15">
      <c r="A1021" s="715" t="s">
        <v>777</v>
      </c>
      <c r="B1021" s="945"/>
      <c r="C1021" s="445"/>
      <c r="D1021" s="445"/>
      <c r="E1021" s="945"/>
      <c r="F1021" s="945"/>
      <c r="G1021" s="945"/>
      <c r="H1021" s="945"/>
      <c r="I1021" s="945"/>
      <c r="J1021" s="945"/>
      <c r="K1021" s="945"/>
      <c r="L1021" s="945"/>
      <c r="M1021" s="945"/>
      <c r="N1021" s="945"/>
      <c r="O1021" s="945"/>
      <c r="P1021" s="945"/>
      <c r="Q1021" s="945"/>
      <c r="R1021" s="945"/>
      <c r="S1021" s="945"/>
      <c r="T1021" s="945"/>
      <c r="U1021" s="945"/>
      <c r="V1021" s="945"/>
      <c r="W1021" s="945"/>
      <c r="X1021" s="945"/>
      <c r="Y1021" s="945"/>
      <c r="Z1021" s="945"/>
      <c r="AA1021" s="945"/>
      <c r="AB1021" s="945"/>
      <c r="AC1021" s="945"/>
      <c r="AD1021" s="945"/>
      <c r="AE1021" s="945"/>
      <c r="AF1021" s="945"/>
      <c r="AG1021" s="945"/>
      <c r="AH1021" s="945"/>
      <c r="AI1021" s="945"/>
      <c r="AJ1021" s="945"/>
      <c r="AK1021" s="945"/>
      <c r="AL1021" s="945"/>
      <c r="AM1021" s="945"/>
      <c r="AN1021" s="945"/>
      <c r="AO1021" s="945"/>
      <c r="AP1021" s="945"/>
      <c r="AQ1021" s="945"/>
      <c r="AR1021" s="945"/>
      <c r="AS1021" s="945"/>
      <c r="AT1021" s="945"/>
      <c r="AU1021" s="945"/>
      <c r="AV1021" s="945"/>
      <c r="AW1021" s="945"/>
      <c r="AX1021" s="945"/>
      <c r="AY1021" s="945"/>
      <c r="AZ1021" s="945"/>
      <c r="BA1021" s="945"/>
      <c r="BB1021" s="945"/>
      <c r="BC1021" s="945"/>
      <c r="BD1021" s="945"/>
      <c r="BE1021" s="945"/>
      <c r="BF1021" s="945"/>
      <c r="BG1021" s="945"/>
      <c r="BH1021" s="446"/>
      <c r="BI1021" s="945"/>
      <c r="BJ1021" s="945"/>
      <c r="BK1021" s="945"/>
      <c r="BL1021" s="945"/>
      <c r="BM1021" s="945"/>
      <c r="BN1021" s="945"/>
      <c r="BO1021" s="945"/>
      <c r="BP1021" s="945"/>
      <c r="BQ1021" s="945"/>
      <c r="BR1021" s="945"/>
      <c r="BS1021" s="219"/>
    </row>
    <row r="1022" spans="1:71" s="673" customFormat="1" ht="15">
      <c r="A1022" s="715" t="s">
        <v>778</v>
      </c>
      <c r="B1022" s="945"/>
      <c r="C1022" s="445"/>
      <c r="D1022" s="445"/>
      <c r="E1022" s="945"/>
      <c r="F1022" s="945"/>
      <c r="G1022" s="945"/>
      <c r="H1022" s="945"/>
      <c r="I1022" s="945"/>
      <c r="J1022" s="945"/>
      <c r="K1022" s="945"/>
      <c r="L1022" s="945"/>
      <c r="M1022" s="945"/>
      <c r="N1022" s="945"/>
      <c r="O1022" s="945"/>
      <c r="P1022" s="945"/>
      <c r="Q1022" s="945"/>
      <c r="R1022" s="945"/>
      <c r="S1022" s="945"/>
      <c r="T1022" s="945"/>
      <c r="U1022" s="945"/>
      <c r="V1022" s="945"/>
      <c r="W1022" s="945"/>
      <c r="X1022" s="945"/>
      <c r="Y1022" s="945"/>
      <c r="Z1022" s="945"/>
      <c r="AA1022" s="945"/>
      <c r="AB1022" s="945"/>
      <c r="AC1022" s="945"/>
      <c r="AD1022" s="945"/>
      <c r="AE1022" s="945"/>
      <c r="AF1022" s="945"/>
      <c r="AG1022" s="945"/>
      <c r="AH1022" s="945"/>
      <c r="AI1022" s="945"/>
      <c r="AJ1022" s="945"/>
      <c r="AK1022" s="945"/>
      <c r="AL1022" s="945"/>
      <c r="AM1022" s="945"/>
      <c r="AN1022" s="945"/>
      <c r="AO1022" s="945"/>
      <c r="AP1022" s="945"/>
      <c r="AQ1022" s="945"/>
      <c r="AR1022" s="945"/>
      <c r="AS1022" s="945"/>
      <c r="AT1022" s="945"/>
      <c r="AU1022" s="945"/>
      <c r="AV1022" s="945"/>
      <c r="AW1022" s="945"/>
      <c r="AX1022" s="945"/>
      <c r="AY1022" s="945"/>
      <c r="AZ1022" s="945"/>
      <c r="BA1022" s="945"/>
      <c r="BB1022" s="945"/>
      <c r="BC1022" s="945"/>
      <c r="BD1022" s="945"/>
      <c r="BE1022" s="945"/>
      <c r="BF1022" s="945"/>
      <c r="BG1022" s="945"/>
      <c r="BH1022" s="446"/>
      <c r="BI1022" s="945"/>
      <c r="BJ1022" s="945"/>
      <c r="BK1022" s="945"/>
      <c r="BL1022" s="945"/>
      <c r="BM1022" s="945"/>
      <c r="BN1022" s="945"/>
      <c r="BO1022" s="945"/>
      <c r="BP1022" s="945"/>
      <c r="BQ1022" s="945"/>
      <c r="BR1022" s="945"/>
      <c r="BS1022" s="219"/>
    </row>
    <row r="1023" spans="1:71" s="673" customFormat="1" ht="15">
      <c r="A1023" s="715" t="s">
        <v>779</v>
      </c>
      <c r="B1023" s="945"/>
      <c r="C1023" s="445"/>
      <c r="D1023" s="445"/>
      <c r="E1023" s="945"/>
      <c r="F1023" s="945"/>
      <c r="G1023" s="945"/>
      <c r="H1023" s="945"/>
      <c r="I1023" s="945"/>
      <c r="J1023" s="945"/>
      <c r="K1023" s="945"/>
      <c r="L1023" s="945"/>
      <c r="M1023" s="945"/>
      <c r="N1023" s="945"/>
      <c r="O1023" s="945"/>
      <c r="P1023" s="945"/>
      <c r="Q1023" s="945"/>
      <c r="R1023" s="945"/>
      <c r="S1023" s="945"/>
      <c r="T1023" s="945"/>
      <c r="U1023" s="945"/>
      <c r="V1023" s="945"/>
      <c r="W1023" s="945"/>
      <c r="X1023" s="945"/>
      <c r="Y1023" s="945"/>
      <c r="Z1023" s="945"/>
      <c r="AA1023" s="945"/>
      <c r="AB1023" s="945"/>
      <c r="AC1023" s="945"/>
      <c r="AD1023" s="945"/>
      <c r="AE1023" s="945"/>
      <c r="AF1023" s="945"/>
      <c r="AG1023" s="945"/>
      <c r="AH1023" s="945"/>
      <c r="AI1023" s="945"/>
      <c r="AJ1023" s="945"/>
      <c r="AK1023" s="945"/>
      <c r="AL1023" s="945"/>
      <c r="AM1023" s="945"/>
      <c r="AN1023" s="945"/>
      <c r="AO1023" s="945"/>
      <c r="AP1023" s="945"/>
      <c r="AQ1023" s="945"/>
      <c r="AR1023" s="945"/>
      <c r="AS1023" s="945"/>
      <c r="AT1023" s="945"/>
      <c r="AU1023" s="945"/>
      <c r="AV1023" s="945"/>
      <c r="AW1023" s="945"/>
      <c r="AX1023" s="945"/>
      <c r="AY1023" s="945"/>
      <c r="AZ1023" s="945"/>
      <c r="BA1023" s="945"/>
      <c r="BB1023" s="945"/>
      <c r="BC1023" s="945"/>
      <c r="BD1023" s="945"/>
      <c r="BE1023" s="945"/>
      <c r="BF1023" s="945"/>
      <c r="BG1023" s="945"/>
      <c r="BH1023" s="446"/>
      <c r="BI1023" s="945"/>
      <c r="BJ1023" s="945"/>
      <c r="BK1023" s="945"/>
      <c r="BL1023" s="945"/>
      <c r="BM1023" s="945"/>
      <c r="BN1023" s="945"/>
      <c r="BO1023" s="945"/>
      <c r="BP1023" s="945"/>
      <c r="BQ1023" s="945"/>
      <c r="BR1023" s="945"/>
      <c r="BS1023" s="219"/>
    </row>
    <row r="1024" spans="1:71" s="673" customFormat="1" ht="15">
      <c r="A1024" s="715" t="s">
        <v>780</v>
      </c>
      <c r="B1024" s="945"/>
      <c r="C1024" s="445"/>
      <c r="D1024" s="445"/>
      <c r="E1024" s="945"/>
      <c r="F1024" s="945"/>
      <c r="G1024" s="945"/>
      <c r="H1024" s="945"/>
      <c r="I1024" s="945"/>
      <c r="J1024" s="945"/>
      <c r="K1024" s="945"/>
      <c r="L1024" s="945"/>
      <c r="M1024" s="945"/>
      <c r="N1024" s="945"/>
      <c r="O1024" s="945"/>
      <c r="P1024" s="945"/>
      <c r="Q1024" s="945"/>
      <c r="R1024" s="945"/>
      <c r="S1024" s="945"/>
      <c r="T1024" s="945"/>
      <c r="U1024" s="945"/>
      <c r="V1024" s="945"/>
      <c r="W1024" s="945"/>
      <c r="X1024" s="945"/>
      <c r="Y1024" s="945"/>
      <c r="Z1024" s="945"/>
      <c r="AA1024" s="945"/>
      <c r="AB1024" s="945"/>
      <c r="AC1024" s="945"/>
      <c r="AD1024" s="945"/>
      <c r="AE1024" s="945"/>
      <c r="AF1024" s="945"/>
      <c r="AG1024" s="945"/>
      <c r="AH1024" s="945"/>
      <c r="AI1024" s="945"/>
      <c r="AJ1024" s="945"/>
      <c r="AK1024" s="945"/>
      <c r="AL1024" s="945"/>
      <c r="AM1024" s="945"/>
      <c r="AN1024" s="945"/>
      <c r="AO1024" s="945"/>
      <c r="AP1024" s="945"/>
      <c r="AQ1024" s="945"/>
      <c r="AR1024" s="945"/>
      <c r="AS1024" s="945"/>
      <c r="AT1024" s="945"/>
      <c r="AU1024" s="945"/>
      <c r="AV1024" s="945"/>
      <c r="AW1024" s="945"/>
      <c r="AX1024" s="945"/>
      <c r="AY1024" s="945"/>
      <c r="AZ1024" s="945"/>
      <c r="BA1024" s="945"/>
      <c r="BB1024" s="945"/>
      <c r="BC1024" s="945"/>
      <c r="BD1024" s="945"/>
      <c r="BE1024" s="945"/>
      <c r="BF1024" s="945"/>
      <c r="BG1024" s="945"/>
      <c r="BH1024" s="446"/>
      <c r="BI1024" s="945"/>
      <c r="BJ1024" s="945"/>
      <c r="BK1024" s="945"/>
      <c r="BL1024" s="945"/>
      <c r="BM1024" s="945"/>
      <c r="BN1024" s="945"/>
      <c r="BO1024" s="945"/>
      <c r="BP1024" s="945"/>
      <c r="BQ1024" s="945"/>
      <c r="BR1024" s="945"/>
      <c r="BS1024" s="219"/>
    </row>
    <row r="1025" spans="1:71" s="673" customFormat="1" ht="15">
      <c r="A1025" s="715" t="s">
        <v>781</v>
      </c>
      <c r="B1025" s="945"/>
      <c r="C1025" s="445"/>
      <c r="D1025" s="445"/>
      <c r="E1025" s="945"/>
      <c r="F1025" s="945"/>
      <c r="G1025" s="945"/>
      <c r="H1025" s="945"/>
      <c r="I1025" s="945"/>
      <c r="J1025" s="945"/>
      <c r="K1025" s="945"/>
      <c r="L1025" s="945"/>
      <c r="M1025" s="945"/>
      <c r="N1025" s="945"/>
      <c r="O1025" s="945"/>
      <c r="P1025" s="945"/>
      <c r="Q1025" s="945"/>
      <c r="R1025" s="945"/>
      <c r="S1025" s="945"/>
      <c r="T1025" s="945"/>
      <c r="U1025" s="945"/>
      <c r="V1025" s="945"/>
      <c r="W1025" s="945"/>
      <c r="X1025" s="945"/>
      <c r="Y1025" s="945"/>
      <c r="Z1025" s="945"/>
      <c r="AA1025" s="945"/>
      <c r="AB1025" s="945"/>
      <c r="AC1025" s="945"/>
      <c r="AD1025" s="945"/>
      <c r="AE1025" s="945"/>
      <c r="AF1025" s="945"/>
      <c r="AG1025" s="945"/>
      <c r="AH1025" s="945"/>
      <c r="AI1025" s="945"/>
      <c r="AJ1025" s="945"/>
      <c r="AK1025" s="945"/>
      <c r="AL1025" s="945"/>
      <c r="AM1025" s="945"/>
      <c r="AN1025" s="945"/>
      <c r="AO1025" s="945"/>
      <c r="AP1025" s="945"/>
      <c r="AQ1025" s="945"/>
      <c r="AR1025" s="945"/>
      <c r="AS1025" s="945"/>
      <c r="AT1025" s="945"/>
      <c r="AU1025" s="945"/>
      <c r="AV1025" s="945"/>
      <c r="AW1025" s="945"/>
      <c r="AX1025" s="945"/>
      <c r="AY1025" s="945"/>
      <c r="AZ1025" s="945"/>
      <c r="BA1025" s="945"/>
      <c r="BB1025" s="945"/>
      <c r="BC1025" s="945"/>
      <c r="BD1025" s="945"/>
      <c r="BE1025" s="945"/>
      <c r="BF1025" s="945"/>
      <c r="BG1025" s="945"/>
      <c r="BH1025" s="446"/>
      <c r="BI1025" s="945"/>
      <c r="BJ1025" s="945"/>
      <c r="BK1025" s="945"/>
      <c r="BL1025" s="945"/>
      <c r="BM1025" s="945"/>
      <c r="BN1025" s="945"/>
      <c r="BO1025" s="945"/>
      <c r="BP1025" s="945"/>
      <c r="BQ1025" s="945"/>
      <c r="BR1025" s="945"/>
      <c r="BS1025" s="219"/>
    </row>
    <row r="1026" spans="1:71" s="673" customFormat="1" ht="15">
      <c r="A1026" s="715" t="s">
        <v>782</v>
      </c>
      <c r="B1026" s="945"/>
      <c r="C1026" s="445"/>
      <c r="D1026" s="445"/>
      <c r="E1026" s="945"/>
      <c r="F1026" s="945"/>
      <c r="G1026" s="945"/>
      <c r="H1026" s="945"/>
      <c r="I1026" s="945"/>
      <c r="J1026" s="945"/>
      <c r="K1026" s="945"/>
      <c r="L1026" s="945"/>
      <c r="M1026" s="945"/>
      <c r="N1026" s="945"/>
      <c r="O1026" s="945"/>
      <c r="P1026" s="945"/>
      <c r="Q1026" s="945"/>
      <c r="R1026" s="945"/>
      <c r="S1026" s="945"/>
      <c r="T1026" s="945"/>
      <c r="U1026" s="945"/>
      <c r="V1026" s="945"/>
      <c r="W1026" s="945"/>
      <c r="X1026" s="945"/>
      <c r="Y1026" s="945"/>
      <c r="Z1026" s="945"/>
      <c r="AA1026" s="945"/>
      <c r="AB1026" s="945"/>
      <c r="AC1026" s="945"/>
      <c r="AD1026" s="945"/>
      <c r="AE1026" s="945"/>
      <c r="AF1026" s="945"/>
      <c r="AG1026" s="945"/>
      <c r="AH1026" s="945"/>
      <c r="AI1026" s="945"/>
      <c r="AJ1026" s="945"/>
      <c r="AK1026" s="945"/>
      <c r="AL1026" s="945"/>
      <c r="AM1026" s="945"/>
      <c r="AN1026" s="945"/>
      <c r="AO1026" s="945"/>
      <c r="AP1026" s="945"/>
      <c r="AQ1026" s="945"/>
      <c r="AR1026" s="945"/>
      <c r="AS1026" s="945"/>
      <c r="AT1026" s="945"/>
      <c r="AU1026" s="945"/>
      <c r="AV1026" s="945"/>
      <c r="AW1026" s="945"/>
      <c r="AX1026" s="945"/>
      <c r="AY1026" s="945"/>
      <c r="AZ1026" s="945"/>
      <c r="BA1026" s="945"/>
      <c r="BB1026" s="945"/>
      <c r="BC1026" s="945"/>
      <c r="BD1026" s="945"/>
      <c r="BE1026" s="945"/>
      <c r="BF1026" s="945"/>
      <c r="BG1026" s="945"/>
      <c r="BH1026" s="446"/>
      <c r="BI1026" s="945"/>
      <c r="BJ1026" s="945"/>
      <c r="BK1026" s="945"/>
      <c r="BL1026" s="945"/>
      <c r="BM1026" s="945"/>
      <c r="BN1026" s="945"/>
      <c r="BO1026" s="945"/>
      <c r="BP1026" s="945"/>
      <c r="BQ1026" s="945"/>
      <c r="BR1026" s="945"/>
      <c r="BS1026" s="219"/>
    </row>
    <row r="1027" spans="1:71" s="673" customFormat="1" ht="15">
      <c r="A1027" s="453"/>
      <c r="B1027" s="945"/>
      <c r="C1027" s="445"/>
      <c r="D1027" s="445"/>
      <c r="E1027" s="945"/>
      <c r="F1027" s="945"/>
      <c r="G1027" s="945"/>
      <c r="H1027" s="945"/>
      <c r="I1027" s="945"/>
      <c r="J1027" s="945"/>
      <c r="K1027" s="945"/>
      <c r="L1027" s="945"/>
      <c r="M1027" s="945"/>
      <c r="N1027" s="945"/>
      <c r="O1027" s="945"/>
      <c r="P1027" s="945"/>
      <c r="Q1027" s="945"/>
      <c r="R1027" s="945"/>
      <c r="S1027" s="945"/>
      <c r="T1027" s="945"/>
      <c r="U1027" s="945"/>
      <c r="V1027" s="945"/>
      <c r="W1027" s="945"/>
      <c r="X1027" s="945"/>
      <c r="Y1027" s="945"/>
      <c r="Z1027" s="945"/>
      <c r="AA1027" s="945"/>
      <c r="AB1027" s="945"/>
      <c r="AC1027" s="945"/>
      <c r="AD1027" s="945"/>
      <c r="AE1027" s="945"/>
      <c r="AF1027" s="945"/>
      <c r="AG1027" s="945"/>
      <c r="AH1027" s="945"/>
      <c r="AI1027" s="945"/>
      <c r="AJ1027" s="945"/>
      <c r="AK1027" s="945"/>
      <c r="AL1027" s="945"/>
      <c r="AM1027" s="945"/>
      <c r="AN1027" s="945"/>
      <c r="AO1027" s="945"/>
      <c r="AP1027" s="945"/>
      <c r="AQ1027" s="945"/>
      <c r="AR1027" s="945"/>
      <c r="AS1027" s="945"/>
      <c r="AT1027" s="945"/>
      <c r="AU1027" s="945"/>
      <c r="AV1027" s="945"/>
      <c r="AW1027" s="945"/>
      <c r="AX1027" s="945"/>
      <c r="AY1027" s="945"/>
      <c r="AZ1027" s="945"/>
      <c r="BA1027" s="945"/>
      <c r="BB1027" s="945"/>
      <c r="BC1027" s="945"/>
      <c r="BD1027" s="945"/>
      <c r="BE1027" s="945"/>
      <c r="BF1027" s="945"/>
      <c r="BG1027" s="945"/>
      <c r="BH1027" s="446"/>
      <c r="BI1027" s="945"/>
      <c r="BJ1027" s="945"/>
      <c r="BK1027" s="945"/>
      <c r="BL1027" s="945"/>
      <c r="BM1027" s="945"/>
      <c r="BN1027" s="945"/>
      <c r="BO1027" s="945"/>
      <c r="BP1027" s="945"/>
      <c r="BQ1027" s="945"/>
      <c r="BR1027" s="945"/>
      <c r="BS1027" s="219"/>
    </row>
    <row r="1028" spans="1:71" s="673" customFormat="1" ht="15">
      <c r="A1028" s="440"/>
      <c r="B1028" s="447"/>
      <c r="C1028" s="454"/>
      <c r="D1028" s="454"/>
      <c r="E1028" s="447"/>
      <c r="F1028" s="447"/>
      <c r="G1028" s="447"/>
      <c r="H1028" s="447"/>
      <c r="I1028" s="447"/>
      <c r="J1028" s="447"/>
      <c r="K1028" s="447"/>
      <c r="L1028" s="447"/>
      <c r="M1028" s="447"/>
      <c r="N1028" s="447"/>
      <c r="O1028" s="447"/>
      <c r="P1028" s="447"/>
      <c r="Q1028" s="447"/>
      <c r="R1028" s="447"/>
      <c r="S1028" s="447"/>
      <c r="T1028" s="447"/>
      <c r="U1028" s="447"/>
      <c r="V1028" s="447"/>
      <c r="W1028" s="447"/>
      <c r="X1028" s="447"/>
      <c r="Y1028" s="447"/>
      <c r="Z1028" s="447"/>
      <c r="AA1028" s="447"/>
      <c r="AB1028" s="447"/>
      <c r="AC1028" s="447"/>
      <c r="AD1028" s="447"/>
      <c r="AE1028" s="447"/>
      <c r="AF1028" s="447"/>
      <c r="AG1028" s="447"/>
      <c r="AH1028" s="447"/>
      <c r="AI1028" s="447"/>
      <c r="AJ1028" s="447"/>
      <c r="AK1028" s="447"/>
      <c r="AL1028" s="447"/>
      <c r="AM1028" s="447"/>
      <c r="AN1028" s="447"/>
      <c r="AO1028" s="447"/>
      <c r="AP1028" s="447"/>
      <c r="AQ1028" s="447"/>
      <c r="AR1028" s="447"/>
      <c r="AS1028" s="447"/>
      <c r="AT1028" s="447"/>
      <c r="AU1028" s="447"/>
      <c r="AV1028" s="447"/>
      <c r="AW1028" s="447"/>
      <c r="AX1028" s="447"/>
      <c r="AY1028" s="447"/>
      <c r="AZ1028" s="447"/>
      <c r="BA1028" s="447"/>
      <c r="BB1028" s="447"/>
      <c r="BC1028" s="447"/>
      <c r="BD1028" s="447"/>
      <c r="BE1028" s="447"/>
      <c r="BF1028" s="447"/>
      <c r="BG1028" s="447"/>
      <c r="BH1028" s="455"/>
      <c r="BI1028" s="447"/>
      <c r="BJ1028" s="447"/>
      <c r="BK1028" s="447"/>
      <c r="BL1028" s="447"/>
      <c r="BM1028" s="447"/>
      <c r="BN1028" s="447"/>
      <c r="BO1028" s="447"/>
      <c r="BP1028" s="447"/>
      <c r="BQ1028" s="447"/>
      <c r="BR1028" s="447"/>
      <c r="BS1028" s="219"/>
    </row>
    <row r="1029" spans="1:71" s="673" customFormat="1" ht="15">
      <c r="A1029" s="750" t="s">
        <v>742</v>
      </c>
      <c r="B1029" s="743"/>
      <c r="C1029" s="744"/>
      <c r="D1029" s="744"/>
      <c r="E1029" s="743"/>
      <c r="F1029" s="743"/>
      <c r="G1029" s="743"/>
      <c r="H1029" s="743"/>
      <c r="I1029" s="743"/>
      <c r="J1029" s="743"/>
      <c r="K1029" s="743"/>
      <c r="L1029" s="743"/>
      <c r="M1029" s="743"/>
      <c r="N1029" s="743"/>
      <c r="O1029" s="743"/>
      <c r="P1029" s="743"/>
      <c r="Q1029" s="743"/>
      <c r="R1029" s="743"/>
      <c r="S1029" s="743"/>
      <c r="T1029" s="743"/>
      <c r="U1029" s="743"/>
      <c r="V1029" s="743"/>
      <c r="W1029" s="743"/>
      <c r="X1029" s="743"/>
      <c r="Y1029" s="743"/>
      <c r="Z1029" s="743"/>
      <c r="AA1029" s="743"/>
      <c r="AB1029" s="743"/>
      <c r="AC1029" s="743"/>
      <c r="AD1029" s="743"/>
      <c r="AE1029" s="743"/>
      <c r="AF1029" s="743"/>
      <c r="AG1029" s="743"/>
      <c r="AH1029" s="743"/>
      <c r="AI1029" s="743"/>
      <c r="AJ1029" s="743"/>
      <c r="AK1029" s="743"/>
      <c r="AL1029" s="743"/>
      <c r="AM1029" s="743"/>
      <c r="AN1029" s="743"/>
      <c r="AO1029" s="743"/>
      <c r="AP1029" s="743"/>
      <c r="AQ1029" s="743"/>
      <c r="AR1029" s="743"/>
      <c r="AS1029" s="743"/>
      <c r="AT1029" s="743"/>
      <c r="AU1029" s="743"/>
      <c r="AV1029" s="743"/>
      <c r="AW1029" s="743"/>
      <c r="AX1029" s="743"/>
      <c r="AY1029" s="743"/>
      <c r="AZ1029" s="743"/>
      <c r="BA1029" s="743"/>
      <c r="BB1029" s="743"/>
      <c r="BC1029" s="743"/>
      <c r="BD1029" s="743"/>
      <c r="BE1029" s="743"/>
      <c r="BF1029" s="743"/>
      <c r="BG1029" s="743"/>
      <c r="BH1029" s="745"/>
      <c r="BI1029" s="743"/>
      <c r="BJ1029" s="743"/>
      <c r="BK1029" s="743"/>
      <c r="BL1029" s="743"/>
      <c r="BM1029" s="743"/>
      <c r="BN1029" s="743"/>
      <c r="BO1029" s="743"/>
      <c r="BP1029" s="743"/>
      <c r="BQ1029" s="743"/>
      <c r="BR1029" s="746"/>
      <c r="BS1029" s="219"/>
    </row>
    <row r="1030" spans="1:71" s="673" customFormat="1" ht="15">
      <c r="A1030" s="751" t="s">
        <v>743</v>
      </c>
      <c r="B1030" s="945"/>
      <c r="C1030" s="753"/>
      <c r="D1030" s="753"/>
      <c r="E1030" s="754"/>
      <c r="F1030" s="754"/>
      <c r="G1030" s="754"/>
      <c r="H1030" s="754"/>
      <c r="I1030" s="754"/>
      <c r="J1030" s="754"/>
      <c r="K1030" s="754"/>
      <c r="L1030" s="754"/>
      <c r="M1030" s="754"/>
      <c r="N1030" s="754"/>
      <c r="O1030" s="754"/>
      <c r="P1030" s="754"/>
      <c r="Q1030" s="754"/>
      <c r="R1030" s="754"/>
      <c r="S1030" s="754"/>
      <c r="T1030" s="754"/>
      <c r="U1030" s="754"/>
      <c r="V1030" s="754"/>
      <c r="W1030" s="754"/>
      <c r="X1030" s="754"/>
      <c r="Y1030" s="754"/>
      <c r="Z1030" s="754"/>
      <c r="AA1030" s="754"/>
      <c r="AB1030" s="754"/>
      <c r="AC1030" s="754"/>
      <c r="AD1030" s="754"/>
      <c r="AE1030" s="754"/>
      <c r="AF1030" s="754"/>
      <c r="AG1030" s="754"/>
      <c r="AH1030" s="754"/>
      <c r="AI1030" s="754"/>
      <c r="AJ1030" s="754"/>
      <c r="AK1030" s="754"/>
      <c r="AL1030" s="754"/>
      <c r="AM1030" s="754"/>
      <c r="AN1030" s="754"/>
      <c r="AO1030" s="754"/>
      <c r="AP1030" s="754"/>
      <c r="AQ1030" s="754"/>
      <c r="AR1030" s="754"/>
      <c r="AS1030" s="754"/>
      <c r="AT1030" s="754"/>
      <c r="AU1030" s="754"/>
      <c r="AV1030" s="754"/>
      <c r="AW1030" s="754"/>
      <c r="AX1030" s="754"/>
      <c r="AY1030" s="754"/>
      <c r="AZ1030" s="754"/>
      <c r="BA1030" s="754"/>
      <c r="BB1030" s="754"/>
      <c r="BC1030" s="754"/>
      <c r="BD1030" s="754"/>
      <c r="BE1030" s="754"/>
      <c r="BF1030" s="754"/>
      <c r="BG1030" s="754"/>
      <c r="BH1030" s="755"/>
      <c r="BI1030" s="754"/>
      <c r="BJ1030" s="754"/>
      <c r="BK1030" s="754"/>
      <c r="BL1030" s="754"/>
      <c r="BM1030" s="754"/>
      <c r="BN1030" s="754"/>
      <c r="BO1030" s="754"/>
      <c r="BP1030" s="754"/>
      <c r="BQ1030" s="754"/>
      <c r="BR1030" s="756"/>
      <c r="BS1030" s="219"/>
    </row>
    <row r="1031" spans="1:71" s="673" customFormat="1" ht="15">
      <c r="A1031" s="751" t="s">
        <v>744</v>
      </c>
      <c r="B1031" s="945"/>
      <c r="C1031" s="757"/>
      <c r="D1031" s="757"/>
      <c r="E1031" s="758"/>
      <c r="F1031" s="758"/>
      <c r="G1031" s="758"/>
      <c r="H1031" s="758"/>
      <c r="I1031" s="758"/>
      <c r="J1031" s="758"/>
      <c r="K1031" s="758"/>
      <c r="L1031" s="758"/>
      <c r="M1031" s="758"/>
      <c r="N1031" s="758"/>
      <c r="O1031" s="758"/>
      <c r="P1031" s="758"/>
      <c r="Q1031" s="758"/>
      <c r="R1031" s="758"/>
      <c r="S1031" s="758"/>
      <c r="T1031" s="758"/>
      <c r="U1031" s="758"/>
      <c r="V1031" s="758"/>
      <c r="W1031" s="758"/>
      <c r="X1031" s="758"/>
      <c r="Y1031" s="758"/>
      <c r="Z1031" s="758"/>
      <c r="AA1031" s="758"/>
      <c r="AB1031" s="758"/>
      <c r="AC1031" s="758"/>
      <c r="AD1031" s="758"/>
      <c r="AE1031" s="758"/>
      <c r="AF1031" s="758"/>
      <c r="AG1031" s="758"/>
      <c r="AH1031" s="758"/>
      <c r="AI1031" s="758"/>
      <c r="AJ1031" s="758"/>
      <c r="AK1031" s="758"/>
      <c r="AL1031" s="758"/>
      <c r="AM1031" s="758"/>
      <c r="AN1031" s="758"/>
      <c r="AO1031" s="758"/>
      <c r="AP1031" s="758"/>
      <c r="AQ1031" s="758"/>
      <c r="AR1031" s="758"/>
      <c r="AS1031" s="758"/>
      <c r="AT1031" s="758"/>
      <c r="AU1031" s="758"/>
      <c r="AV1031" s="758"/>
      <c r="AW1031" s="758"/>
      <c r="AX1031" s="758"/>
      <c r="AY1031" s="758"/>
      <c r="AZ1031" s="758"/>
      <c r="BA1031" s="758"/>
      <c r="BB1031" s="758"/>
      <c r="BC1031" s="758"/>
      <c r="BD1031" s="758"/>
      <c r="BE1031" s="758"/>
      <c r="BF1031" s="758"/>
      <c r="BG1031" s="758"/>
      <c r="BH1031" s="759"/>
      <c r="BI1031" s="758"/>
      <c r="BJ1031" s="758"/>
      <c r="BK1031" s="758"/>
      <c r="BL1031" s="758"/>
      <c r="BM1031" s="758"/>
      <c r="BN1031" s="758"/>
      <c r="BO1031" s="758"/>
      <c r="BP1031" s="758"/>
      <c r="BQ1031" s="758"/>
      <c r="BR1031" s="760"/>
      <c r="BS1031" s="219"/>
    </row>
    <row r="1032" spans="1:71" s="673" customFormat="1" ht="15">
      <c r="A1032" s="752"/>
      <c r="B1032" s="951"/>
      <c r="C1032" s="747"/>
      <c r="D1032" s="747"/>
      <c r="E1032" s="951"/>
      <c r="F1032" s="951"/>
      <c r="G1032" s="951"/>
      <c r="H1032" s="951"/>
      <c r="I1032" s="951"/>
      <c r="J1032" s="951"/>
      <c r="K1032" s="951"/>
      <c r="L1032" s="951"/>
      <c r="M1032" s="951"/>
      <c r="N1032" s="951"/>
      <c r="O1032" s="951"/>
      <c r="P1032" s="951"/>
      <c r="Q1032" s="951"/>
      <c r="R1032" s="951"/>
      <c r="S1032" s="951"/>
      <c r="T1032" s="951"/>
      <c r="U1032" s="951"/>
      <c r="V1032" s="951"/>
      <c r="W1032" s="951"/>
      <c r="X1032" s="951"/>
      <c r="Y1032" s="951"/>
      <c r="Z1032" s="951"/>
      <c r="AA1032" s="951"/>
      <c r="AB1032" s="951"/>
      <c r="AC1032" s="951"/>
      <c r="AD1032" s="951"/>
      <c r="AE1032" s="951"/>
      <c r="AF1032" s="951"/>
      <c r="AG1032" s="951"/>
      <c r="AH1032" s="951"/>
      <c r="AI1032" s="951"/>
      <c r="AJ1032" s="951"/>
      <c r="AK1032" s="951"/>
      <c r="AL1032" s="951"/>
      <c r="AM1032" s="951"/>
      <c r="AN1032" s="951"/>
      <c r="AO1032" s="951"/>
      <c r="AP1032" s="951"/>
      <c r="AQ1032" s="951"/>
      <c r="AR1032" s="951"/>
      <c r="AS1032" s="951"/>
      <c r="AT1032" s="951"/>
      <c r="AU1032" s="951"/>
      <c r="AV1032" s="951"/>
      <c r="AW1032" s="951"/>
      <c r="AX1032" s="951"/>
      <c r="AY1032" s="951"/>
      <c r="AZ1032" s="951"/>
      <c r="BA1032" s="951"/>
      <c r="BB1032" s="951"/>
      <c r="BC1032" s="951"/>
      <c r="BD1032" s="951"/>
      <c r="BE1032" s="951"/>
      <c r="BF1032" s="951"/>
      <c r="BG1032" s="951"/>
      <c r="BH1032" s="748"/>
      <c r="BI1032" s="951"/>
      <c r="BJ1032" s="951"/>
      <c r="BK1032" s="951"/>
      <c r="BL1032" s="951"/>
      <c r="BM1032" s="951"/>
      <c r="BN1032" s="951"/>
      <c r="BO1032" s="951"/>
      <c r="BP1032" s="951"/>
      <c r="BQ1032" s="951"/>
      <c r="BR1032" s="749"/>
      <c r="BS1032" s="219"/>
    </row>
    <row r="1033" spans="1:71" s="673" customFormat="1" ht="15">
      <c r="A1033" s="440"/>
      <c r="B1033" s="447"/>
      <c r="C1033" s="454"/>
      <c r="D1033" s="454"/>
      <c r="E1033" s="447"/>
      <c r="F1033" s="447"/>
      <c r="G1033" s="447"/>
      <c r="H1033" s="447"/>
      <c r="I1033" s="447"/>
      <c r="J1033" s="447"/>
      <c r="K1033" s="447"/>
      <c r="L1033" s="447"/>
      <c r="M1033" s="447"/>
      <c r="N1033" s="447"/>
      <c r="O1033" s="447"/>
      <c r="P1033" s="447"/>
      <c r="Q1033" s="447"/>
      <c r="R1033" s="447"/>
      <c r="S1033" s="447"/>
      <c r="T1033" s="447"/>
      <c r="U1033" s="447"/>
      <c r="V1033" s="447"/>
      <c r="W1033" s="447"/>
      <c r="X1033" s="447"/>
      <c r="Y1033" s="447"/>
      <c r="Z1033" s="447"/>
      <c r="AA1033" s="447"/>
      <c r="AB1033" s="447"/>
      <c r="AC1033" s="447"/>
      <c r="AD1033" s="447"/>
      <c r="AE1033" s="447"/>
      <c r="AF1033" s="447"/>
      <c r="AG1033" s="447"/>
      <c r="AH1033" s="447"/>
      <c r="AI1033" s="447"/>
      <c r="AJ1033" s="447"/>
      <c r="AK1033" s="447"/>
      <c r="AL1033" s="447"/>
      <c r="AM1033" s="447"/>
      <c r="AN1033" s="447"/>
      <c r="AO1033" s="447"/>
      <c r="AP1033" s="447"/>
      <c r="AQ1033" s="447"/>
      <c r="AR1033" s="447"/>
      <c r="AS1033" s="447"/>
      <c r="AT1033" s="447"/>
      <c r="AU1033" s="447"/>
      <c r="AV1033" s="447"/>
      <c r="AW1033" s="447"/>
      <c r="AX1033" s="447"/>
      <c r="AY1033" s="447"/>
      <c r="AZ1033" s="447"/>
      <c r="BA1033" s="447"/>
      <c r="BB1033" s="447"/>
      <c r="BC1033" s="447"/>
      <c r="BD1033" s="447"/>
      <c r="BE1033" s="447"/>
      <c r="BF1033" s="447"/>
      <c r="BG1033" s="447"/>
      <c r="BH1033" s="455"/>
      <c r="BI1033" s="447"/>
      <c r="BJ1033" s="447"/>
      <c r="BK1033" s="447"/>
      <c r="BL1033" s="447"/>
      <c r="BM1033" s="447"/>
      <c r="BN1033" s="447"/>
      <c r="BO1033" s="447"/>
      <c r="BP1033" s="447"/>
      <c r="BQ1033" s="447"/>
      <c r="BR1033" s="447"/>
      <c r="BS1033" s="219"/>
    </row>
    <row r="1034" spans="1:71" s="673" customFormat="1" ht="15">
      <c r="A1034" s="750" t="s">
        <v>745</v>
      </c>
      <c r="B1034" s="743"/>
      <c r="C1034" s="744"/>
      <c r="D1034" s="744"/>
      <c r="E1034" s="743"/>
      <c r="F1034" s="743"/>
      <c r="G1034" s="743"/>
      <c r="H1034" s="743"/>
      <c r="I1034" s="743"/>
      <c r="J1034" s="743"/>
      <c r="K1034" s="743"/>
      <c r="L1034" s="743"/>
      <c r="M1034" s="743"/>
      <c r="N1034" s="743"/>
      <c r="O1034" s="743"/>
      <c r="P1034" s="743"/>
      <c r="Q1034" s="743"/>
      <c r="R1034" s="743"/>
      <c r="S1034" s="743"/>
      <c r="T1034" s="743"/>
      <c r="U1034" s="743"/>
      <c r="V1034" s="743"/>
      <c r="W1034" s="743"/>
      <c r="X1034" s="743"/>
      <c r="Y1034" s="743"/>
      <c r="Z1034" s="743"/>
      <c r="AA1034" s="743"/>
      <c r="AB1034" s="743"/>
      <c r="AC1034" s="743"/>
      <c r="AD1034" s="743"/>
      <c r="AE1034" s="743"/>
      <c r="AF1034" s="743"/>
      <c r="AG1034" s="743"/>
      <c r="AH1034" s="743"/>
      <c r="AI1034" s="743"/>
      <c r="AJ1034" s="743"/>
      <c r="AK1034" s="743"/>
      <c r="AL1034" s="743"/>
      <c r="AM1034" s="743"/>
      <c r="AN1034" s="743"/>
      <c r="AO1034" s="743"/>
      <c r="AP1034" s="743"/>
      <c r="AQ1034" s="743"/>
      <c r="AR1034" s="743"/>
      <c r="AS1034" s="743"/>
      <c r="AT1034" s="743"/>
      <c r="AU1034" s="743"/>
      <c r="AV1034" s="743"/>
      <c r="AW1034" s="743"/>
      <c r="AX1034" s="743"/>
      <c r="AY1034" s="743"/>
      <c r="AZ1034" s="743"/>
      <c r="BA1034" s="743"/>
      <c r="BB1034" s="743"/>
      <c r="BC1034" s="743"/>
      <c r="BD1034" s="743"/>
      <c r="BE1034" s="743"/>
      <c r="BF1034" s="743"/>
      <c r="BG1034" s="743"/>
      <c r="BH1034" s="745"/>
      <c r="BI1034" s="743"/>
      <c r="BJ1034" s="743"/>
      <c r="BK1034" s="743"/>
      <c r="BL1034" s="743"/>
      <c r="BM1034" s="743"/>
      <c r="BN1034" s="743"/>
      <c r="BO1034" s="743"/>
      <c r="BP1034" s="743"/>
      <c r="BQ1034" s="743"/>
      <c r="BR1034" s="746"/>
      <c r="BS1034" s="219"/>
    </row>
    <row r="1035" spans="1:71" s="673" customFormat="1" ht="15">
      <c r="A1035" s="751" t="s">
        <v>743</v>
      </c>
      <c r="B1035" s="945"/>
      <c r="C1035" s="753"/>
      <c r="D1035" s="753"/>
      <c r="E1035" s="754"/>
      <c r="F1035" s="754"/>
      <c r="G1035" s="754"/>
      <c r="H1035" s="754"/>
      <c r="I1035" s="754"/>
      <c r="J1035" s="754"/>
      <c r="K1035" s="754"/>
      <c r="L1035" s="754"/>
      <c r="M1035" s="754"/>
      <c r="N1035" s="754"/>
      <c r="O1035" s="754"/>
      <c r="P1035" s="754"/>
      <c r="Q1035" s="754"/>
      <c r="R1035" s="754"/>
      <c r="S1035" s="754"/>
      <c r="T1035" s="754"/>
      <c r="U1035" s="754"/>
      <c r="V1035" s="754"/>
      <c r="W1035" s="754"/>
      <c r="X1035" s="754"/>
      <c r="Y1035" s="754"/>
      <c r="Z1035" s="754"/>
      <c r="AA1035" s="754"/>
      <c r="AB1035" s="754"/>
      <c r="AC1035" s="754"/>
      <c r="AD1035" s="754"/>
      <c r="AE1035" s="754"/>
      <c r="AF1035" s="754"/>
      <c r="AG1035" s="754"/>
      <c r="AH1035" s="754"/>
      <c r="AI1035" s="754"/>
      <c r="AJ1035" s="754"/>
      <c r="AK1035" s="754"/>
      <c r="AL1035" s="754"/>
      <c r="AM1035" s="754"/>
      <c r="AN1035" s="754"/>
      <c r="AO1035" s="754"/>
      <c r="AP1035" s="754"/>
      <c r="AQ1035" s="754"/>
      <c r="AR1035" s="754"/>
      <c r="AS1035" s="754"/>
      <c r="AT1035" s="754"/>
      <c r="AU1035" s="754"/>
      <c r="AV1035" s="754"/>
      <c r="AW1035" s="754"/>
      <c r="AX1035" s="754"/>
      <c r="AY1035" s="754"/>
      <c r="AZ1035" s="754"/>
      <c r="BA1035" s="754"/>
      <c r="BB1035" s="754"/>
      <c r="BC1035" s="754"/>
      <c r="BD1035" s="754"/>
      <c r="BE1035" s="754"/>
      <c r="BF1035" s="754"/>
      <c r="BG1035" s="754"/>
      <c r="BH1035" s="755"/>
      <c r="BI1035" s="754"/>
      <c r="BJ1035" s="754"/>
      <c r="BK1035" s="754"/>
      <c r="BL1035" s="754"/>
      <c r="BM1035" s="754"/>
      <c r="BN1035" s="754"/>
      <c r="BO1035" s="754"/>
      <c r="BP1035" s="754"/>
      <c r="BQ1035" s="754"/>
      <c r="BR1035" s="756"/>
      <c r="BS1035" s="219"/>
    </row>
    <row r="1036" spans="1:71" s="673" customFormat="1" ht="15">
      <c r="A1036" s="751" t="s">
        <v>746</v>
      </c>
      <c r="B1036" s="945"/>
      <c r="C1036" s="757"/>
      <c r="D1036" s="757"/>
      <c r="E1036" s="758"/>
      <c r="F1036" s="758"/>
      <c r="G1036" s="758"/>
      <c r="H1036" s="758"/>
      <c r="I1036" s="758"/>
      <c r="J1036" s="758"/>
      <c r="K1036" s="758"/>
      <c r="L1036" s="758"/>
      <c r="M1036" s="758"/>
      <c r="N1036" s="758"/>
      <c r="O1036" s="758"/>
      <c r="P1036" s="758"/>
      <c r="Q1036" s="758"/>
      <c r="R1036" s="758"/>
      <c r="S1036" s="758"/>
      <c r="T1036" s="758"/>
      <c r="U1036" s="758"/>
      <c r="V1036" s="758"/>
      <c r="W1036" s="758"/>
      <c r="X1036" s="758"/>
      <c r="Y1036" s="758"/>
      <c r="Z1036" s="758"/>
      <c r="AA1036" s="758"/>
      <c r="AB1036" s="758"/>
      <c r="AC1036" s="758"/>
      <c r="AD1036" s="758"/>
      <c r="AE1036" s="758"/>
      <c r="AF1036" s="758"/>
      <c r="AG1036" s="758"/>
      <c r="AH1036" s="758"/>
      <c r="AI1036" s="758"/>
      <c r="AJ1036" s="758"/>
      <c r="AK1036" s="758"/>
      <c r="AL1036" s="758"/>
      <c r="AM1036" s="758"/>
      <c r="AN1036" s="758"/>
      <c r="AO1036" s="758"/>
      <c r="AP1036" s="758"/>
      <c r="AQ1036" s="758"/>
      <c r="AR1036" s="758"/>
      <c r="AS1036" s="758"/>
      <c r="AT1036" s="758"/>
      <c r="AU1036" s="758"/>
      <c r="AV1036" s="758"/>
      <c r="AW1036" s="758"/>
      <c r="AX1036" s="758"/>
      <c r="AY1036" s="758"/>
      <c r="AZ1036" s="758"/>
      <c r="BA1036" s="758"/>
      <c r="BB1036" s="758"/>
      <c r="BC1036" s="758"/>
      <c r="BD1036" s="758"/>
      <c r="BE1036" s="758"/>
      <c r="BF1036" s="758"/>
      <c r="BG1036" s="758"/>
      <c r="BH1036" s="759"/>
      <c r="BI1036" s="758"/>
      <c r="BJ1036" s="758"/>
      <c r="BK1036" s="758"/>
      <c r="BL1036" s="758"/>
      <c r="BM1036" s="758"/>
      <c r="BN1036" s="758"/>
      <c r="BO1036" s="758"/>
      <c r="BP1036" s="758"/>
      <c r="BQ1036" s="758"/>
      <c r="BR1036" s="760"/>
      <c r="BS1036" s="219"/>
    </row>
    <row r="1037" spans="1:71" s="673" customFormat="1" ht="15">
      <c r="A1037" s="751" t="s">
        <v>744</v>
      </c>
      <c r="B1037" s="945"/>
      <c r="C1037" s="757"/>
      <c r="D1037" s="757"/>
      <c r="E1037" s="758"/>
      <c r="F1037" s="758"/>
      <c r="G1037" s="758"/>
      <c r="H1037" s="758"/>
      <c r="I1037" s="758"/>
      <c r="J1037" s="758"/>
      <c r="K1037" s="758"/>
      <c r="L1037" s="758"/>
      <c r="M1037" s="758"/>
      <c r="N1037" s="758"/>
      <c r="O1037" s="758"/>
      <c r="P1037" s="758"/>
      <c r="Q1037" s="758"/>
      <c r="R1037" s="758"/>
      <c r="S1037" s="758"/>
      <c r="T1037" s="758"/>
      <c r="U1037" s="758"/>
      <c r="V1037" s="758"/>
      <c r="W1037" s="758"/>
      <c r="X1037" s="758"/>
      <c r="Y1037" s="758"/>
      <c r="Z1037" s="758"/>
      <c r="AA1037" s="758"/>
      <c r="AB1037" s="758"/>
      <c r="AC1037" s="758"/>
      <c r="AD1037" s="758"/>
      <c r="AE1037" s="758"/>
      <c r="AF1037" s="758"/>
      <c r="AG1037" s="758"/>
      <c r="AH1037" s="758"/>
      <c r="AI1037" s="758"/>
      <c r="AJ1037" s="758"/>
      <c r="AK1037" s="758"/>
      <c r="AL1037" s="758"/>
      <c r="AM1037" s="758"/>
      <c r="AN1037" s="758"/>
      <c r="AO1037" s="758"/>
      <c r="AP1037" s="758"/>
      <c r="AQ1037" s="758"/>
      <c r="AR1037" s="758"/>
      <c r="AS1037" s="758"/>
      <c r="AT1037" s="758"/>
      <c r="AU1037" s="758"/>
      <c r="AV1037" s="758"/>
      <c r="AW1037" s="758"/>
      <c r="AX1037" s="758"/>
      <c r="AY1037" s="758"/>
      <c r="AZ1037" s="758"/>
      <c r="BA1037" s="758"/>
      <c r="BB1037" s="758"/>
      <c r="BC1037" s="758"/>
      <c r="BD1037" s="758"/>
      <c r="BE1037" s="758"/>
      <c r="BF1037" s="758"/>
      <c r="BG1037" s="758"/>
      <c r="BH1037" s="759"/>
      <c r="BI1037" s="758"/>
      <c r="BJ1037" s="758"/>
      <c r="BK1037" s="758"/>
      <c r="BL1037" s="758"/>
      <c r="BM1037" s="758"/>
      <c r="BN1037" s="758"/>
      <c r="BO1037" s="758"/>
      <c r="BP1037" s="758"/>
      <c r="BQ1037" s="758"/>
      <c r="BR1037" s="760"/>
      <c r="BS1037" s="219"/>
    </row>
    <row r="1038" spans="1:71" s="673" customFormat="1" ht="15">
      <c r="A1038" s="752"/>
      <c r="B1038" s="951"/>
      <c r="C1038" s="747"/>
      <c r="D1038" s="747"/>
      <c r="E1038" s="951"/>
      <c r="F1038" s="951"/>
      <c r="G1038" s="951"/>
      <c r="H1038" s="951"/>
      <c r="I1038" s="951"/>
      <c r="J1038" s="951"/>
      <c r="K1038" s="951"/>
      <c r="L1038" s="951"/>
      <c r="M1038" s="951"/>
      <c r="N1038" s="951"/>
      <c r="O1038" s="951"/>
      <c r="P1038" s="951"/>
      <c r="Q1038" s="951"/>
      <c r="R1038" s="951"/>
      <c r="S1038" s="951"/>
      <c r="T1038" s="951"/>
      <c r="U1038" s="951"/>
      <c r="V1038" s="951"/>
      <c r="W1038" s="951"/>
      <c r="X1038" s="951"/>
      <c r="Y1038" s="951"/>
      <c r="Z1038" s="951"/>
      <c r="AA1038" s="951"/>
      <c r="AB1038" s="951"/>
      <c r="AC1038" s="951"/>
      <c r="AD1038" s="951"/>
      <c r="AE1038" s="951"/>
      <c r="AF1038" s="951"/>
      <c r="AG1038" s="951"/>
      <c r="AH1038" s="951"/>
      <c r="AI1038" s="951"/>
      <c r="AJ1038" s="951"/>
      <c r="AK1038" s="951"/>
      <c r="AL1038" s="951"/>
      <c r="AM1038" s="951"/>
      <c r="AN1038" s="951"/>
      <c r="AO1038" s="951"/>
      <c r="AP1038" s="951"/>
      <c r="AQ1038" s="951"/>
      <c r="AR1038" s="951"/>
      <c r="AS1038" s="951"/>
      <c r="AT1038" s="951"/>
      <c r="AU1038" s="951"/>
      <c r="AV1038" s="951"/>
      <c r="AW1038" s="951"/>
      <c r="AX1038" s="951"/>
      <c r="AY1038" s="951"/>
      <c r="AZ1038" s="951"/>
      <c r="BA1038" s="951"/>
      <c r="BB1038" s="951"/>
      <c r="BC1038" s="951"/>
      <c r="BD1038" s="951"/>
      <c r="BE1038" s="951"/>
      <c r="BF1038" s="951"/>
      <c r="BG1038" s="951"/>
      <c r="BH1038" s="748"/>
      <c r="BI1038" s="951"/>
      <c r="BJ1038" s="951"/>
      <c r="BK1038" s="951"/>
      <c r="BL1038" s="951"/>
      <c r="BM1038" s="951"/>
      <c r="BN1038" s="951"/>
      <c r="BO1038" s="951"/>
      <c r="BP1038" s="951"/>
      <c r="BQ1038" s="951"/>
      <c r="BR1038" s="749"/>
      <c r="BS1038" s="219"/>
    </row>
    <row r="1039" spans="1:71" s="673" customFormat="1" ht="15">
      <c r="A1039" s="440"/>
      <c r="B1039" s="447"/>
      <c r="C1039" s="454"/>
      <c r="D1039" s="454"/>
      <c r="E1039" s="447"/>
      <c r="F1039" s="447"/>
      <c r="G1039" s="447"/>
      <c r="H1039" s="447"/>
      <c r="I1039" s="447"/>
      <c r="J1039" s="447"/>
      <c r="K1039" s="447"/>
      <c r="L1039" s="447"/>
      <c r="M1039" s="447"/>
      <c r="N1039" s="447"/>
      <c r="O1039" s="447"/>
      <c r="P1039" s="447"/>
      <c r="Q1039" s="447"/>
      <c r="R1039" s="447"/>
      <c r="S1039" s="447"/>
      <c r="T1039" s="447"/>
      <c r="U1039" s="447"/>
      <c r="V1039" s="447"/>
      <c r="W1039" s="447"/>
      <c r="X1039" s="447"/>
      <c r="Y1039" s="447"/>
      <c r="Z1039" s="447"/>
      <c r="AA1039" s="447"/>
      <c r="AB1039" s="447"/>
      <c r="AC1039" s="447"/>
      <c r="AD1039" s="447"/>
      <c r="AE1039" s="447"/>
      <c r="AF1039" s="447"/>
      <c r="AG1039" s="447"/>
      <c r="AH1039" s="447"/>
      <c r="AI1039" s="447"/>
      <c r="AJ1039" s="447"/>
      <c r="AK1039" s="447"/>
      <c r="AL1039" s="447"/>
      <c r="AM1039" s="447"/>
      <c r="AN1039" s="447"/>
      <c r="AO1039" s="447"/>
      <c r="AP1039" s="447"/>
      <c r="AQ1039" s="447"/>
      <c r="AR1039" s="447"/>
      <c r="AS1039" s="447"/>
      <c r="AT1039" s="447"/>
      <c r="AU1039" s="447"/>
      <c r="AV1039" s="447"/>
      <c r="AW1039" s="447"/>
      <c r="AX1039" s="447"/>
      <c r="AY1039" s="447"/>
      <c r="AZ1039" s="447"/>
      <c r="BA1039" s="447"/>
      <c r="BB1039" s="447"/>
      <c r="BC1039" s="447"/>
      <c r="BD1039" s="447"/>
      <c r="BE1039" s="447"/>
      <c r="BF1039" s="447"/>
      <c r="BG1039" s="447"/>
      <c r="BH1039" s="455"/>
      <c r="BI1039" s="447"/>
      <c r="BJ1039" s="447"/>
      <c r="BK1039" s="447"/>
      <c r="BL1039" s="447"/>
      <c r="BM1039" s="447"/>
      <c r="BN1039" s="447"/>
      <c r="BO1039" s="447"/>
      <c r="BP1039" s="447"/>
      <c r="BQ1039" s="447"/>
      <c r="BR1039" s="447"/>
      <c r="BS1039" s="219"/>
    </row>
    <row r="1040" spans="1:71" s="668" customFormat="1" ht="15">
      <c r="A1040" s="1169" t="s">
        <v>257</v>
      </c>
      <c r="B1040" s="1054"/>
      <c r="C1040" s="1054"/>
      <c r="D1040" s="1054"/>
      <c r="E1040" s="1054"/>
      <c r="F1040" s="1054"/>
      <c r="G1040" s="1054"/>
      <c r="H1040" s="1054"/>
      <c r="I1040" s="1054"/>
      <c r="J1040" s="1054"/>
      <c r="K1040" s="1054"/>
      <c r="L1040" s="1054"/>
      <c r="M1040" s="1054"/>
      <c r="N1040" s="1054"/>
      <c r="O1040" s="1054"/>
      <c r="P1040" s="1054"/>
      <c r="Q1040" s="1054"/>
      <c r="R1040" s="1054"/>
      <c r="S1040" s="1054"/>
      <c r="T1040" s="1054"/>
      <c r="U1040" s="1054"/>
      <c r="V1040" s="1054"/>
      <c r="W1040" s="1054"/>
      <c r="X1040" s="1054"/>
      <c r="Y1040" s="1054"/>
      <c r="Z1040" s="1054"/>
      <c r="AA1040" s="1054"/>
      <c r="AB1040" s="1054"/>
      <c r="AC1040" s="1054"/>
      <c r="AD1040" s="1054"/>
      <c r="AE1040" s="1054"/>
      <c r="AF1040" s="1054"/>
      <c r="AG1040" s="1054"/>
      <c r="AH1040" s="1054"/>
      <c r="AI1040" s="1054"/>
      <c r="AJ1040" s="1054"/>
      <c r="AK1040" s="1054"/>
      <c r="AL1040" s="1054"/>
      <c r="AM1040" s="1054"/>
      <c r="AN1040" s="1054"/>
      <c r="AO1040" s="1054"/>
      <c r="AP1040" s="1054"/>
      <c r="AQ1040" s="1054"/>
      <c r="AR1040" s="1054"/>
      <c r="AS1040" s="1054"/>
      <c r="AT1040" s="1054"/>
      <c r="AU1040" s="1054"/>
      <c r="AV1040" s="1054"/>
      <c r="AW1040" s="1054"/>
      <c r="AX1040" s="1054"/>
      <c r="AY1040" s="1054"/>
      <c r="AZ1040" s="1054"/>
      <c r="BA1040" s="1054"/>
      <c r="BB1040" s="1054"/>
      <c r="BC1040" s="1054"/>
      <c r="BD1040" s="1054"/>
      <c r="BE1040" s="1054"/>
      <c r="BF1040" s="1054"/>
      <c r="BG1040" s="1054"/>
      <c r="BH1040" s="1100"/>
      <c r="BI1040" s="1054" t="str">
        <f t="shared" si="1963" ref="BI1040:BR1040">BI5</f>
        <v>Q4-2024</v>
      </c>
      <c r="BJ1040" s="1054" t="str">
        <f t="shared" si="1963"/>
        <v>FY2024</v>
      </c>
      <c r="BK1040" s="1054" t="str">
        <f t="shared" si="1963"/>
        <v>Q1-2025</v>
      </c>
      <c r="BL1040" s="1054" t="str">
        <f t="shared" si="1963"/>
        <v>Q2-2025</v>
      </c>
      <c r="BM1040" s="1054" t="str">
        <f t="shared" si="1963"/>
        <v>Q3-2025</v>
      </c>
      <c r="BN1040" s="1054" t="str">
        <f t="shared" si="1963"/>
        <v>Q4-2025</v>
      </c>
      <c r="BO1040" s="1054" t="str">
        <f t="shared" si="1963"/>
        <v>FY2025</v>
      </c>
      <c r="BP1040" s="1054" t="str">
        <f t="shared" si="1963"/>
        <v>FY2026</v>
      </c>
      <c r="BQ1040" s="1054" t="str">
        <f t="shared" si="1963"/>
        <v>FY2027</v>
      </c>
      <c r="BR1040" s="1170" t="str">
        <f t="shared" si="1963"/>
        <v>FY2028</v>
      </c>
      <c r="BS1040" s="262"/>
    </row>
    <row r="1041" spans="1:71" s="668" customFormat="1" ht="15">
      <c r="A1041" s="1171" t="s">
        <v>258</v>
      </c>
      <c r="B1041" s="1031"/>
      <c r="C1041" s="1031"/>
      <c r="D1041" s="1031"/>
      <c r="E1041" s="1031"/>
      <c r="F1041" s="1031"/>
      <c r="G1041" s="1031"/>
      <c r="H1041" s="1031"/>
      <c r="I1041" s="1031"/>
      <c r="J1041" s="1031"/>
      <c r="K1041" s="1031"/>
      <c r="L1041" s="1031"/>
      <c r="M1041" s="1031"/>
      <c r="N1041" s="1031"/>
      <c r="O1041" s="1031"/>
      <c r="P1041" s="1031"/>
      <c r="Q1041" s="1031"/>
      <c r="R1041" s="1031"/>
      <c r="S1041" s="1031"/>
      <c r="T1041" s="1031"/>
      <c r="U1041" s="1031"/>
      <c r="V1041" s="1031"/>
      <c r="W1041" s="1031"/>
      <c r="X1041" s="1031"/>
      <c r="Y1041" s="1031"/>
      <c r="Z1041" s="1031"/>
      <c r="AA1041" s="1031"/>
      <c r="AB1041" s="1031"/>
      <c r="AC1041" s="1031"/>
      <c r="AD1041" s="1031"/>
      <c r="AE1041" s="1031"/>
      <c r="AF1041" s="1031"/>
      <c r="AG1041" s="1031"/>
      <c r="AH1041" s="1031"/>
      <c r="AI1041" s="1031"/>
      <c r="AJ1041" s="1031"/>
      <c r="AK1041" s="1031"/>
      <c r="AL1041" s="1031"/>
      <c r="AM1041" s="1031"/>
      <c r="AN1041" s="1031"/>
      <c r="AO1041" s="1031"/>
      <c r="AP1041" s="1031"/>
      <c r="AQ1041" s="1031"/>
      <c r="AR1041" s="1031"/>
      <c r="AS1041" s="1031"/>
      <c r="AT1041" s="1031"/>
      <c r="AU1041" s="1031"/>
      <c r="AV1041" s="1031"/>
      <c r="AW1041" s="1031"/>
      <c r="AX1041" s="1031"/>
      <c r="AY1041" s="1031"/>
      <c r="AZ1041" s="1031"/>
      <c r="BA1041" s="1031"/>
      <c r="BB1041" s="1031"/>
      <c r="BC1041" s="1031"/>
      <c r="BD1041" s="1031"/>
      <c r="BE1041" s="1031"/>
      <c r="BF1041" s="1031"/>
      <c r="BG1041" s="1031"/>
      <c r="BH1041" s="1049"/>
      <c r="BI1041" s="1031" t="str">
        <f ca="1">IF(MO.DataSourceIndex=3,IF(LEFT(INDIRECT(ADDRESS(ROW()-1,COLUMN())),2)="FY","ANNUAL",IF(LEFT(INDIRECT(ADDRESS(ROW()-1,COLUMN())),1)="Q","QUARTERLY","")),IF(LEFT(INDIRECT(ADDRESS(ROW()-1,COLUMN())),2)="FY","FY",IF(LEFT(INDIRECT(ADDRESS(ROW()-1,COLUMN())),1)="Q","FQ","FH")))</f>
        <v>FQ</v>
      </c>
      <c r="BJ1041" s="1031" t="str">
        <f ca="1" t="shared" si="1964" ref="BJ1041">IF(MO.DataSourceIndex=3,IF(LEFT(INDIRECT(ADDRESS(ROW()-1,COLUMN())),2)="FY","ANNUAL",IF(LEFT(INDIRECT(ADDRESS(ROW()-1,COLUMN())),1)="Q","QUARTERLY","")),IF(LEFT(INDIRECT(ADDRESS(ROW()-1,COLUMN())),2)="FY","FY",IF(LEFT(INDIRECT(ADDRESS(ROW()-1,COLUMN())),1)="Q","FQ","FH")))</f>
        <v>FY</v>
      </c>
      <c r="BK1041" s="1031" t="str">
        <f ca="1" t="shared" si="1965" ref="BK1041:BR1041">IF(MO.DataSourceIndex=3,IF(LEFT(INDIRECT(ADDRESS(ROW()-1,COLUMN())),2)="FY","ANNUAL",IF(LEFT(INDIRECT(ADDRESS(ROW()-1,COLUMN())),1)="Q","QUARTERLY","")),IF(LEFT(INDIRECT(ADDRESS(ROW()-1,COLUMN())),2)="FY","FY",IF(LEFT(INDIRECT(ADDRESS(ROW()-1,COLUMN())),1)="Q","FQ","FH")))</f>
        <v>FQ</v>
      </c>
      <c r="BL1041" s="1031" t="str">
        <f t="shared" ca="1" si="1965"/>
        <v>FQ</v>
      </c>
      <c r="BM1041" s="1031" t="str">
        <f t="shared" ca="1" si="1965"/>
        <v>FQ</v>
      </c>
      <c r="BN1041" s="1031" t="str">
        <f t="shared" ca="1" si="1965"/>
        <v>FQ</v>
      </c>
      <c r="BO1041" s="1031" t="str">
        <f t="shared" ca="1" si="1965"/>
        <v>FY</v>
      </c>
      <c r="BP1041" s="1031" t="str">
        <f t="shared" ca="1" si="1965"/>
        <v>FY</v>
      </c>
      <c r="BQ1041" s="1031" t="str">
        <f t="shared" ca="1" si="1965"/>
        <v>FY</v>
      </c>
      <c r="BR1041" s="1172" t="str">
        <f t="shared" ca="1" si="1965"/>
        <v>FY</v>
      </c>
      <c r="BS1041" s="262"/>
    </row>
    <row r="1042" spans="1:71" s="668" customFormat="1" ht="15">
      <c r="A1042" s="1171" t="s">
        <v>259</v>
      </c>
      <c r="B1042" s="1031"/>
      <c r="C1042" s="1031"/>
      <c r="D1042" s="1031"/>
      <c r="E1042" s="1031"/>
      <c r="F1042" s="1031"/>
      <c r="G1042" s="1031"/>
      <c r="H1042" s="1031"/>
      <c r="I1042" s="1031"/>
      <c r="J1042" s="1031"/>
      <c r="K1042" s="1031"/>
      <c r="L1042" s="1031"/>
      <c r="M1042" s="1031"/>
      <c r="N1042" s="1031"/>
      <c r="O1042" s="1031"/>
      <c r="P1042" s="1031"/>
      <c r="Q1042" s="1031"/>
      <c r="R1042" s="1031"/>
      <c r="S1042" s="1031"/>
      <c r="T1042" s="1031"/>
      <c r="U1042" s="1031"/>
      <c r="V1042" s="1031"/>
      <c r="W1042" s="1031"/>
      <c r="X1042" s="1031"/>
      <c r="Y1042" s="1031"/>
      <c r="Z1042" s="1031"/>
      <c r="AA1042" s="1031"/>
      <c r="AB1042" s="1031"/>
      <c r="AC1042" s="1031"/>
      <c r="AD1042" s="1031"/>
      <c r="AE1042" s="1031"/>
      <c r="AF1042" s="1031"/>
      <c r="AG1042" s="1031"/>
      <c r="AH1042" s="1031"/>
      <c r="AI1042" s="1031"/>
      <c r="AJ1042" s="1031"/>
      <c r="AK1042" s="1031"/>
      <c r="AL1042" s="1031"/>
      <c r="AM1042" s="1031"/>
      <c r="AN1042" s="1031"/>
      <c r="AO1042" s="1031"/>
      <c r="AP1042" s="1031"/>
      <c r="AQ1042" s="1031"/>
      <c r="AR1042" s="1031"/>
      <c r="AS1042" s="1031"/>
      <c r="AT1042" s="1031"/>
      <c r="AU1042" s="1031"/>
      <c r="AV1042" s="1031"/>
      <c r="AW1042" s="1031"/>
      <c r="AX1042" s="1031"/>
      <c r="AY1042" s="1031"/>
      <c r="AZ1042" s="1031"/>
      <c r="BA1042" s="1031"/>
      <c r="BB1042" s="1031"/>
      <c r="BC1042" s="1031"/>
      <c r="BD1042" s="1031"/>
      <c r="BE1042" s="1031"/>
      <c r="BF1042" s="1031"/>
      <c r="BG1042" s="1031"/>
      <c r="BH1042" s="1049"/>
      <c r="BI1042" s="1031">
        <f ca="1">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J1042" s="1031">
        <f ca="1" t="shared" si="1966" ref="BJ1042">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K1042" s="1031">
        <f ca="1" t="shared" si="1967" ref="BK1042:BR1042">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2</v>
      </c>
      <c r="BL1042" s="1031">
        <f t="shared" ca="1" si="1967"/>
        <v>3</v>
      </c>
      <c r="BM1042" s="1031">
        <f t="shared" ca="1" si="1967"/>
        <v>4</v>
      </c>
      <c r="BN1042" s="1031">
        <f t="shared" ca="1" si="1967"/>
        <v>5</v>
      </c>
      <c r="BO1042" s="1031">
        <f t="shared" ca="1" si="1967"/>
        <v>2</v>
      </c>
      <c r="BP1042" s="1031">
        <f t="shared" ca="1" si="1967"/>
        <v>3</v>
      </c>
      <c r="BQ1042" s="1031">
        <f t="shared" ca="1" si="1967"/>
        <v>4</v>
      </c>
      <c r="BR1042" s="1172">
        <f t="shared" ca="1" si="1967"/>
        <v>5</v>
      </c>
      <c r="BS1042" s="262"/>
    </row>
    <row r="1043" spans="1:71" s="665" customFormat="1" ht="15">
      <c r="A1043" s="274" t="str">
        <f>$A$237</f>
        <v>Consensus Estimates - Total Net Earned Premiums, mm</v>
      </c>
      <c r="B1043" s="993"/>
      <c r="C1043" s="223"/>
      <c r="D1043" s="223"/>
      <c r="E1043" s="223"/>
      <c r="F1043" s="223"/>
      <c r="G1043" s="223"/>
      <c r="H1043" s="993"/>
      <c r="I1043" s="993"/>
      <c r="J1043" s="993"/>
      <c r="K1043" s="993"/>
      <c r="L1043" s="993"/>
      <c r="M1043" s="993"/>
      <c r="N1043" s="993"/>
      <c r="O1043" s="993"/>
      <c r="P1043" s="993"/>
      <c r="Q1043" s="993"/>
      <c r="R1043" s="993"/>
      <c r="S1043" s="993"/>
      <c r="T1043" s="993"/>
      <c r="U1043" s="993"/>
      <c r="V1043" s="993"/>
      <c r="W1043" s="993"/>
      <c r="X1043" s="993"/>
      <c r="Y1043" s="993"/>
      <c r="Z1043" s="993"/>
      <c r="AA1043" s="993"/>
      <c r="AB1043" s="993"/>
      <c r="AC1043" s="993"/>
      <c r="AD1043" s="993"/>
      <c r="AE1043" s="993"/>
      <c r="AF1043" s="993"/>
      <c r="AG1043" s="993"/>
      <c r="AH1043" s="993"/>
      <c r="AI1043" s="993"/>
      <c r="AJ1043" s="993"/>
      <c r="AK1043" s="993"/>
      <c r="AL1043" s="993"/>
      <c r="AM1043" s="993"/>
      <c r="AN1043" s="993"/>
      <c r="AO1043" s="993"/>
      <c r="AP1043" s="993"/>
      <c r="AQ1043" s="993"/>
      <c r="AR1043" s="993"/>
      <c r="AS1043" s="993"/>
      <c r="AT1043" s="993"/>
      <c r="AU1043" s="993"/>
      <c r="AV1043" s="993"/>
      <c r="AW1043" s="993"/>
      <c r="AX1043" s="993"/>
      <c r="AY1043" s="993"/>
      <c r="AZ1043" s="993"/>
      <c r="BA1043" s="993"/>
      <c r="BB1043" s="993"/>
      <c r="BC1043" s="993"/>
      <c r="BD1043" s="993"/>
      <c r="BE1043" s="993"/>
      <c r="BF1043" s="993"/>
      <c r="BG1043" s="993"/>
      <c r="BH1043" s="994"/>
      <c r="BI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J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K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L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M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N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O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P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Q1043" s="104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R1043" s="272"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S1043" s="263"/>
    </row>
    <row r="1044" spans="1:71" s="665" customFormat="1" ht="15">
      <c r="A1044" s="274" t="str">
        <f>$A$540</f>
        <v>Consensus Estimates - Total Underwriting Income, mm</v>
      </c>
      <c r="B1044" s="993"/>
      <c r="C1044" s="223"/>
      <c r="D1044" s="223"/>
      <c r="E1044" s="223"/>
      <c r="F1044" s="223"/>
      <c r="G1044" s="223"/>
      <c r="H1044" s="993"/>
      <c r="I1044" s="993"/>
      <c r="J1044" s="993"/>
      <c r="K1044" s="993"/>
      <c r="L1044" s="993"/>
      <c r="M1044" s="993"/>
      <c r="N1044" s="993"/>
      <c r="O1044" s="993"/>
      <c r="P1044" s="993"/>
      <c r="Q1044" s="993"/>
      <c r="R1044" s="993"/>
      <c r="S1044" s="993"/>
      <c r="T1044" s="993"/>
      <c r="U1044" s="993"/>
      <c r="V1044" s="993"/>
      <c r="W1044" s="993"/>
      <c r="X1044" s="993"/>
      <c r="Y1044" s="993"/>
      <c r="Z1044" s="993"/>
      <c r="AA1044" s="993"/>
      <c r="AB1044" s="993"/>
      <c r="AC1044" s="993"/>
      <c r="AD1044" s="993"/>
      <c r="AE1044" s="993"/>
      <c r="AF1044" s="993"/>
      <c r="AG1044" s="993"/>
      <c r="AH1044" s="993"/>
      <c r="AI1044" s="993"/>
      <c r="AJ1044" s="993"/>
      <c r="AK1044" s="993"/>
      <c r="AL1044" s="993"/>
      <c r="AM1044" s="993"/>
      <c r="AN1044" s="993"/>
      <c r="AO1044" s="993"/>
      <c r="AP1044" s="993"/>
      <c r="AQ1044" s="993"/>
      <c r="AR1044" s="993"/>
      <c r="AS1044" s="993"/>
      <c r="AT1044" s="993"/>
      <c r="AU1044" s="993"/>
      <c r="AV1044" s="993"/>
      <c r="AW1044" s="993"/>
      <c r="AX1044" s="993"/>
      <c r="AY1044" s="993"/>
      <c r="AZ1044" s="993"/>
      <c r="BA1044" s="993"/>
      <c r="BB1044" s="993"/>
      <c r="BC1044" s="993"/>
      <c r="BD1044" s="993"/>
      <c r="BE1044" s="993"/>
      <c r="BF1044" s="993"/>
      <c r="BG1044" s="993"/>
      <c r="BH1044" s="994"/>
      <c r="BI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J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K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L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M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N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O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P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Q1044" s="104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R1044" s="272"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S1044" s="263"/>
    </row>
    <row r="1045" spans="1:71" s="665" customFormat="1" ht="15">
      <c r="A1045" s="274" t="str">
        <f>$A$536</f>
        <v>Consensus Estimates - Total Combined Ratio, %</v>
      </c>
      <c r="B1045" s="993"/>
      <c r="C1045" s="224"/>
      <c r="D1045" s="224"/>
      <c r="E1045" s="224"/>
      <c r="F1045" s="224"/>
      <c r="G1045" s="224"/>
      <c r="H1045" s="993"/>
      <c r="I1045" s="993"/>
      <c r="J1045" s="993"/>
      <c r="K1045" s="993"/>
      <c r="L1045" s="993"/>
      <c r="M1045" s="993"/>
      <c r="N1045" s="993"/>
      <c r="O1045" s="993"/>
      <c r="P1045" s="993"/>
      <c r="Q1045" s="993"/>
      <c r="R1045" s="993"/>
      <c r="S1045" s="993"/>
      <c r="T1045" s="993"/>
      <c r="U1045" s="993"/>
      <c r="V1045" s="993"/>
      <c r="W1045" s="993"/>
      <c r="X1045" s="993"/>
      <c r="Y1045" s="993"/>
      <c r="Z1045" s="993"/>
      <c r="AA1045" s="993"/>
      <c r="AB1045" s="993"/>
      <c r="AC1045" s="993"/>
      <c r="AD1045" s="993"/>
      <c r="AE1045" s="993"/>
      <c r="AF1045" s="993"/>
      <c r="AG1045" s="993"/>
      <c r="AH1045" s="993"/>
      <c r="AI1045" s="993"/>
      <c r="AJ1045" s="993"/>
      <c r="AK1045" s="993"/>
      <c r="AL1045" s="993"/>
      <c r="AM1045" s="993"/>
      <c r="AN1045" s="993"/>
      <c r="AO1045" s="993"/>
      <c r="AP1045" s="993"/>
      <c r="AQ1045" s="993"/>
      <c r="AR1045" s="993"/>
      <c r="AS1045" s="993"/>
      <c r="AT1045" s="993"/>
      <c r="AU1045" s="993"/>
      <c r="AV1045" s="993"/>
      <c r="AW1045" s="993"/>
      <c r="AX1045" s="993"/>
      <c r="AY1045" s="993"/>
      <c r="AZ1045" s="993"/>
      <c r="BA1045" s="993"/>
      <c r="BB1045" s="993"/>
      <c r="BC1045" s="993"/>
      <c r="BD1045" s="993"/>
      <c r="BE1045" s="993"/>
      <c r="BF1045" s="993"/>
      <c r="BG1045" s="993"/>
      <c r="BH1045" s="994"/>
      <c r="BI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J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K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L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M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N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O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P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Q1045" s="104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R1045" s="272"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S1045" s="263"/>
    </row>
    <row r="1046" spans="1:71" s="665" customFormat="1" ht="15">
      <c r="A1046" s="274" t="str">
        <f>$A$611</f>
        <v>Consensus Estimates - Net Revenue</v>
      </c>
      <c r="B1046" s="993"/>
      <c r="C1046" s="223"/>
      <c r="D1046" s="223"/>
      <c r="E1046" s="223"/>
      <c r="F1046" s="223"/>
      <c r="G1046" s="223"/>
      <c r="H1046" s="993"/>
      <c r="I1046" s="993"/>
      <c r="J1046" s="993"/>
      <c r="K1046" s="993"/>
      <c r="L1046" s="993"/>
      <c r="M1046" s="993"/>
      <c r="N1046" s="993"/>
      <c r="O1046" s="993"/>
      <c r="P1046" s="993"/>
      <c r="Q1046" s="993"/>
      <c r="R1046" s="993"/>
      <c r="S1046" s="993"/>
      <c r="T1046" s="993"/>
      <c r="U1046" s="993"/>
      <c r="V1046" s="993"/>
      <c r="W1046" s="993"/>
      <c r="X1046" s="993"/>
      <c r="Y1046" s="993"/>
      <c r="Z1046" s="993"/>
      <c r="AA1046" s="993"/>
      <c r="AB1046" s="993"/>
      <c r="AC1046" s="993"/>
      <c r="AD1046" s="993"/>
      <c r="AE1046" s="993"/>
      <c r="AF1046" s="993"/>
      <c r="AG1046" s="993"/>
      <c r="AH1046" s="993"/>
      <c r="AI1046" s="993"/>
      <c r="AJ1046" s="993"/>
      <c r="AK1046" s="993"/>
      <c r="AL1046" s="993"/>
      <c r="AM1046" s="993"/>
      <c r="AN1046" s="993"/>
      <c r="AO1046" s="993"/>
      <c r="AP1046" s="993"/>
      <c r="AQ1046" s="993"/>
      <c r="AR1046" s="993"/>
      <c r="AS1046" s="993"/>
      <c r="AT1046" s="993"/>
      <c r="AU1046" s="993"/>
      <c r="AV1046" s="993"/>
      <c r="AW1046" s="993"/>
      <c r="AX1046" s="993"/>
      <c r="AY1046" s="993"/>
      <c r="AZ1046" s="993"/>
      <c r="BA1046" s="993"/>
      <c r="BB1046" s="993"/>
      <c r="BC1046" s="993"/>
      <c r="BD1046" s="993"/>
      <c r="BE1046" s="993"/>
      <c r="BF1046" s="993"/>
      <c r="BG1046" s="993"/>
      <c r="BH1046" s="994"/>
      <c r="BI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J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K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L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M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N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O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P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Q1046" s="104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R1046" s="272"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S1046" s="263"/>
    </row>
    <row r="1047" spans="1:71" s="665" customFormat="1" ht="15">
      <c r="A1047" s="274" t="str">
        <f>$A$622</f>
        <v>Consensus Estimates - EBT</v>
      </c>
      <c r="B1047" s="993"/>
      <c r="C1047" s="223"/>
      <c r="D1047" s="223"/>
      <c r="E1047" s="223"/>
      <c r="F1047" s="223"/>
      <c r="G1047" s="223"/>
      <c r="H1047" s="993"/>
      <c r="I1047" s="993"/>
      <c r="J1047" s="993"/>
      <c r="K1047" s="993"/>
      <c r="L1047" s="993"/>
      <c r="M1047" s="993"/>
      <c r="N1047" s="993"/>
      <c r="O1047" s="993"/>
      <c r="P1047" s="993"/>
      <c r="Q1047" s="993"/>
      <c r="R1047" s="993"/>
      <c r="S1047" s="993"/>
      <c r="T1047" s="993"/>
      <c r="U1047" s="993"/>
      <c r="V1047" s="993"/>
      <c r="W1047" s="993"/>
      <c r="X1047" s="993"/>
      <c r="Y1047" s="993"/>
      <c r="Z1047" s="993"/>
      <c r="AA1047" s="993"/>
      <c r="AB1047" s="993"/>
      <c r="AC1047" s="993"/>
      <c r="AD1047" s="993"/>
      <c r="AE1047" s="993"/>
      <c r="AF1047" s="993"/>
      <c r="AG1047" s="993"/>
      <c r="AH1047" s="993"/>
      <c r="AI1047" s="993"/>
      <c r="AJ1047" s="993"/>
      <c r="AK1047" s="993"/>
      <c r="AL1047" s="993"/>
      <c r="AM1047" s="993"/>
      <c r="AN1047" s="993"/>
      <c r="AO1047" s="993"/>
      <c r="AP1047" s="993"/>
      <c r="AQ1047" s="993"/>
      <c r="AR1047" s="993"/>
      <c r="AS1047" s="993"/>
      <c r="AT1047" s="993"/>
      <c r="AU1047" s="993"/>
      <c r="AV1047" s="993"/>
      <c r="AW1047" s="993"/>
      <c r="AX1047" s="993"/>
      <c r="AY1047" s="993"/>
      <c r="AZ1047" s="993"/>
      <c r="BA1047" s="993"/>
      <c r="BB1047" s="993"/>
      <c r="BC1047" s="993"/>
      <c r="BD1047" s="993"/>
      <c r="BE1047" s="993"/>
      <c r="BF1047" s="993"/>
      <c r="BG1047" s="993"/>
      <c r="BH1047" s="994"/>
      <c r="BI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J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K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L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M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N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O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P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Q1047" s="104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R1047" s="272"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S1047" s="263"/>
    </row>
    <row r="1048" spans="1:71" s="665" customFormat="1" ht="15">
      <c r="A1048" s="274" t="str">
        <f>$A$644</f>
        <v xml:space="preserve">Consensus Estimates - Adjusted Earnings Per Share </v>
      </c>
      <c r="B1048" s="993"/>
      <c r="C1048" s="225"/>
      <c r="D1048" s="225"/>
      <c r="E1048" s="225"/>
      <c r="F1048" s="225"/>
      <c r="G1048" s="225"/>
      <c r="H1048" s="993"/>
      <c r="I1048" s="993"/>
      <c r="J1048" s="993"/>
      <c r="K1048" s="993"/>
      <c r="L1048" s="993"/>
      <c r="M1048" s="993"/>
      <c r="N1048" s="993"/>
      <c r="O1048" s="993"/>
      <c r="P1048" s="993"/>
      <c r="Q1048" s="993"/>
      <c r="R1048" s="993"/>
      <c r="S1048" s="993"/>
      <c r="T1048" s="993"/>
      <c r="U1048" s="993"/>
      <c r="V1048" s="993"/>
      <c r="W1048" s="993"/>
      <c r="X1048" s="993"/>
      <c r="Y1048" s="993"/>
      <c r="Z1048" s="993"/>
      <c r="AA1048" s="993"/>
      <c r="AB1048" s="993"/>
      <c r="AC1048" s="993"/>
      <c r="AD1048" s="993"/>
      <c r="AE1048" s="993"/>
      <c r="AF1048" s="993"/>
      <c r="AG1048" s="993"/>
      <c r="AH1048" s="993"/>
      <c r="AI1048" s="993"/>
      <c r="AJ1048" s="993"/>
      <c r="AK1048" s="993"/>
      <c r="AL1048" s="993"/>
      <c r="AM1048" s="993"/>
      <c r="AN1048" s="993"/>
      <c r="AO1048" s="993"/>
      <c r="AP1048" s="993"/>
      <c r="AQ1048" s="993"/>
      <c r="AR1048" s="993"/>
      <c r="AS1048" s="993"/>
      <c r="AT1048" s="993"/>
      <c r="AU1048" s="993"/>
      <c r="AV1048" s="993"/>
      <c r="AW1048" s="993"/>
      <c r="AX1048" s="993"/>
      <c r="AY1048" s="993"/>
      <c r="AZ1048" s="993"/>
      <c r="BA1048" s="993"/>
      <c r="BB1048" s="993"/>
      <c r="BC1048" s="993"/>
      <c r="BD1048" s="993"/>
      <c r="BE1048" s="993"/>
      <c r="BF1048" s="993"/>
      <c r="BG1048" s="993"/>
      <c r="BH1048" s="994"/>
      <c r="BI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J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K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L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M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N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O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P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Q1048" s="104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R1048" s="272"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S1048" s="263"/>
    </row>
    <row r="1049" spans="1:71" s="665" customFormat="1" ht="15">
      <c r="A1049" s="274" t="str">
        <f>$A$689</f>
        <v>Consensus Estimates - Book Value per Common Share</v>
      </c>
      <c r="B1049" s="993"/>
      <c r="C1049" s="226"/>
      <c r="D1049" s="226"/>
      <c r="E1049" s="226"/>
      <c r="F1049" s="226"/>
      <c r="G1049" s="226"/>
      <c r="H1049" s="993"/>
      <c r="I1049" s="993"/>
      <c r="J1049" s="993"/>
      <c r="K1049" s="993"/>
      <c r="L1049" s="993"/>
      <c r="M1049" s="993"/>
      <c r="N1049" s="993"/>
      <c r="O1049" s="993"/>
      <c r="P1049" s="993"/>
      <c r="Q1049" s="993"/>
      <c r="R1049" s="993"/>
      <c r="S1049" s="993"/>
      <c r="T1049" s="993"/>
      <c r="U1049" s="993"/>
      <c r="V1049" s="993"/>
      <c r="W1049" s="993"/>
      <c r="X1049" s="993"/>
      <c r="Y1049" s="993"/>
      <c r="Z1049" s="993"/>
      <c r="AA1049" s="993"/>
      <c r="AB1049" s="993"/>
      <c r="AC1049" s="993"/>
      <c r="AD1049" s="993"/>
      <c r="AE1049" s="993"/>
      <c r="AF1049" s="993"/>
      <c r="AG1049" s="993"/>
      <c r="AH1049" s="993"/>
      <c r="AI1049" s="993"/>
      <c r="AJ1049" s="993"/>
      <c r="AK1049" s="993"/>
      <c r="AL1049" s="993"/>
      <c r="AM1049" s="993"/>
      <c r="AN1049" s="993"/>
      <c r="AO1049" s="993"/>
      <c r="AP1049" s="993"/>
      <c r="AQ1049" s="993"/>
      <c r="AR1049" s="993"/>
      <c r="AS1049" s="993"/>
      <c r="AT1049" s="993"/>
      <c r="AU1049" s="993"/>
      <c r="AV1049" s="993"/>
      <c r="AW1049" s="993"/>
      <c r="AX1049" s="993"/>
      <c r="AY1049" s="993"/>
      <c r="AZ1049" s="993"/>
      <c r="BA1049" s="993"/>
      <c r="BB1049" s="993"/>
      <c r="BC1049" s="993"/>
      <c r="BD1049" s="993"/>
      <c r="BE1049" s="993"/>
      <c r="BF1049" s="993"/>
      <c r="BG1049" s="993"/>
      <c r="BH1049" s="994"/>
      <c r="BI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J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K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L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M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N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O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P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Q1049" s="104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R1049" s="272"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S1049" s="263"/>
    </row>
    <row r="1050" spans="1:71" s="665" customFormat="1" ht="15">
      <c r="A1050" s="274" t="str">
        <f>$A$694</f>
        <v>Consensus Estimates - Return on Average Common Equity, %</v>
      </c>
      <c r="B1050" s="993"/>
      <c r="C1050" s="224"/>
      <c r="D1050" s="224"/>
      <c r="E1050" s="224"/>
      <c r="F1050" s="224"/>
      <c r="G1050" s="224"/>
      <c r="H1050" s="993"/>
      <c r="I1050" s="993"/>
      <c r="J1050" s="993"/>
      <c r="K1050" s="993"/>
      <c r="L1050" s="993"/>
      <c r="M1050" s="993"/>
      <c r="N1050" s="993"/>
      <c r="O1050" s="993"/>
      <c r="P1050" s="993"/>
      <c r="Q1050" s="993"/>
      <c r="R1050" s="993"/>
      <c r="S1050" s="993"/>
      <c r="T1050" s="993"/>
      <c r="U1050" s="993"/>
      <c r="V1050" s="993"/>
      <c r="W1050" s="993"/>
      <c r="X1050" s="993"/>
      <c r="Y1050" s="993"/>
      <c r="Z1050" s="993"/>
      <c r="AA1050" s="993"/>
      <c r="AB1050" s="993"/>
      <c r="AC1050" s="993"/>
      <c r="AD1050" s="993"/>
      <c r="AE1050" s="993"/>
      <c r="AF1050" s="993"/>
      <c r="AG1050" s="993"/>
      <c r="AH1050" s="993"/>
      <c r="AI1050" s="993"/>
      <c r="AJ1050" s="993"/>
      <c r="AK1050" s="993"/>
      <c r="AL1050" s="993"/>
      <c r="AM1050" s="993"/>
      <c r="AN1050" s="993"/>
      <c r="AO1050" s="993"/>
      <c r="AP1050" s="993"/>
      <c r="AQ1050" s="993"/>
      <c r="AR1050" s="993"/>
      <c r="AS1050" s="993"/>
      <c r="AT1050" s="993"/>
      <c r="AU1050" s="993"/>
      <c r="AV1050" s="993"/>
      <c r="AW1050" s="993"/>
      <c r="AX1050" s="993"/>
      <c r="AY1050" s="993"/>
      <c r="AZ1050" s="993"/>
      <c r="BA1050" s="993"/>
      <c r="BB1050" s="993"/>
      <c r="BC1050" s="993"/>
      <c r="BD1050" s="993"/>
      <c r="BE1050" s="993"/>
      <c r="BF1050" s="993"/>
      <c r="BG1050" s="993"/>
      <c r="BH1050" s="994"/>
      <c r="BI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J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K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L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M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N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O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P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Q1050" s="104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R1050" s="272"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S1050" s="263"/>
    </row>
    <row r="1051" spans="1:71" s="698" customFormat="1" ht="15">
      <c r="A1051" s="275"/>
      <c r="B1051" s="988"/>
      <c r="C1051" s="271"/>
      <c r="D1051" s="271"/>
      <c r="E1051" s="988"/>
      <c r="F1051" s="988"/>
      <c r="G1051" s="988"/>
      <c r="H1051" s="988"/>
      <c r="I1051" s="988"/>
      <c r="J1051" s="988"/>
      <c r="K1051" s="988"/>
      <c r="L1051" s="988"/>
      <c r="M1051" s="988"/>
      <c r="N1051" s="988"/>
      <c r="O1051" s="988"/>
      <c r="P1051" s="988"/>
      <c r="Q1051" s="988"/>
      <c r="R1051" s="988"/>
      <c r="S1051" s="988"/>
      <c r="T1051" s="988"/>
      <c r="U1051" s="988"/>
      <c r="V1051" s="988"/>
      <c r="W1051" s="988"/>
      <c r="X1051" s="988"/>
      <c r="Y1051" s="988"/>
      <c r="Z1051" s="988"/>
      <c r="AA1051" s="988"/>
      <c r="AB1051" s="988"/>
      <c r="AC1051" s="988"/>
      <c r="AD1051" s="988"/>
      <c r="AE1051" s="988"/>
      <c r="AF1051" s="988"/>
      <c r="AG1051" s="988"/>
      <c r="AH1051" s="988"/>
      <c r="AI1051" s="988"/>
      <c r="AJ1051" s="988"/>
      <c r="AK1051" s="988"/>
      <c r="AL1051" s="988"/>
      <c r="AM1051" s="988"/>
      <c r="AN1051" s="988"/>
      <c r="AO1051" s="988"/>
      <c r="AP1051" s="988"/>
      <c r="AQ1051" s="988"/>
      <c r="AR1051" s="988"/>
      <c r="AS1051" s="988"/>
      <c r="AT1051" s="988"/>
      <c r="AU1051" s="988"/>
      <c r="AV1051" s="988"/>
      <c r="AW1051" s="988"/>
      <c r="AX1051" s="988"/>
      <c r="AY1051" s="988"/>
      <c r="AZ1051" s="988"/>
      <c r="BA1051" s="988"/>
      <c r="BB1051" s="988"/>
      <c r="BC1051" s="988"/>
      <c r="BD1051" s="988"/>
      <c r="BE1051" s="988"/>
      <c r="BF1051" s="988"/>
      <c r="BG1051" s="988"/>
      <c r="BH1051" s="995"/>
      <c r="BI1051" s="988"/>
      <c r="BJ1051" s="988"/>
      <c r="BK1051" s="988"/>
      <c r="BL1051" s="988"/>
      <c r="BM1051" s="988"/>
      <c r="BN1051" s="988"/>
      <c r="BO1051" s="988"/>
      <c r="BP1051" s="988"/>
      <c r="BQ1051" s="988"/>
      <c r="BR1051" s="273"/>
      <c r="BS1051" s="264"/>
    </row>
    <row r="1052" spans="1:71" s="698" customFormat="1" ht="15">
      <c r="A1052" s="265"/>
      <c r="B1052" s="266"/>
      <c r="C1052" s="267"/>
      <c r="D1052" s="267"/>
      <c r="E1052" s="266"/>
      <c r="F1052" s="266"/>
      <c r="G1052" s="266"/>
      <c r="H1052" s="266"/>
      <c r="I1052" s="266"/>
      <c r="J1052" s="266"/>
      <c r="K1052" s="266"/>
      <c r="L1052" s="266"/>
      <c r="M1052" s="266"/>
      <c r="N1052" s="266"/>
      <c r="O1052" s="266"/>
      <c r="P1052" s="266"/>
      <c r="Q1052" s="266"/>
      <c r="R1052" s="266"/>
      <c r="S1052" s="266"/>
      <c r="T1052" s="266"/>
      <c r="U1052" s="266"/>
      <c r="V1052" s="266"/>
      <c r="W1052" s="266"/>
      <c r="X1052" s="266"/>
      <c r="Y1052" s="266"/>
      <c r="Z1052" s="266"/>
      <c r="AA1052" s="266"/>
      <c r="AB1052" s="266"/>
      <c r="AC1052" s="266"/>
      <c r="AD1052" s="266"/>
      <c r="AE1052" s="266"/>
      <c r="AF1052" s="266"/>
      <c r="AG1052" s="266"/>
      <c r="AH1052" s="266"/>
      <c r="AI1052" s="266"/>
      <c r="AJ1052" s="266"/>
      <c r="AK1052" s="266"/>
      <c r="AL1052" s="266"/>
      <c r="AM1052" s="266"/>
      <c r="AN1052" s="266"/>
      <c r="AO1052" s="266"/>
      <c r="AP1052" s="266"/>
      <c r="AQ1052" s="266"/>
      <c r="AR1052" s="266"/>
      <c r="AS1052" s="266"/>
      <c r="AT1052" s="266"/>
      <c r="AU1052" s="266"/>
      <c r="AV1052" s="266"/>
      <c r="AW1052" s="266"/>
      <c r="AX1052" s="266"/>
      <c r="AY1052" s="266"/>
      <c r="AZ1052" s="266"/>
      <c r="BA1052" s="266"/>
      <c r="BB1052" s="266"/>
      <c r="BC1052" s="266"/>
      <c r="BD1052" s="266"/>
      <c r="BE1052" s="266"/>
      <c r="BF1052" s="266"/>
      <c r="BG1052" s="266"/>
      <c r="BH1052" s="376"/>
      <c r="BI1052" s="266"/>
      <c r="BJ1052" s="266"/>
      <c r="BK1052" s="266"/>
      <c r="BL1052" s="266"/>
      <c r="BM1052" s="266"/>
      <c r="BN1052" s="266"/>
      <c r="BO1052" s="266"/>
      <c r="BP1052" s="266"/>
      <c r="BQ1052" s="266"/>
      <c r="BR1052" s="266"/>
      <c r="BS1052" s="154"/>
    </row>
    <row r="1053" spans="1:71" s="698" customFormat="1" ht="15">
      <c r="A1053" s="171" t="s">
        <v>260</v>
      </c>
      <c r="B1053" s="168"/>
      <c r="C1053" s="169"/>
      <c r="D1053" s="169"/>
      <c r="E1053" s="168"/>
      <c r="F1053" s="168"/>
      <c r="G1053" s="168"/>
      <c r="H1053" s="168"/>
      <c r="I1053" s="168"/>
      <c r="J1053" s="168"/>
      <c r="K1053" s="168"/>
      <c r="L1053" s="168"/>
      <c r="M1053" s="168"/>
      <c r="N1053" s="168"/>
      <c r="O1053" s="168"/>
      <c r="P1053" s="168"/>
      <c r="Q1053" s="168"/>
      <c r="R1053" s="168"/>
      <c r="S1053" s="168"/>
      <c r="T1053" s="168"/>
      <c r="U1053" s="168"/>
      <c r="V1053" s="168"/>
      <c r="W1053" s="168"/>
      <c r="X1053" s="168"/>
      <c r="Y1053" s="168"/>
      <c r="Z1053" s="168"/>
      <c r="AA1053" s="168"/>
      <c r="AB1053" s="168"/>
      <c r="AC1053" s="168"/>
      <c r="AD1053" s="168"/>
      <c r="AE1053" s="168"/>
      <c r="AF1053" s="168"/>
      <c r="AG1053" s="168"/>
      <c r="AH1053" s="168"/>
      <c r="AI1053" s="168"/>
      <c r="AJ1053" s="168"/>
      <c r="AK1053" s="168"/>
      <c r="AL1053" s="168"/>
      <c r="AM1053" s="168"/>
      <c r="AN1053" s="168"/>
      <c r="AO1053" s="168"/>
      <c r="AP1053" s="168"/>
      <c r="AQ1053" s="168"/>
      <c r="AR1053" s="168"/>
      <c r="AS1053" s="168"/>
      <c r="AT1053" s="168"/>
      <c r="AU1053" s="168"/>
      <c r="AV1053" s="168"/>
      <c r="AW1053" s="168"/>
      <c r="AX1053" s="168"/>
      <c r="AY1053" s="168"/>
      <c r="AZ1053" s="168"/>
      <c r="BA1053" s="168"/>
      <c r="BB1053" s="168"/>
      <c r="BC1053" s="168"/>
      <c r="BD1053" s="168"/>
      <c r="BE1053" s="168"/>
      <c r="BF1053" s="168"/>
      <c r="BG1053" s="168"/>
      <c r="BH1053" s="377"/>
      <c r="BI1053" s="168"/>
      <c r="BJ1053" s="168"/>
      <c r="BK1053" s="168"/>
      <c r="BL1053" s="168"/>
      <c r="BM1053" s="168"/>
      <c r="BN1053" s="168"/>
      <c r="BO1053" s="168"/>
      <c r="BP1053" s="168"/>
      <c r="BQ1053" s="168"/>
      <c r="BR1053" s="170"/>
      <c r="BS1053" s="264"/>
    </row>
    <row r="1054" spans="1:71" s="698" customFormat="1" ht="15">
      <c r="A1054" s="172" t="s">
        <v>261</v>
      </c>
      <c r="B1054" s="992"/>
      <c r="C1054" s="603">
        <f t="shared" si="1968" ref="C1054:AQ1054">INDEX(MO_Common_QEndDate,0,COLUMN())-INDEX(MO_Common_FPDays,0,COLUMN())+1</f>
        <v>39814</v>
      </c>
      <c r="D1054" s="603">
        <f t="shared" si="1968"/>
        <v>40179</v>
      </c>
      <c r="E1054" s="604">
        <f t="shared" si="1968"/>
        <v>40544</v>
      </c>
      <c r="F1054" s="604">
        <f t="shared" si="1968"/>
        <v>40909</v>
      </c>
      <c r="G1054" s="604">
        <f t="shared" si="1968"/>
        <v>41275</v>
      </c>
      <c r="H1054" s="604">
        <f t="shared" si="1968"/>
        <v>41640</v>
      </c>
      <c r="I1054" s="604">
        <f t="shared" si="1968"/>
        <v>41730</v>
      </c>
      <c r="J1054" s="604">
        <f t="shared" si="1968"/>
        <v>41821</v>
      </c>
      <c r="K1054" s="604">
        <f t="shared" si="1968"/>
        <v>41913</v>
      </c>
      <c r="L1054" s="604">
        <f t="shared" si="1968"/>
        <v>41640</v>
      </c>
      <c r="M1054" s="604">
        <f t="shared" si="1968"/>
        <v>42005</v>
      </c>
      <c r="N1054" s="604">
        <f t="shared" si="1968"/>
        <v>42095</v>
      </c>
      <c r="O1054" s="604">
        <f t="shared" si="1968"/>
        <v>42186</v>
      </c>
      <c r="P1054" s="604">
        <f t="shared" si="1968"/>
        <v>42278</v>
      </c>
      <c r="Q1054" s="604">
        <f t="shared" si="1968"/>
        <v>42005</v>
      </c>
      <c r="R1054" s="604">
        <f t="shared" si="1968"/>
        <v>42370</v>
      </c>
      <c r="S1054" s="604">
        <f t="shared" si="1968"/>
        <v>42461</v>
      </c>
      <c r="T1054" s="604">
        <f t="shared" si="1968"/>
        <v>42552</v>
      </c>
      <c r="U1054" s="604">
        <f t="shared" si="1968"/>
        <v>42644</v>
      </c>
      <c r="V1054" s="604">
        <f t="shared" si="1968"/>
        <v>42370</v>
      </c>
      <c r="W1054" s="604">
        <f t="shared" si="1968"/>
        <v>42736</v>
      </c>
      <c r="X1054" s="604">
        <f t="shared" si="1968"/>
        <v>42826</v>
      </c>
      <c r="Y1054" s="604">
        <f t="shared" si="1968"/>
        <v>42917</v>
      </c>
      <c r="Z1054" s="604">
        <f t="shared" si="1968"/>
        <v>43009</v>
      </c>
      <c r="AA1054" s="604">
        <f t="shared" si="1968"/>
        <v>42736</v>
      </c>
      <c r="AB1054" s="604">
        <f t="shared" si="1968"/>
        <v>43101</v>
      </c>
      <c r="AC1054" s="604">
        <f t="shared" si="1968"/>
        <v>43191</v>
      </c>
      <c r="AD1054" s="604">
        <f t="shared" si="1968"/>
        <v>43282</v>
      </c>
      <c r="AE1054" s="604">
        <f t="shared" si="1968"/>
        <v>43374</v>
      </c>
      <c r="AF1054" s="604">
        <f t="shared" si="1968"/>
        <v>43101</v>
      </c>
      <c r="AG1054" s="604">
        <f t="shared" si="1968"/>
        <v>43466</v>
      </c>
      <c r="AH1054" s="604">
        <f t="shared" si="1968"/>
        <v>43556</v>
      </c>
      <c r="AI1054" s="604">
        <f t="shared" si="1968"/>
        <v>43647</v>
      </c>
      <c r="AJ1054" s="604">
        <f t="shared" si="1968"/>
        <v>43739</v>
      </c>
      <c r="AK1054" s="604">
        <f t="shared" si="1968"/>
        <v>43466</v>
      </c>
      <c r="AL1054" s="604">
        <f t="shared" si="1968"/>
        <v>43831</v>
      </c>
      <c r="AM1054" s="604">
        <f t="shared" si="1968"/>
        <v>43922</v>
      </c>
      <c r="AN1054" s="604">
        <f t="shared" si="1968"/>
        <v>44013</v>
      </c>
      <c r="AO1054" s="604">
        <f>INDEX(MO_Common_QEndDate,0,COLUMN())-INDEX(MO_Common_FPDays,0,COLUMN())+1</f>
        <v>44105</v>
      </c>
      <c r="AP1054" s="604">
        <f>INDEX(MO_Common_QEndDate,0,COLUMN())-INDEX(MO_Common_FPDays,0,COLUMN())+1</f>
        <v>43831</v>
      </c>
      <c r="AQ1054" s="604">
        <f t="shared" si="1968"/>
        <v>44197</v>
      </c>
      <c r="AR1054" s="604">
        <f t="shared" si="1969" ref="AR1054:AU1054">INDEX(MO_Common_QEndDate,0,COLUMN())-INDEX(MO_Common_FPDays,0,COLUMN())+1</f>
        <v>44287</v>
      </c>
      <c r="AS1054" s="604">
        <f t="shared" si="1969"/>
        <v>44378</v>
      </c>
      <c r="AT1054" s="604">
        <f t="shared" si="1969"/>
        <v>44470</v>
      </c>
      <c r="AU1054" s="604">
        <f t="shared" si="1969"/>
        <v>44197</v>
      </c>
      <c r="AV1054" s="604">
        <f t="shared" si="1970" ref="AV1054:BJ1054">INDEX(MO_Common_QEndDate,0,COLUMN())-INDEX(MO_Common_FPDays,0,COLUMN())+1</f>
        <v>44562</v>
      </c>
      <c r="AW1054" s="604">
        <f t="shared" si="1970"/>
        <v>44652</v>
      </c>
      <c r="AX1054" s="604">
        <f t="shared" si="1970"/>
        <v>44743</v>
      </c>
      <c r="AY1054" s="604">
        <f t="shared" si="1970"/>
        <v>44835</v>
      </c>
      <c r="AZ1054" s="604">
        <f t="shared" si="1970"/>
        <v>44562</v>
      </c>
      <c r="BA1054" s="604">
        <f t="shared" si="1971" ref="BA1054:BI1054">INDEX(MO_Common_QEndDate,0,COLUMN())-INDEX(MO_Common_FPDays,0,COLUMN())+1</f>
        <v>44927</v>
      </c>
      <c r="BB1054" s="604">
        <f t="shared" si="1971"/>
        <v>45017</v>
      </c>
      <c r="BC1054" s="604">
        <f t="shared" si="1971"/>
        <v>45108</v>
      </c>
      <c r="BD1054" s="604">
        <f t="shared" si="1971"/>
        <v>45200</v>
      </c>
      <c r="BE1054" s="604">
        <f t="shared" si="1971"/>
        <v>44927</v>
      </c>
      <c r="BF1054" s="604">
        <f>INDEX(MO_Common_QEndDate,0,COLUMN())-INDEX(MO_Common_FPDays,0,COLUMN())+1</f>
        <v>45292</v>
      </c>
      <c r="BG1054" s="604">
        <f>INDEX(MO_Common_QEndDate,0,COLUMN())-INDEX(MO_Common_FPDays,0,COLUMN())+1</f>
        <v>45383</v>
      </c>
      <c r="BH1054" s="605">
        <f>INDEX(MO_Common_QEndDate,0,COLUMN())-INDEX(MO_Common_FPDays,0,COLUMN())+1</f>
        <v>45474</v>
      </c>
      <c r="BI1054" s="173">
        <f t="shared" si="1971"/>
        <v>45566</v>
      </c>
      <c r="BJ1054" s="173">
        <f t="shared" si="1970"/>
        <v>45292</v>
      </c>
      <c r="BK1054" s="173">
        <f t="shared" si="1972" ref="BK1054:BR1054">INDEX(MO_Common_QEndDate,0,COLUMN())-INDEX(MO_Common_FPDays,0,COLUMN())+1</f>
        <v>45658</v>
      </c>
      <c r="BL1054" s="173">
        <f t="shared" si="1972"/>
        <v>45748</v>
      </c>
      <c r="BM1054" s="173">
        <f t="shared" si="1972"/>
        <v>45839</v>
      </c>
      <c r="BN1054" s="173">
        <f t="shared" si="1972"/>
        <v>45931</v>
      </c>
      <c r="BO1054" s="173">
        <f t="shared" si="1972"/>
        <v>45658</v>
      </c>
      <c r="BP1054" s="604">
        <f t="shared" si="1972"/>
        <v>46023</v>
      </c>
      <c r="BQ1054" s="604">
        <f t="shared" si="1972"/>
        <v>46388</v>
      </c>
      <c r="BR1054" s="606">
        <f t="shared" si="1972"/>
        <v>46753</v>
      </c>
      <c r="BS1054" s="264"/>
    </row>
    <row r="1055" spans="1:71" s="698" customFormat="1" ht="15">
      <c r="A1055" s="172" t="s">
        <v>315</v>
      </c>
      <c r="B1055" s="992"/>
      <c r="C1055" s="603" t="b">
        <f>TRUE</f>
        <v>1</v>
      </c>
      <c r="D1055" s="603" t="b">
        <f>TRUE</f>
        <v>1</v>
      </c>
      <c r="E1055" s="604" t="b">
        <f>TRUE</f>
        <v>1</v>
      </c>
      <c r="F1055" s="604" t="b">
        <f>TRUE</f>
        <v>1</v>
      </c>
      <c r="G1055" s="604" t="b">
        <f>TRUE</f>
        <v>1</v>
      </c>
      <c r="H1055" s="604" t="b">
        <f>TRUE</f>
        <v>1</v>
      </c>
      <c r="I1055" s="604" t="b">
        <f>TRUE</f>
        <v>1</v>
      </c>
      <c r="J1055" s="604" t="b">
        <f>TRUE</f>
        <v>1</v>
      </c>
      <c r="K1055" s="604" t="b">
        <f>TRUE</f>
        <v>1</v>
      </c>
      <c r="L1055" s="604" t="b">
        <f>TRUE</f>
        <v>1</v>
      </c>
      <c r="M1055" s="604" t="b">
        <f>TRUE</f>
        <v>1</v>
      </c>
      <c r="N1055" s="604" t="b">
        <f>TRUE</f>
        <v>1</v>
      </c>
      <c r="O1055" s="604" t="b">
        <f>TRUE</f>
        <v>1</v>
      </c>
      <c r="P1055" s="604" t="b">
        <f>TRUE</f>
        <v>1</v>
      </c>
      <c r="Q1055" s="604" t="b">
        <f>TRUE</f>
        <v>1</v>
      </c>
      <c r="R1055" s="604" t="b">
        <f>TRUE</f>
        <v>1</v>
      </c>
      <c r="S1055" s="604" t="b">
        <f>TRUE</f>
        <v>1</v>
      </c>
      <c r="T1055" s="604" t="b">
        <f>TRUE</f>
        <v>1</v>
      </c>
      <c r="U1055" s="604" t="b">
        <f>TRUE</f>
        <v>1</v>
      </c>
      <c r="V1055" s="604" t="b">
        <f>TRUE</f>
        <v>1</v>
      </c>
      <c r="W1055" s="604" t="b">
        <f>TRUE</f>
        <v>1</v>
      </c>
      <c r="X1055" s="604" t="b">
        <f>TRUE</f>
        <v>1</v>
      </c>
      <c r="Y1055" s="604" t="b">
        <f>TRUE</f>
        <v>1</v>
      </c>
      <c r="Z1055" s="604" t="b">
        <f>TRUE</f>
        <v>1</v>
      </c>
      <c r="AA1055" s="604" t="b">
        <f>TRUE</f>
        <v>1</v>
      </c>
      <c r="AB1055" s="604" t="b">
        <f>TRUE</f>
        <v>1</v>
      </c>
      <c r="AC1055" s="604" t="b">
        <f>TRUE</f>
        <v>1</v>
      </c>
      <c r="AD1055" s="604" t="b">
        <f>TRUE</f>
        <v>1</v>
      </c>
      <c r="AE1055" s="604" t="b">
        <f>TRUE</f>
        <v>1</v>
      </c>
      <c r="AF1055" s="604" t="b">
        <f>TRUE</f>
        <v>1</v>
      </c>
      <c r="AG1055" s="604" t="b">
        <f>TRUE</f>
        <v>1</v>
      </c>
      <c r="AH1055" s="604" t="b">
        <f>TRUE</f>
        <v>1</v>
      </c>
      <c r="AI1055" s="604" t="b">
        <f>TRUE</f>
        <v>1</v>
      </c>
      <c r="AJ1055" s="604" t="b">
        <f>TRUE</f>
        <v>1</v>
      </c>
      <c r="AK1055" s="604" t="b">
        <f>TRUE</f>
        <v>1</v>
      </c>
      <c r="AL1055" s="604" t="b">
        <f>TRUE</f>
        <v>1</v>
      </c>
      <c r="AM1055" s="604" t="b">
        <f>TRUE</f>
        <v>1</v>
      </c>
      <c r="AN1055" s="604" t="b">
        <f>TRUE</f>
        <v>1</v>
      </c>
      <c r="AO1055" s="604" t="b">
        <f>TRUE</f>
        <v>1</v>
      </c>
      <c r="AP1055" s="604" t="b">
        <f>TRUE</f>
        <v>1</v>
      </c>
      <c r="AQ1055" s="604" t="b">
        <f>TRUE</f>
        <v>1</v>
      </c>
      <c r="AR1055" s="604" t="b">
        <f>TRUE</f>
        <v>1</v>
      </c>
      <c r="AS1055" s="604" t="b">
        <f>TRUE</f>
        <v>1</v>
      </c>
      <c r="AT1055" s="604" t="b">
        <f>TRUE</f>
        <v>1</v>
      </c>
      <c r="AU1055" s="604" t="b">
        <f>TRUE</f>
        <v>1</v>
      </c>
      <c r="AV1055" s="604" t="b">
        <f>TRUE</f>
        <v>1</v>
      </c>
      <c r="AW1055" s="604" t="b">
        <f>TRUE</f>
        <v>1</v>
      </c>
      <c r="AX1055" s="604" t="b">
        <f>TRUE</f>
        <v>1</v>
      </c>
      <c r="AY1055" s="604" t="b">
        <f>TRUE</f>
        <v>1</v>
      </c>
      <c r="AZ1055" s="604" t="b">
        <f>TRUE</f>
        <v>1</v>
      </c>
      <c r="BA1055" s="604" t="b">
        <f>TRUE</f>
        <v>1</v>
      </c>
      <c r="BB1055" s="604" t="b">
        <f>TRUE</f>
        <v>1</v>
      </c>
      <c r="BC1055" s="604" t="b">
        <f>TRUE</f>
        <v>1</v>
      </c>
      <c r="BD1055" s="604" t="b">
        <f>TRUE</f>
        <v>1</v>
      </c>
      <c r="BE1055" s="604" t="b">
        <f>TRUE</f>
        <v>1</v>
      </c>
      <c r="BF1055" s="604" t="b">
        <f>TRUE</f>
        <v>1</v>
      </c>
      <c r="BG1055" s="604" t="b">
        <f>TRUE</f>
        <v>1</v>
      </c>
      <c r="BH1055" s="605" t="b">
        <f>TRUE</f>
        <v>1</v>
      </c>
      <c r="BI1055" s="173" t="b">
        <f>FALSE</f>
        <v>0</v>
      </c>
      <c r="BJ1055" s="173" t="b">
        <f>FALSE</f>
        <v>0</v>
      </c>
      <c r="BK1055" s="173" t="b">
        <f>FALSE</f>
        <v>0</v>
      </c>
      <c r="BL1055" s="173" t="b">
        <f>FALSE</f>
        <v>0</v>
      </c>
      <c r="BM1055" s="173" t="b">
        <f>FALSE</f>
        <v>0</v>
      </c>
      <c r="BN1055" s="173" t="b">
        <f>FALSE</f>
        <v>0</v>
      </c>
      <c r="BO1055" s="173" t="b">
        <f>FALSE</f>
        <v>0</v>
      </c>
      <c r="BP1055" s="604" t="b">
        <f>FALSE</f>
        <v>0</v>
      </c>
      <c r="BQ1055" s="604" t="b">
        <f>FALSE</f>
        <v>0</v>
      </c>
      <c r="BR1055" s="606" t="b">
        <f>FALSE</f>
        <v>0</v>
      </c>
      <c r="BS1055" s="264"/>
    </row>
    <row r="1056" spans="1:71" s="694" customFormat="1" ht="15">
      <c r="A1056" s="174" t="str">
        <f ca="1">"Stock High: "&amp;IF(OR(MO.RealTimeStockPriceToggle=FALSE,VLOOKUP(MO.DataSourceName,MO_SPT_StockHigh_Sources,COLUMN()+2,FALSE)="N/A"),"Real-Time Off Source",MO.DataSourceName)</f>
        <v>Stock High: Real-Time Off Source</v>
      </c>
      <c r="B1056" s="175"/>
      <c r="C1056" s="303">
        <f ca="1" t="shared" si="1973" ref="C1056:AQ1056">IF(OR(MO.RealTimeStockPriceToggle=FALSE,VLOOKUP(MO.DataSourceName,MO_SPT_StockHigh_Sources,COLUMN(),FALSE)="N/A"),VLOOKUP("Real-Time Off Source",MO_SPT_StockHigh_Sources,COLUMN(),FALSE),VLOOKUP(MO.DataSourceName,MO_SPT_StockHigh_Sources,COLUMN(),FALSE))</f>
        <v>18.10</v>
      </c>
      <c r="D1056" s="303">
        <f t="shared" ca="1" si="1973"/>
        <v>22.13</v>
      </c>
      <c r="E1056" s="220">
        <f t="shared" ca="1" si="1973"/>
        <v>22.08</v>
      </c>
      <c r="F1056" s="220">
        <f t="shared" ca="1" si="1973"/>
        <v>23.41</v>
      </c>
      <c r="G1056" s="220">
        <f t="shared" ca="1" si="1973"/>
        <v>28.54</v>
      </c>
      <c r="H1056" s="220">
        <f t="shared" ca="1" si="1973"/>
        <v>27.30</v>
      </c>
      <c r="I1056" s="220">
        <f t="shared" ca="1" si="1973"/>
        <v>26.03</v>
      </c>
      <c r="J1056" s="220">
        <f t="shared" ca="1" si="1973"/>
        <v>25.63</v>
      </c>
      <c r="K1056" s="220">
        <f t="shared" ca="1" si="1973"/>
        <v>27.52</v>
      </c>
      <c r="L1056" s="220">
        <f t="shared" ca="1" si="1973"/>
        <v>27.52</v>
      </c>
      <c r="M1056" s="220">
        <f t="shared" ca="1" si="1973"/>
        <v>27.90</v>
      </c>
      <c r="N1056" s="220">
        <f t="shared" ca="1" si="1973"/>
        <v>28.50</v>
      </c>
      <c r="O1056" s="220">
        <f t="shared" ca="1" si="1973"/>
        <v>31.70</v>
      </c>
      <c r="P1056" s="220">
        <f t="shared" ca="1" si="1973"/>
        <v>33.950000000000003</v>
      </c>
      <c r="Q1056" s="220">
        <f t="shared" ca="1" si="1973"/>
        <v>33.950000000000003</v>
      </c>
      <c r="R1056" s="220">
        <f t="shared" ca="1" si="1973"/>
        <v>35.270000000000003</v>
      </c>
      <c r="S1056" s="220">
        <f t="shared" ca="1" si="1973"/>
        <v>35.54</v>
      </c>
      <c r="T1056" s="220">
        <f t="shared" ca="1" si="1973"/>
        <v>34.29</v>
      </c>
      <c r="U1056" s="220">
        <f t="shared" ca="1" si="1973"/>
        <v>35.950000000000003</v>
      </c>
      <c r="V1056" s="220">
        <f t="shared" ca="1" si="1973"/>
        <v>35.950000000000003</v>
      </c>
      <c r="W1056" s="220">
        <f t="shared" ca="1" si="1973"/>
        <v>40.74</v>
      </c>
      <c r="X1056" s="220">
        <f t="shared" ca="1" si="1973"/>
        <v>45.03</v>
      </c>
      <c r="Y1056" s="220">
        <f t="shared" ca="1" si="1973"/>
        <v>49.01</v>
      </c>
      <c r="Z1056" s="220">
        <f t="shared" ca="1" si="1973"/>
        <v>57.18</v>
      </c>
      <c r="AA1056" s="220">
        <f t="shared" ca="1" si="1973"/>
        <v>57.18</v>
      </c>
      <c r="AB1056" s="220">
        <f t="shared" ca="1" si="1973"/>
        <v>62.33</v>
      </c>
      <c r="AC1056" s="220">
        <f t="shared" ca="1" si="1973"/>
        <v>63</v>
      </c>
      <c r="AD1056" s="220">
        <f t="shared" ca="1" si="1973"/>
        <v>71.20</v>
      </c>
      <c r="AE1056" s="220">
        <f t="shared" ca="1" si="1973"/>
        <v>73.459999999999994</v>
      </c>
      <c r="AF1056" s="220">
        <f t="shared" ca="1" si="1973"/>
        <v>73.459999999999994</v>
      </c>
      <c r="AG1056" s="220">
        <f t="shared" ca="1" si="1973"/>
        <v>73.61</v>
      </c>
      <c r="AH1056" s="220">
        <f t="shared" ca="1" si="1973"/>
        <v>83.34</v>
      </c>
      <c r="AI1056" s="220">
        <f t="shared" ca="1" si="1973"/>
        <v>84.39</v>
      </c>
      <c r="AJ1056" s="220">
        <f t="shared" ca="1" si="1973"/>
        <v>76.900000000000006</v>
      </c>
      <c r="AK1056" s="220">
        <f t="shared" ca="1" si="1973"/>
        <v>84.39</v>
      </c>
      <c r="AL1056" s="220">
        <f t="shared" ca="1" si="1973"/>
        <v>83.86</v>
      </c>
      <c r="AM1056" s="220">
        <f t="shared" ca="1" si="1973"/>
        <v>82.96</v>
      </c>
      <c r="AN1056" s="220">
        <f t="shared" ca="1" si="1973"/>
        <v>97.36</v>
      </c>
      <c r="AO1056" s="220">
        <f ca="1">IF(OR(MO.RealTimeStockPriceToggle=FALSE,VLOOKUP(MO.DataSourceName,MO_SPT_StockHigh_Sources,COLUMN(),FALSE)="N/A"),VLOOKUP("Real-Time Off Source",MO_SPT_StockHigh_Sources,COLUMN(),FALSE),VLOOKUP(MO.DataSourceName,MO_SPT_StockHigh_Sources,COLUMN(),FALSE))</f>
        <v>101.38</v>
      </c>
      <c r="AP1056" s="220">
        <f ca="1">IF(OR(MO.RealTimeStockPriceToggle=FALSE,VLOOKUP(MO.DataSourceName,MO_SPT_StockHigh_Sources,COLUMN(),FALSE)="N/A"),VLOOKUP("Real-Time Off Source",MO_SPT_StockHigh_Sources,COLUMN(),FALSE),VLOOKUP(MO.DataSourceName,MO_SPT_StockHigh_Sources,COLUMN(),FALSE))</f>
        <v>101.38</v>
      </c>
      <c r="AQ1056" s="220">
        <f t="shared" ca="1" si="1973"/>
        <v>98.79</v>
      </c>
      <c r="AR1056" s="220">
        <f ca="1" t="shared" si="1974" ref="AR1056:AU1056">IF(OR(MO.RealTimeStockPriceToggle=FALSE,VLOOKUP(MO.DataSourceName,MO_SPT_StockHigh_Sources,COLUMN(),FALSE)="N/A"),VLOOKUP("Real-Time Off Source",MO_SPT_StockHigh_Sources,COLUMN(),FALSE),VLOOKUP(MO.DataSourceName,MO_SPT_StockHigh_Sources,COLUMN(),FALSE))</f>
        <v>107.09999999999999</v>
      </c>
      <c r="AS1056" s="220">
        <f t="shared" ca="1" si="1974"/>
        <v>99.88</v>
      </c>
      <c r="AT1056" s="220">
        <f t="shared" ca="1" si="1974"/>
        <v>103.97</v>
      </c>
      <c r="AU1056" s="220">
        <f t="shared" ca="1" si="1974"/>
        <v>107.09999999999999</v>
      </c>
      <c r="AV1056" s="220">
        <f ca="1" t="shared" si="1975" ref="AV1056:BJ1056">IF(OR(MO.RealTimeStockPriceToggle=FALSE,VLOOKUP(MO.DataSourceName,MO_SPT_StockHigh_Sources,COLUMN(),FALSE)="N/A"),VLOOKUP("Real-Time Off Source",MO_SPT_StockHigh_Sources,COLUMN(),FALSE),VLOOKUP(MO.DataSourceName,MO_SPT_StockHigh_Sources,COLUMN(),FALSE))</f>
        <v>117.17</v>
      </c>
      <c r="AW1056" s="220">
        <f t="shared" ca="1" si="1975"/>
        <v>121.19</v>
      </c>
      <c r="AX1056" s="220">
        <f t="shared" ca="1" si="1975"/>
        <v>129.22</v>
      </c>
      <c r="AY1056" s="220">
        <f t="shared" ca="1" si="1975"/>
        <v>132.50999999999999</v>
      </c>
      <c r="AZ1056" s="220">
        <f t="shared" ca="1" si="1975"/>
        <v>132.50999999999999</v>
      </c>
      <c r="BA1056" s="220">
        <f ca="1" t="shared" si="1976" ref="BA1056:BI1056">IF(OR(MO.RealTimeStockPriceToggle=FALSE,VLOOKUP(MO.DataSourceName,MO_SPT_StockHigh_Sources,COLUMN(),FALSE)="N/A"),VLOOKUP("Real-Time Off Source",MO_SPT_StockHigh_Sources,COLUMN(),FALSE),VLOOKUP(MO.DataSourceName,MO_SPT_StockHigh_Sources,COLUMN(),FALSE))</f>
        <v>145.63999999999999</v>
      </c>
      <c r="BB1056" s="220">
        <f t="shared" ca="1" si="1976"/>
        <v>132.77000000000001</v>
      </c>
      <c r="BC1056" s="220">
        <f t="shared" ca="1" si="1976"/>
        <v>143.25999999999999</v>
      </c>
      <c r="BD1056" s="220">
        <f t="shared" ca="1" si="1976"/>
        <v>165.13</v>
      </c>
      <c r="BE1056" s="220">
        <f t="shared" ca="1" si="1976"/>
        <v>165.13</v>
      </c>
      <c r="BF1056" s="220">
        <f ca="1">IF(OR(MO.RealTimeStockPriceToggle=FALSE,VLOOKUP(MO.DataSourceName,MO_SPT_StockHigh_Sources,COLUMN(),FALSE)="N/A"),VLOOKUP("Real-Time Off Source",MO_SPT_StockHigh_Sources,COLUMN(),FALSE),VLOOKUP(MO.DataSourceName,MO_SPT_StockHigh_Sources,COLUMN(),FALSE))</f>
        <v>206.82</v>
      </c>
      <c r="BG1056" s="220">
        <f ca="1">IF(OR(MO.RealTimeStockPriceToggle=FALSE,VLOOKUP(MO.DataSourceName,MO_SPT_StockHigh_Sources,COLUMN(),FALSE)="N/A"),VLOOKUP("Real-Time Off Source",MO_SPT_StockHigh_Sources,COLUMN(),FALSE),VLOOKUP(MO.DataSourceName,MO_SPT_StockHigh_Sources,COLUMN(),FALSE))</f>
        <v>215.90</v>
      </c>
      <c r="BH1056" s="378">
        <f ca="1">IF(OR(MO.RealTimeStockPriceToggle=FALSE,VLOOKUP(MO.DataSourceName,MO_SPT_StockHigh_Sources,COLUMN(),FALSE)="N/A"),VLOOKUP("Real-Time Off Source",MO_SPT_StockHigh_Sources,COLUMN(),FALSE),VLOOKUP(MO.DataSourceName,MO_SPT_StockHigh_Sources,COLUMN(),FALSE))</f>
        <v>259.24</v>
      </c>
      <c r="BI1056" s="175">
        <f t="shared" ca="1" si="1976"/>
        <v>0</v>
      </c>
      <c r="BJ1056" s="175">
        <f t="shared" ca="1" si="1975"/>
        <v>0</v>
      </c>
      <c r="BK1056" s="175">
        <f ca="1" t="shared" si="1977" ref="BK1056:BR1056">IF(OR(MO.RealTimeStockPriceToggle=FALSE,VLOOKUP(MO.DataSourceName,MO_SPT_StockHigh_Sources,COLUMN(),FALSE)="N/A"),VLOOKUP("Real-Time Off Source",MO_SPT_StockHigh_Sources,COLUMN(),FALSE),VLOOKUP(MO.DataSourceName,MO_SPT_StockHigh_Sources,COLUMN(),FALSE))</f>
        <v>0</v>
      </c>
      <c r="BL1056" s="175">
        <f t="shared" ca="1" si="1977"/>
        <v>0</v>
      </c>
      <c r="BM1056" s="175">
        <f t="shared" ca="1" si="1977"/>
        <v>0</v>
      </c>
      <c r="BN1056" s="175">
        <f t="shared" ca="1" si="1977"/>
        <v>0</v>
      </c>
      <c r="BO1056" s="175">
        <f t="shared" ca="1" si="1977"/>
        <v>0</v>
      </c>
      <c r="BP1056" s="220">
        <f t="shared" ca="1" si="1977"/>
        <v>0</v>
      </c>
      <c r="BQ1056" s="220">
        <f t="shared" ca="1" si="1977"/>
        <v>0</v>
      </c>
      <c r="BR1056" s="176">
        <f t="shared" ca="1" si="1977"/>
        <v>0</v>
      </c>
      <c r="BS1056" s="268"/>
    </row>
    <row r="1057" spans="1:71" s="694" customFormat="1" ht="15" hidden="1" outlineLevel="1">
      <c r="A1057" s="177" t="s">
        <v>262</v>
      </c>
      <c r="B1057" s="175"/>
      <c r="C1057" s="1299">
        <v>18.10</v>
      </c>
      <c r="D1057" s="1299">
        <v>22.13</v>
      </c>
      <c r="E1057" s="1300">
        <v>22.08</v>
      </c>
      <c r="F1057" s="1300">
        <v>23.41</v>
      </c>
      <c r="G1057" s="1300">
        <v>28.54</v>
      </c>
      <c r="H1057" s="1300">
        <v>27.30</v>
      </c>
      <c r="I1057" s="1300">
        <v>26.03</v>
      </c>
      <c r="J1057" s="1300">
        <v>25.63</v>
      </c>
      <c r="K1057" s="1300">
        <v>27.52</v>
      </c>
      <c r="L1057" s="1300">
        <v>27.52</v>
      </c>
      <c r="M1057" s="1300">
        <v>27.90</v>
      </c>
      <c r="N1057" s="1300">
        <v>28.50</v>
      </c>
      <c r="O1057" s="1300">
        <v>31.70</v>
      </c>
      <c r="P1057" s="1300">
        <v>33.950000000000003</v>
      </c>
      <c r="Q1057" s="1300">
        <v>33.950000000000003</v>
      </c>
      <c r="R1057" s="1300">
        <v>35.270000000000003</v>
      </c>
      <c r="S1057" s="1300">
        <v>35.54</v>
      </c>
      <c r="T1057" s="1300">
        <v>34.29</v>
      </c>
      <c r="U1057" s="1300">
        <v>35.950000000000003</v>
      </c>
      <c r="V1057" s="1300">
        <v>35.950000000000003</v>
      </c>
      <c r="W1057" s="1300">
        <v>40.74</v>
      </c>
      <c r="X1057" s="1300">
        <v>45.03</v>
      </c>
      <c r="Y1057" s="1300">
        <v>49.01</v>
      </c>
      <c r="Z1057" s="1300">
        <v>57.18</v>
      </c>
      <c r="AA1057" s="1300">
        <v>57.18</v>
      </c>
      <c r="AB1057" s="1300">
        <v>62.33</v>
      </c>
      <c r="AC1057" s="1300">
        <v>63</v>
      </c>
      <c r="AD1057" s="1300">
        <v>71.20</v>
      </c>
      <c r="AE1057" s="1300">
        <v>73.459999999999994</v>
      </c>
      <c r="AF1057" s="1300">
        <v>73.459999999999994</v>
      </c>
      <c r="AG1057" s="1300">
        <v>73.61</v>
      </c>
      <c r="AH1057" s="1300">
        <v>83.34</v>
      </c>
      <c r="AI1057" s="1300">
        <v>84.39</v>
      </c>
      <c r="AJ1057" s="1300">
        <v>76.900000000000006</v>
      </c>
      <c r="AK1057" s="1300">
        <v>84.39</v>
      </c>
      <c r="AL1057" s="1300">
        <v>83.86</v>
      </c>
      <c r="AM1057" s="1300">
        <v>82.96</v>
      </c>
      <c r="AN1057" s="1300">
        <v>97.36</v>
      </c>
      <c r="AO1057" s="1300">
        <v>101.38</v>
      </c>
      <c r="AP1057" s="1300">
        <v>101.38</v>
      </c>
      <c r="AQ1057" s="1300">
        <v>98.79</v>
      </c>
      <c r="AR1057" s="1300">
        <v>107.09999999999999</v>
      </c>
      <c r="AS1057" s="1300">
        <v>99.88</v>
      </c>
      <c r="AT1057" s="1300">
        <v>103.97</v>
      </c>
      <c r="AU1057" s="1300">
        <v>107.09999999999999</v>
      </c>
      <c r="AV1057" s="1300">
        <v>117.17</v>
      </c>
      <c r="AW1057" s="1300">
        <v>121.19</v>
      </c>
      <c r="AX1057" s="1300">
        <v>129.22</v>
      </c>
      <c r="AY1057" s="1300">
        <v>132.50999999999999</v>
      </c>
      <c r="AZ1057" s="1300">
        <v>132.50999999999999</v>
      </c>
      <c r="BA1057" s="1300">
        <v>145.63999999999999</v>
      </c>
      <c r="BB1057" s="1300">
        <v>132.77000000000001</v>
      </c>
      <c r="BC1057" s="1300">
        <v>143.25999999999999</v>
      </c>
      <c r="BD1057" s="1300">
        <v>165.13</v>
      </c>
      <c r="BE1057" s="1300">
        <v>165.13</v>
      </c>
      <c r="BF1057" s="1300">
        <v>206.82</v>
      </c>
      <c r="BG1057" s="1300">
        <v>215.90</v>
      </c>
      <c r="BH1057" s="1301">
        <v>259.24</v>
      </c>
      <c r="BI1057" s="175"/>
      <c r="BJ1057" s="175"/>
      <c r="BK1057" s="175"/>
      <c r="BL1057" s="175"/>
      <c r="BM1057" s="175"/>
      <c r="BN1057" s="175"/>
      <c r="BO1057" s="175"/>
      <c r="BP1057" s="220"/>
      <c r="BQ1057" s="220"/>
      <c r="BR1057" s="176"/>
      <c r="BS1057" s="268"/>
    </row>
    <row r="1058" spans="1:71" s="694" customFormat="1" ht="15" hidden="1" outlineLevel="1">
      <c r="A1058" s="177" t="s">
        <v>7</v>
      </c>
      <c r="B1058" s="175"/>
      <c r="C1058" s="303" t="str">
        <f ca="1">IFERROR(BDP(MO.Ticker.Bloomberg&amp;" Equity","INTERVAL_HIGH","MARKET_DATA_OVERRIDE=PX_LAST","START_DATE_OVERRIDE",TEXT(INDEX(MO_SNA_FPStartDate,0,COLUMN()),"YYYYMMDD"),"END_DATE_OVERRIDE",TEXT(INDEX(MO_Common_QEndDate,0,COLUMN()),"YYYYMMDD")),"N/A")</f>
        <v>N/A</v>
      </c>
      <c r="D1058" s="303" t="str">
        <f ca="1">IFERROR(BDP(MO.Ticker.Bloomberg&amp;" Equity","INTERVAL_HIGH","MARKET_DATA_OVERRIDE=PX_LAST","START_DATE_OVERRIDE",TEXT(INDEX(MO_SNA_FPStartDate,0,COLUMN()),"YYYYMMDD"),"END_DATE_OVERRIDE",TEXT(INDEX(MO_Common_QEndDate,0,COLUMN()),"YYYYMMDD")),"N/A")</f>
        <v>N/A</v>
      </c>
      <c r="E1058" s="220" t="str">
        <f ca="1">IFERROR(BDP(MO.Ticker.Bloomberg&amp;" Equity","INTERVAL_HIGH","MARKET_DATA_OVERRIDE=PX_LAST","START_DATE_OVERRIDE",TEXT(INDEX(MO_SNA_FPStartDate,0,COLUMN()),"YYYYMMDD"),"END_DATE_OVERRIDE",TEXT(INDEX(MO_Common_QEndDate,0,COLUMN()),"YYYYMMDD")),"N/A")</f>
        <v>N/A</v>
      </c>
      <c r="F1058" s="220" t="str">
        <f ca="1">IFERROR(BDP(MO.Ticker.Bloomberg&amp;" Equity","INTERVAL_HIGH","MARKET_DATA_OVERRIDE=PX_LAST","START_DATE_OVERRIDE",TEXT(INDEX(MO_SNA_FPStartDate,0,COLUMN()),"YYYYMMDD"),"END_DATE_OVERRIDE",TEXT(INDEX(MO_Common_QEndDate,0,COLUMN()),"YYYYMMDD")),"N/A")</f>
        <v>N/A</v>
      </c>
      <c r="G1058" s="220" t="str">
        <f ca="1">IFERROR(BDP(MO.Ticker.Bloomberg&amp;" Equity","INTERVAL_HIGH","MARKET_DATA_OVERRIDE=PX_LAST","START_DATE_OVERRIDE",TEXT(INDEX(MO_SNA_FPStartDate,0,COLUMN()),"YYYYMMDD"),"END_DATE_OVERRIDE",TEXT(INDEX(MO_Common_QEndDate,0,COLUMN()),"YYYYMMDD")),"N/A")</f>
        <v>N/A</v>
      </c>
      <c r="H1058" s="220" t="str">
        <f ca="1">IFERROR(BDP(MO.Ticker.Bloomberg&amp;" Equity","INTERVAL_HIGH","MARKET_DATA_OVERRIDE=PX_LAST","START_DATE_OVERRIDE",TEXT(INDEX(MO_SNA_FPStartDate,0,COLUMN()),"YYYYMMDD"),"END_DATE_OVERRIDE",TEXT(INDEX(MO_Common_QEndDate,0,COLUMN()),"YYYYMMDD")),"N/A")</f>
        <v>N/A</v>
      </c>
      <c r="I1058" s="220" t="str">
        <f ca="1">IFERROR(BDP(MO.Ticker.Bloomberg&amp;" Equity","INTERVAL_HIGH","MARKET_DATA_OVERRIDE=PX_LAST","START_DATE_OVERRIDE",TEXT(INDEX(MO_SNA_FPStartDate,0,COLUMN()),"YYYYMMDD"),"END_DATE_OVERRIDE",TEXT(INDEX(MO_Common_QEndDate,0,COLUMN()),"YYYYMMDD")),"N/A")</f>
        <v>N/A</v>
      </c>
      <c r="J1058" s="220" t="str">
        <f ca="1">IFERROR(BDP(MO.Ticker.Bloomberg&amp;" Equity","INTERVAL_HIGH","MARKET_DATA_OVERRIDE=PX_LAST","START_DATE_OVERRIDE",TEXT(INDEX(MO_SNA_FPStartDate,0,COLUMN()),"YYYYMMDD"),"END_DATE_OVERRIDE",TEXT(INDEX(MO_Common_QEndDate,0,COLUMN()),"YYYYMMDD")),"N/A")</f>
        <v>N/A</v>
      </c>
      <c r="K1058" s="220" t="str">
        <f ca="1">IFERROR(BDP(MO.Ticker.Bloomberg&amp;" Equity","INTERVAL_HIGH","MARKET_DATA_OVERRIDE=PX_LAST","START_DATE_OVERRIDE",TEXT(INDEX(MO_SNA_FPStartDate,0,COLUMN()),"YYYYMMDD"),"END_DATE_OVERRIDE",TEXT(INDEX(MO_Common_QEndDate,0,COLUMN()),"YYYYMMDD")),"N/A")</f>
        <v>N/A</v>
      </c>
      <c r="L1058" s="220" t="str">
        <f ca="1">IFERROR(BDP(MO.Ticker.Bloomberg&amp;" Equity","INTERVAL_HIGH","MARKET_DATA_OVERRIDE=PX_LAST","START_DATE_OVERRIDE",TEXT(INDEX(MO_SNA_FPStartDate,0,COLUMN()),"YYYYMMDD"),"END_DATE_OVERRIDE",TEXT(INDEX(MO_Common_QEndDate,0,COLUMN()),"YYYYMMDD")),"N/A")</f>
        <v>N/A</v>
      </c>
      <c r="M1058" s="220" t="str">
        <f ca="1">IFERROR(BDP(MO.Ticker.Bloomberg&amp;" Equity","INTERVAL_HIGH","MARKET_DATA_OVERRIDE=PX_LAST","START_DATE_OVERRIDE",TEXT(INDEX(MO_SNA_FPStartDate,0,COLUMN()),"YYYYMMDD"),"END_DATE_OVERRIDE",TEXT(INDEX(MO_Common_QEndDate,0,COLUMN()),"YYYYMMDD")),"N/A")</f>
        <v>N/A</v>
      </c>
      <c r="N1058" s="220" t="str">
        <f ca="1">IFERROR(BDP(MO.Ticker.Bloomberg&amp;" Equity","INTERVAL_HIGH","MARKET_DATA_OVERRIDE=PX_LAST","START_DATE_OVERRIDE",TEXT(INDEX(MO_SNA_FPStartDate,0,COLUMN()),"YYYYMMDD"),"END_DATE_OVERRIDE",TEXT(INDEX(MO_Common_QEndDate,0,COLUMN()),"YYYYMMDD")),"N/A")</f>
        <v>N/A</v>
      </c>
      <c r="O1058" s="220" t="str">
        <f ca="1">IFERROR(BDP(MO.Ticker.Bloomberg&amp;" Equity","INTERVAL_HIGH","MARKET_DATA_OVERRIDE=PX_LAST","START_DATE_OVERRIDE",TEXT(INDEX(MO_SNA_FPStartDate,0,COLUMN()),"YYYYMMDD"),"END_DATE_OVERRIDE",TEXT(INDEX(MO_Common_QEndDate,0,COLUMN()),"YYYYMMDD")),"N/A")</f>
        <v>N/A</v>
      </c>
      <c r="P1058" s="220" t="str">
        <f ca="1">IFERROR(BDP(MO.Ticker.Bloomberg&amp;" Equity","INTERVAL_HIGH","MARKET_DATA_OVERRIDE=PX_LAST","START_DATE_OVERRIDE",TEXT(INDEX(MO_SNA_FPStartDate,0,COLUMN()),"YYYYMMDD"),"END_DATE_OVERRIDE",TEXT(INDEX(MO_Common_QEndDate,0,COLUMN()),"YYYYMMDD")),"N/A")</f>
        <v>N/A</v>
      </c>
      <c r="Q1058" s="220" t="str">
        <f ca="1">IFERROR(BDP(MO.Ticker.Bloomberg&amp;" Equity","INTERVAL_HIGH","MARKET_DATA_OVERRIDE=PX_LAST","START_DATE_OVERRIDE",TEXT(INDEX(MO_SNA_FPStartDate,0,COLUMN()),"YYYYMMDD"),"END_DATE_OVERRIDE",TEXT(INDEX(MO_Common_QEndDate,0,COLUMN()),"YYYYMMDD")),"N/A")</f>
        <v>N/A</v>
      </c>
      <c r="R1058" s="220" t="str">
        <f ca="1">IFERROR(BDP(MO.Ticker.Bloomberg&amp;" Equity","INTERVAL_HIGH","MARKET_DATA_OVERRIDE=PX_LAST","START_DATE_OVERRIDE",TEXT(INDEX(MO_SNA_FPStartDate,0,COLUMN()),"YYYYMMDD"),"END_DATE_OVERRIDE",TEXT(INDEX(MO_Common_QEndDate,0,COLUMN()),"YYYYMMDD")),"N/A")</f>
        <v>N/A</v>
      </c>
      <c r="S1058" s="220" t="str">
        <f ca="1">IFERROR(BDP(MO.Ticker.Bloomberg&amp;" Equity","INTERVAL_HIGH","MARKET_DATA_OVERRIDE=PX_LAST","START_DATE_OVERRIDE",TEXT(INDEX(MO_SNA_FPStartDate,0,COLUMN()),"YYYYMMDD"),"END_DATE_OVERRIDE",TEXT(INDEX(MO_Common_QEndDate,0,COLUMN()),"YYYYMMDD")),"N/A")</f>
        <v>N/A</v>
      </c>
      <c r="T1058" s="220" t="str">
        <f ca="1">IFERROR(BDP(MO.Ticker.Bloomberg&amp;" Equity","INTERVAL_HIGH","MARKET_DATA_OVERRIDE=PX_LAST","START_DATE_OVERRIDE",TEXT(INDEX(MO_SNA_FPStartDate,0,COLUMN()),"YYYYMMDD"),"END_DATE_OVERRIDE",TEXT(INDEX(MO_Common_QEndDate,0,COLUMN()),"YYYYMMDD")),"N/A")</f>
        <v>N/A</v>
      </c>
      <c r="U1058" s="220" t="str">
        <f ca="1">IFERROR(BDP(MO.Ticker.Bloomberg&amp;" Equity","INTERVAL_HIGH","MARKET_DATA_OVERRIDE=PX_LAST","START_DATE_OVERRIDE",TEXT(INDEX(MO_SNA_FPStartDate,0,COLUMN()),"YYYYMMDD"),"END_DATE_OVERRIDE",TEXT(INDEX(MO_Common_QEndDate,0,COLUMN()),"YYYYMMDD")),"N/A")</f>
        <v>N/A</v>
      </c>
      <c r="V1058" s="220" t="str">
        <f ca="1">IFERROR(BDP(MO.Ticker.Bloomberg&amp;" Equity","INTERVAL_HIGH","MARKET_DATA_OVERRIDE=PX_LAST","START_DATE_OVERRIDE",TEXT(INDEX(MO_SNA_FPStartDate,0,COLUMN()),"YYYYMMDD"),"END_DATE_OVERRIDE",TEXT(INDEX(MO_Common_QEndDate,0,COLUMN()),"YYYYMMDD")),"N/A")</f>
        <v>N/A</v>
      </c>
      <c r="W1058" s="220" t="str">
        <f ca="1">IFERROR(BDP(MO.Ticker.Bloomberg&amp;" Equity","INTERVAL_HIGH","MARKET_DATA_OVERRIDE=PX_LAST","START_DATE_OVERRIDE",TEXT(INDEX(MO_SNA_FPStartDate,0,COLUMN()),"YYYYMMDD"),"END_DATE_OVERRIDE",TEXT(INDEX(MO_Common_QEndDate,0,COLUMN()),"YYYYMMDD")),"N/A")</f>
        <v>N/A</v>
      </c>
      <c r="X1058" s="220" t="str">
        <f ca="1">IFERROR(BDP(MO.Ticker.Bloomberg&amp;" Equity","INTERVAL_HIGH","MARKET_DATA_OVERRIDE=PX_LAST","START_DATE_OVERRIDE",TEXT(INDEX(MO_SNA_FPStartDate,0,COLUMN()),"YYYYMMDD"),"END_DATE_OVERRIDE",TEXT(INDEX(MO_Common_QEndDate,0,COLUMN()),"YYYYMMDD")),"N/A")</f>
        <v>N/A</v>
      </c>
      <c r="Y1058" s="220" t="str">
        <f ca="1">IFERROR(BDP(MO.Ticker.Bloomberg&amp;" Equity","INTERVAL_HIGH","MARKET_DATA_OVERRIDE=PX_LAST","START_DATE_OVERRIDE",TEXT(INDEX(MO_SNA_FPStartDate,0,COLUMN()),"YYYYMMDD"),"END_DATE_OVERRIDE",TEXT(INDEX(MO_Common_QEndDate,0,COLUMN()),"YYYYMMDD")),"N/A")</f>
        <v>N/A</v>
      </c>
      <c r="Z1058" s="220" t="str">
        <f ca="1">IFERROR(BDP(MO.Ticker.Bloomberg&amp;" Equity","INTERVAL_HIGH","MARKET_DATA_OVERRIDE=PX_LAST","START_DATE_OVERRIDE",TEXT(INDEX(MO_SNA_FPStartDate,0,COLUMN()),"YYYYMMDD"),"END_DATE_OVERRIDE",TEXT(INDEX(MO_Common_QEndDate,0,COLUMN()),"YYYYMMDD")),"N/A")</f>
        <v>N/A</v>
      </c>
      <c r="AA1058" s="220" t="str">
        <f ca="1">IFERROR(BDP(MO.Ticker.Bloomberg&amp;" Equity","INTERVAL_HIGH","MARKET_DATA_OVERRIDE=PX_LAST","START_DATE_OVERRIDE",TEXT(INDEX(MO_SNA_FPStartDate,0,COLUMN()),"YYYYMMDD"),"END_DATE_OVERRIDE",TEXT(INDEX(MO_Common_QEndDate,0,COLUMN()),"YYYYMMDD")),"N/A")</f>
        <v>N/A</v>
      </c>
      <c r="AB1058" s="220" t="str">
        <f ca="1">IFERROR(BDP(MO.Ticker.Bloomberg&amp;" Equity","INTERVAL_HIGH","MARKET_DATA_OVERRIDE=PX_LAST","START_DATE_OVERRIDE",TEXT(INDEX(MO_SNA_FPStartDate,0,COLUMN()),"YYYYMMDD"),"END_DATE_OVERRIDE",TEXT(INDEX(MO_Common_QEndDate,0,COLUMN()),"YYYYMMDD")),"N/A")</f>
        <v>N/A</v>
      </c>
      <c r="AC1058" s="220" t="str">
        <f ca="1">IFERROR(BDP(MO.Ticker.Bloomberg&amp;" Equity","INTERVAL_HIGH","MARKET_DATA_OVERRIDE=PX_LAST","START_DATE_OVERRIDE",TEXT(INDEX(MO_SNA_FPStartDate,0,COLUMN()),"YYYYMMDD"),"END_DATE_OVERRIDE",TEXT(INDEX(MO_Common_QEndDate,0,COLUMN()),"YYYYMMDD")),"N/A")</f>
        <v>N/A</v>
      </c>
      <c r="AD1058" s="220" t="str">
        <f ca="1">IFERROR(BDP(MO.Ticker.Bloomberg&amp;" Equity","INTERVAL_HIGH","MARKET_DATA_OVERRIDE=PX_LAST","START_DATE_OVERRIDE",TEXT(INDEX(MO_SNA_FPStartDate,0,COLUMN()),"YYYYMMDD"),"END_DATE_OVERRIDE",TEXT(INDEX(MO_Common_QEndDate,0,COLUMN()),"YYYYMMDD")),"N/A")</f>
        <v>N/A</v>
      </c>
      <c r="AE1058" s="220" t="str">
        <f ca="1">IFERROR(BDP(MO.Ticker.Bloomberg&amp;" Equity","INTERVAL_HIGH","MARKET_DATA_OVERRIDE=PX_LAST","START_DATE_OVERRIDE",TEXT(INDEX(MO_SNA_FPStartDate,0,COLUMN()),"YYYYMMDD"),"END_DATE_OVERRIDE",TEXT(INDEX(MO_Common_QEndDate,0,COLUMN()),"YYYYMMDD")),"N/A")</f>
        <v>N/A</v>
      </c>
      <c r="AF1058" s="220" t="str">
        <f ca="1">IFERROR(BDP(MO.Ticker.Bloomberg&amp;" Equity","INTERVAL_HIGH","MARKET_DATA_OVERRIDE=PX_LAST","START_DATE_OVERRIDE",TEXT(INDEX(MO_SNA_FPStartDate,0,COLUMN()),"YYYYMMDD"),"END_DATE_OVERRIDE",TEXT(INDEX(MO_Common_QEndDate,0,COLUMN()),"YYYYMMDD")),"N/A")</f>
        <v>N/A</v>
      </c>
      <c r="AG1058" s="220" t="str">
        <f ca="1">IFERROR(BDP(MO.Ticker.Bloomberg&amp;" Equity","INTERVAL_HIGH","MARKET_DATA_OVERRIDE=PX_LAST","START_DATE_OVERRIDE",TEXT(INDEX(MO_SNA_FPStartDate,0,COLUMN()),"YYYYMMDD"),"END_DATE_OVERRIDE",TEXT(INDEX(MO_Common_QEndDate,0,COLUMN()),"YYYYMMDD")),"N/A")</f>
        <v>N/A</v>
      </c>
      <c r="AH1058" s="220" t="str">
        <f ca="1">IFERROR(BDP(MO.Ticker.Bloomberg&amp;" Equity","INTERVAL_HIGH","MARKET_DATA_OVERRIDE=PX_LAST","START_DATE_OVERRIDE",TEXT(INDEX(MO_SNA_FPStartDate,0,COLUMN()),"YYYYMMDD"),"END_DATE_OVERRIDE",TEXT(INDEX(MO_Common_QEndDate,0,COLUMN()),"YYYYMMDD")),"N/A")</f>
        <v>N/A</v>
      </c>
      <c r="AI1058" s="220" t="str">
        <f ca="1">IFERROR(BDP(MO.Ticker.Bloomberg&amp;" Equity","INTERVAL_HIGH","MARKET_DATA_OVERRIDE=PX_LAST","START_DATE_OVERRIDE",TEXT(INDEX(MO_SNA_FPStartDate,0,COLUMN()),"YYYYMMDD"),"END_DATE_OVERRIDE",TEXT(INDEX(MO_Common_QEndDate,0,COLUMN()),"YYYYMMDD")),"N/A")</f>
        <v>N/A</v>
      </c>
      <c r="AJ1058" s="220" t="str">
        <f ca="1">IFERROR(BDP(MO.Ticker.Bloomberg&amp;" Equity","INTERVAL_HIGH","MARKET_DATA_OVERRIDE=PX_LAST","START_DATE_OVERRIDE",TEXT(INDEX(MO_SNA_FPStartDate,0,COLUMN()),"YYYYMMDD"),"END_DATE_OVERRIDE",TEXT(INDEX(MO_Common_QEndDate,0,COLUMN()),"YYYYMMDD")),"N/A")</f>
        <v>N/A</v>
      </c>
      <c r="AK1058" s="220" t="str">
        <f ca="1">IFERROR(BDP(MO.Ticker.Bloomberg&amp;" Equity","INTERVAL_HIGH","MARKET_DATA_OVERRIDE=PX_LAST","START_DATE_OVERRIDE",TEXT(INDEX(MO_SNA_FPStartDate,0,COLUMN()),"YYYYMMDD"),"END_DATE_OVERRIDE",TEXT(INDEX(MO_Common_QEndDate,0,COLUMN()),"YYYYMMDD")),"N/A")</f>
        <v>N/A</v>
      </c>
      <c r="AL1058" s="220" t="str">
        <f ca="1">IFERROR(BDP(MO.Ticker.Bloomberg&amp;" Equity","INTERVAL_HIGH","MARKET_DATA_OVERRIDE=PX_LAST","START_DATE_OVERRIDE",TEXT(INDEX(MO_SNA_FPStartDate,0,COLUMN()),"YYYYMMDD"),"END_DATE_OVERRIDE",TEXT(INDEX(MO_Common_QEndDate,0,COLUMN()),"YYYYMMDD")),"N/A")</f>
        <v>N/A</v>
      </c>
      <c r="AM1058" s="220" t="str">
        <f ca="1">IFERROR(BDP(MO.Ticker.Bloomberg&amp;" Equity","INTERVAL_HIGH","MARKET_DATA_OVERRIDE=PX_LAST","START_DATE_OVERRIDE",TEXT(INDEX(MO_SNA_FPStartDate,0,COLUMN()),"YYYYMMDD"),"END_DATE_OVERRIDE",TEXT(INDEX(MO_Common_QEndDate,0,COLUMN()),"YYYYMMDD")),"N/A")</f>
        <v>N/A</v>
      </c>
      <c r="AN1058" s="220" t="str">
        <f ca="1">IFERROR(BDP(MO.Ticker.Bloomberg&amp;" Equity","INTERVAL_HIGH","MARKET_DATA_OVERRIDE=PX_LAST","START_DATE_OVERRIDE",TEXT(INDEX(MO_SNA_FPStartDate,0,COLUMN()),"YYYYMMDD"),"END_DATE_OVERRIDE",TEXT(INDEX(MO_Common_QEndDate,0,COLUMN()),"YYYYMMDD")),"N/A")</f>
        <v>N/A</v>
      </c>
      <c r="AO1058" s="220" t="str">
        <f ca="1">IFERROR(BDP(MO.Ticker.Bloomberg&amp;" Equity","INTERVAL_HIGH","MARKET_DATA_OVERRIDE=PX_LAST","START_DATE_OVERRIDE",TEXT(INDEX(MO_SNA_FPStartDate,0,COLUMN()),"YYYYMMDD"),"END_DATE_OVERRIDE",TEXT(INDEX(MO_Common_QEndDate,0,COLUMN()),"YYYYMMDD")),"N/A")</f>
        <v>N/A</v>
      </c>
      <c r="AP1058" s="220" t="str">
        <f ca="1">IFERROR(BDP(MO.Ticker.Bloomberg&amp;" Equity","INTERVAL_HIGH","MARKET_DATA_OVERRIDE=PX_LAST","START_DATE_OVERRIDE",TEXT(INDEX(MO_SNA_FPStartDate,0,COLUMN()),"YYYYMMDD"),"END_DATE_OVERRIDE",TEXT(INDEX(MO_Common_QEndDate,0,COLUMN()),"YYYYMMDD")),"N/A")</f>
        <v>N/A</v>
      </c>
      <c r="AQ1058" s="220" t="str">
        <f ca="1">IFERROR(BDP(MO.Ticker.Bloomberg&amp;" Equity","INTERVAL_HIGH","MARKET_DATA_OVERRIDE=PX_LAST","START_DATE_OVERRIDE",TEXT(INDEX(MO_SNA_FPStartDate,0,COLUMN()),"YYYYMMDD"),"END_DATE_OVERRIDE",TEXT(INDEX(MO_Common_QEndDate,0,COLUMN()),"YYYYMMDD")),"N/A")</f>
        <v>N/A</v>
      </c>
      <c r="AR1058" s="220" t="str">
        <f ca="1">IFERROR(BDP(MO.Ticker.Bloomberg&amp;" Equity","INTERVAL_HIGH","MARKET_DATA_OVERRIDE=PX_LAST","START_DATE_OVERRIDE",TEXT(INDEX(MO_SNA_FPStartDate,0,COLUMN()),"YYYYMMDD"),"END_DATE_OVERRIDE",TEXT(INDEX(MO_Common_QEndDate,0,COLUMN()),"YYYYMMDD")),"N/A")</f>
        <v>N/A</v>
      </c>
      <c r="AS1058" s="220" t="str">
        <f ca="1">IFERROR(BDP(MO.Ticker.Bloomberg&amp;" Equity","INTERVAL_HIGH","MARKET_DATA_OVERRIDE=PX_LAST","START_DATE_OVERRIDE",TEXT(INDEX(MO_SNA_FPStartDate,0,COLUMN()),"YYYYMMDD"),"END_DATE_OVERRIDE",TEXT(INDEX(MO_Common_QEndDate,0,COLUMN()),"YYYYMMDD")),"N/A")</f>
        <v>N/A</v>
      </c>
      <c r="AT1058" s="220" t="str">
        <f ca="1">IFERROR(BDP(MO.Ticker.Bloomberg&amp;" Equity","INTERVAL_HIGH","MARKET_DATA_OVERRIDE=PX_LAST","START_DATE_OVERRIDE",TEXT(INDEX(MO_SNA_FPStartDate,0,COLUMN()),"YYYYMMDD"),"END_DATE_OVERRIDE",TEXT(INDEX(MO_Common_QEndDate,0,COLUMN()),"YYYYMMDD")),"N/A")</f>
        <v>N/A</v>
      </c>
      <c r="AU1058" s="220" t="str">
        <f ca="1">IFERROR(BDP(MO.Ticker.Bloomberg&amp;" Equity","INTERVAL_HIGH","MARKET_DATA_OVERRIDE=PX_LAST","START_DATE_OVERRIDE",TEXT(INDEX(MO_SNA_FPStartDate,0,COLUMN()),"YYYYMMDD"),"END_DATE_OVERRIDE",TEXT(INDEX(MO_Common_QEndDate,0,COLUMN()),"YYYYMMDD")),"N/A")</f>
        <v>N/A</v>
      </c>
      <c r="AV1058" s="220" t="str">
        <f ca="1">IFERROR(BDP(MO.Ticker.Bloomberg&amp;" Equity","INTERVAL_HIGH","MARKET_DATA_OVERRIDE=PX_LAST","START_DATE_OVERRIDE",TEXT(INDEX(MO_SNA_FPStartDate,0,COLUMN()),"YYYYMMDD"),"END_DATE_OVERRIDE",TEXT(INDEX(MO_Common_QEndDate,0,COLUMN()),"YYYYMMDD")),"N/A")</f>
        <v>N/A</v>
      </c>
      <c r="AW1058" s="220" t="str">
        <f ca="1">IFERROR(BDP(MO.Ticker.Bloomberg&amp;" Equity","INTERVAL_HIGH","MARKET_DATA_OVERRIDE=PX_LAST","START_DATE_OVERRIDE",TEXT(INDEX(MO_SNA_FPStartDate,0,COLUMN()),"YYYYMMDD"),"END_DATE_OVERRIDE",TEXT(INDEX(MO_Common_QEndDate,0,COLUMN()),"YYYYMMDD")),"N/A")</f>
        <v>N/A</v>
      </c>
      <c r="AX1058" s="220" t="str">
        <f ca="1">IFERROR(BDP(MO.Ticker.Bloomberg&amp;" Equity","INTERVAL_HIGH","MARKET_DATA_OVERRIDE=PX_LAST","START_DATE_OVERRIDE",TEXT(INDEX(MO_SNA_FPStartDate,0,COLUMN()),"YYYYMMDD"),"END_DATE_OVERRIDE",TEXT(INDEX(MO_Common_QEndDate,0,COLUMN()),"YYYYMMDD")),"N/A")</f>
        <v>N/A</v>
      </c>
      <c r="AY1058" s="220" t="str">
        <f ca="1">IFERROR(BDP(MO.Ticker.Bloomberg&amp;" Equity","INTERVAL_HIGH","MARKET_DATA_OVERRIDE=PX_LAST","START_DATE_OVERRIDE",TEXT(INDEX(MO_SNA_FPStartDate,0,COLUMN()),"YYYYMMDD"),"END_DATE_OVERRIDE",TEXT(INDEX(MO_Common_QEndDate,0,COLUMN()),"YYYYMMDD")),"N/A")</f>
        <v>N/A</v>
      </c>
      <c r="AZ1058" s="220" t="str">
        <f ca="1">IFERROR(BDP(MO.Ticker.Bloomberg&amp;" Equity","INTERVAL_HIGH","MARKET_DATA_OVERRIDE=PX_LAST","START_DATE_OVERRIDE",TEXT(INDEX(MO_SNA_FPStartDate,0,COLUMN()),"YYYYMMDD"),"END_DATE_OVERRIDE",TEXT(INDEX(MO_Common_QEndDate,0,COLUMN()),"YYYYMMDD")),"N/A")</f>
        <v>N/A</v>
      </c>
      <c r="BA1058" s="220" t="str">
        <f ca="1">IFERROR(BDP(MO.Ticker.Bloomberg&amp;" Equity","INTERVAL_HIGH","MARKET_DATA_OVERRIDE=PX_LAST","START_DATE_OVERRIDE",TEXT(INDEX(MO_SNA_FPStartDate,0,COLUMN()),"YYYYMMDD"),"END_DATE_OVERRIDE",TEXT(INDEX(MO_Common_QEndDate,0,COLUMN()),"YYYYMMDD")),"N/A")</f>
        <v>N/A</v>
      </c>
      <c r="BB1058" s="220" t="str">
        <f ca="1">IFERROR(BDP(MO.Ticker.Bloomberg&amp;" Equity","INTERVAL_HIGH","MARKET_DATA_OVERRIDE=PX_LAST","START_DATE_OVERRIDE",TEXT(INDEX(MO_SNA_FPStartDate,0,COLUMN()),"YYYYMMDD"),"END_DATE_OVERRIDE",TEXT(INDEX(MO_Common_QEndDate,0,COLUMN()),"YYYYMMDD")),"N/A")</f>
        <v>N/A</v>
      </c>
      <c r="BC1058" s="220" t="str">
        <f ca="1">IFERROR(BDP(MO.Ticker.Bloomberg&amp;" Equity","INTERVAL_HIGH","MARKET_DATA_OVERRIDE=PX_LAST","START_DATE_OVERRIDE",TEXT(INDEX(MO_SNA_FPStartDate,0,COLUMN()),"YYYYMMDD"),"END_DATE_OVERRIDE",TEXT(INDEX(MO_Common_QEndDate,0,COLUMN()),"YYYYMMDD")),"N/A")</f>
        <v>N/A</v>
      </c>
      <c r="BD1058" s="220" t="str">
        <f ca="1">IFERROR(BDP(MO.Ticker.Bloomberg&amp;" Equity","INTERVAL_HIGH","MARKET_DATA_OVERRIDE=PX_LAST","START_DATE_OVERRIDE",TEXT(INDEX(MO_SNA_FPStartDate,0,COLUMN()),"YYYYMMDD"),"END_DATE_OVERRIDE",TEXT(INDEX(MO_Common_QEndDate,0,COLUMN()),"YYYYMMDD")),"N/A")</f>
        <v>N/A</v>
      </c>
      <c r="BE1058" s="220" t="str">
        <f ca="1">IFERROR(BDP(MO.Ticker.Bloomberg&amp;" Equity","INTERVAL_HIGH","MARKET_DATA_OVERRIDE=PX_LAST","START_DATE_OVERRIDE",TEXT(INDEX(MO_SNA_FPStartDate,0,COLUMN()),"YYYYMMDD"),"END_DATE_OVERRIDE",TEXT(INDEX(MO_Common_QEndDate,0,COLUMN()),"YYYYMMDD")),"N/A")</f>
        <v>N/A</v>
      </c>
      <c r="BF1058" s="220" t="str">
        <f ca="1">IFERROR(BDP(MO.Ticker.Bloomberg&amp;" Equity","INTERVAL_HIGH","MARKET_DATA_OVERRIDE=PX_LAST","START_DATE_OVERRIDE",TEXT(INDEX(MO_SNA_FPStartDate,0,COLUMN()),"YYYYMMDD"),"END_DATE_OVERRIDE",TEXT(INDEX(MO_Common_QEndDate,0,COLUMN()),"YYYYMMDD")),"N/A")</f>
        <v>N/A</v>
      </c>
      <c r="BG1058" s="220" t="str">
        <f ca="1">IFERROR(BDP(MO.Ticker.Bloomberg&amp;" Equity","INTERVAL_HIGH","MARKET_DATA_OVERRIDE=PX_LAST","START_DATE_OVERRIDE",TEXT(INDEX(MO_SNA_FPStartDate,0,COLUMN()),"YYYYMMDD"),"END_DATE_OVERRIDE",TEXT(INDEX(MO_Common_QEndDate,0,COLUMN()),"YYYYMMDD")),"N/A")</f>
        <v>N/A</v>
      </c>
      <c r="BH1058" s="378" t="str">
        <f ca="1">IFERROR(BDP(MO.Ticker.Bloomberg&amp;" Equity","INTERVAL_HIGH","MARKET_DATA_OVERRIDE=PX_LAST","START_DATE_OVERRIDE",TEXT(INDEX(MO_SNA_FPStartDate,0,COLUMN()),"YYYYMMDD"),"END_DATE_OVERRIDE",TEXT(INDEX(MO_Common_QEndDate,0,COLUMN()),"YYYYMMDD")),"N/A")</f>
        <v>N/A</v>
      </c>
      <c r="BI1058" s="175" t="str">
        <f ca="1">IFERROR(BDP(MO.Ticker.Bloomberg&amp;" Equity","INTERVAL_HIGH","MARKET_DATA_OVERRIDE=PX_LAST","START_DATE_OVERRIDE",TEXT(INDEX(MO_SNA_FPStartDate,0,COLUMN()),"YYYYMMDD"),"END_DATE_OVERRIDE",TEXT(INDEX(MO_Common_QEndDate,0,COLUMN()),"YYYYMMDD")),"N/A")</f>
        <v>N/A</v>
      </c>
      <c r="BJ1058" s="175" t="str">
        <f ca="1">IFERROR(BDP(MO.Ticker.Bloomberg&amp;" Equity","INTERVAL_HIGH","MARKET_DATA_OVERRIDE=PX_LAST","START_DATE_OVERRIDE",TEXT(INDEX(MO_SNA_FPStartDate,0,COLUMN()),"YYYYMMDD"),"END_DATE_OVERRIDE",TEXT(INDEX(MO_Common_QEndDate,0,COLUMN()),"YYYYMMDD")),"N/A")</f>
        <v>N/A</v>
      </c>
      <c r="BK1058" s="175" t="str">
        <f ca="1">IFERROR(BDP(MO.Ticker.Bloomberg&amp;" Equity","INTERVAL_HIGH","MARKET_DATA_OVERRIDE=PX_LAST","START_DATE_OVERRIDE",TEXT(INDEX(MO_SNA_FPStartDate,0,COLUMN()),"YYYYMMDD"),"END_DATE_OVERRIDE",TEXT(INDEX(MO_Common_QEndDate,0,COLUMN()),"YYYYMMDD")),"N/A")</f>
        <v>N/A</v>
      </c>
      <c r="BL1058" s="175" t="str">
        <f ca="1">IFERROR(BDP(MO.Ticker.Bloomberg&amp;" Equity","INTERVAL_HIGH","MARKET_DATA_OVERRIDE=PX_LAST","START_DATE_OVERRIDE",TEXT(INDEX(MO_SNA_FPStartDate,0,COLUMN()),"YYYYMMDD"),"END_DATE_OVERRIDE",TEXT(INDEX(MO_Common_QEndDate,0,COLUMN()),"YYYYMMDD")),"N/A")</f>
        <v>N/A</v>
      </c>
      <c r="BM1058" s="175" t="str">
        <f ca="1">IFERROR(BDP(MO.Ticker.Bloomberg&amp;" Equity","INTERVAL_HIGH","MARKET_DATA_OVERRIDE=PX_LAST","START_DATE_OVERRIDE",TEXT(INDEX(MO_SNA_FPStartDate,0,COLUMN()),"YYYYMMDD"),"END_DATE_OVERRIDE",TEXT(INDEX(MO_Common_QEndDate,0,COLUMN()),"YYYYMMDD")),"N/A")</f>
        <v>N/A</v>
      </c>
      <c r="BN1058" s="175" t="str">
        <f ca="1">IFERROR(BDP(MO.Ticker.Bloomberg&amp;" Equity","INTERVAL_HIGH","MARKET_DATA_OVERRIDE=PX_LAST","START_DATE_OVERRIDE",TEXT(INDEX(MO_SNA_FPStartDate,0,COLUMN()),"YYYYMMDD"),"END_DATE_OVERRIDE",TEXT(INDEX(MO_Common_QEndDate,0,COLUMN()),"YYYYMMDD")),"N/A")</f>
        <v>N/A</v>
      </c>
      <c r="BO1058" s="175" t="str">
        <f ca="1">IFERROR(BDP(MO.Ticker.Bloomberg&amp;" Equity","INTERVAL_HIGH","MARKET_DATA_OVERRIDE=PX_LAST","START_DATE_OVERRIDE",TEXT(INDEX(MO_SNA_FPStartDate,0,COLUMN()),"YYYYMMDD"),"END_DATE_OVERRIDE",TEXT(INDEX(MO_Common_QEndDate,0,COLUMN()),"YYYYMMDD")),"N/A")</f>
        <v>N/A</v>
      </c>
      <c r="BP1058" s="220" t="str">
        <f ca="1">IFERROR(BDP(MO.Ticker.Bloomberg&amp;" Equity","INTERVAL_HIGH","MARKET_DATA_OVERRIDE=PX_LAST","START_DATE_OVERRIDE",TEXT(INDEX(MO_SNA_FPStartDate,0,COLUMN()),"YYYYMMDD"),"END_DATE_OVERRIDE",TEXT(INDEX(MO_Common_QEndDate,0,COLUMN()),"YYYYMMDD")),"N/A")</f>
        <v>N/A</v>
      </c>
      <c r="BQ1058" s="220" t="str">
        <f ca="1">IFERROR(BDP(MO.Ticker.Bloomberg&amp;" Equity","INTERVAL_HIGH","MARKET_DATA_OVERRIDE=PX_LAST","START_DATE_OVERRIDE",TEXT(INDEX(MO_SNA_FPStartDate,0,COLUMN()),"YYYYMMDD"),"END_DATE_OVERRIDE",TEXT(INDEX(MO_Common_QEndDate,0,COLUMN()),"YYYYMMDD")),"N/A")</f>
        <v>N/A</v>
      </c>
      <c r="BR1058" s="176" t="str">
        <f ca="1">IFERROR(BDP(MO.Ticker.Bloomberg&amp;" Equity","INTERVAL_HIGH","MARKET_DATA_OVERRIDE=PX_LAST","START_DATE_OVERRIDE",TEXT(INDEX(MO_SNA_FPStartDate,0,COLUMN()),"YYYYMMDD"),"END_DATE_OVERRIDE",TEXT(INDEX(MO_Common_QEndDate,0,COLUMN()),"YYYYMMDD")),"N/A")</f>
        <v>N/A</v>
      </c>
      <c r="BS1058" s="268"/>
    </row>
    <row r="1059" spans="1:71" s="694" customFormat="1" ht="15" hidden="1" outlineLevel="1">
      <c r="A1059" s="177" t="s">
        <v>263</v>
      </c>
      <c r="B1059" s="175"/>
      <c r="C1059" s="303" t="str">
        <f ca="1">IFERROR(CIQHI(MO.Ticker.CapIQ,"IQ_LASTSALEPRICE",INDEX(MO_SNA_FPStartDate,0,COLUMN()),INDEX(MO_Common_QEndDate,0,COLUMN())),"N/A")</f>
        <v>N/A</v>
      </c>
      <c r="D1059" s="303" t="str">
        <f ca="1">IFERROR(CIQHI(MO.Ticker.CapIQ,"IQ_LASTSALEPRICE",INDEX(MO_SNA_FPStartDate,0,COLUMN()),INDEX(MO_Common_QEndDate,0,COLUMN())),"N/A")</f>
        <v>N/A</v>
      </c>
      <c r="E1059" s="220" t="str">
        <f ca="1">IFERROR(CIQHI(MO.Ticker.CapIQ,"IQ_LASTSALEPRICE",INDEX(MO_SNA_FPStartDate,0,COLUMN()),INDEX(MO_Common_QEndDate,0,COLUMN())),"N/A")</f>
        <v>N/A</v>
      </c>
      <c r="F1059" s="220" t="str">
        <f ca="1">IFERROR(CIQHI(MO.Ticker.CapIQ,"IQ_LASTSALEPRICE",INDEX(MO_SNA_FPStartDate,0,COLUMN()),INDEX(MO_Common_QEndDate,0,COLUMN())),"N/A")</f>
        <v>N/A</v>
      </c>
      <c r="G1059" s="220" t="str">
        <f ca="1">IFERROR(CIQHI(MO.Ticker.CapIQ,"IQ_LASTSALEPRICE",INDEX(MO_SNA_FPStartDate,0,COLUMN()),INDEX(MO_Common_QEndDate,0,COLUMN())),"N/A")</f>
        <v>N/A</v>
      </c>
      <c r="H1059" s="220" t="str">
        <f ca="1">IFERROR(CIQHI(MO.Ticker.CapIQ,"IQ_LASTSALEPRICE",INDEX(MO_SNA_FPStartDate,0,COLUMN()),INDEX(MO_Common_QEndDate,0,COLUMN())),"N/A")</f>
        <v>N/A</v>
      </c>
      <c r="I1059" s="220" t="str">
        <f ca="1">IFERROR(CIQHI(MO.Ticker.CapIQ,"IQ_LASTSALEPRICE",INDEX(MO_SNA_FPStartDate,0,COLUMN()),INDEX(MO_Common_QEndDate,0,COLUMN())),"N/A")</f>
        <v>N/A</v>
      </c>
      <c r="J1059" s="220" t="str">
        <f ca="1">IFERROR(CIQHI(MO.Ticker.CapIQ,"IQ_LASTSALEPRICE",INDEX(MO_SNA_FPStartDate,0,COLUMN()),INDEX(MO_Common_QEndDate,0,COLUMN())),"N/A")</f>
        <v>N/A</v>
      </c>
      <c r="K1059" s="220" t="str">
        <f ca="1">IFERROR(CIQHI(MO.Ticker.CapIQ,"IQ_LASTSALEPRICE",INDEX(MO_SNA_FPStartDate,0,COLUMN()),INDEX(MO_Common_QEndDate,0,COLUMN())),"N/A")</f>
        <v>N/A</v>
      </c>
      <c r="L1059" s="220" t="str">
        <f ca="1">IFERROR(CIQHI(MO.Ticker.CapIQ,"IQ_LASTSALEPRICE",INDEX(MO_SNA_FPStartDate,0,COLUMN()),INDEX(MO_Common_QEndDate,0,COLUMN())),"N/A")</f>
        <v>N/A</v>
      </c>
      <c r="M1059" s="220" t="str">
        <f ca="1">IFERROR(CIQHI(MO.Ticker.CapIQ,"IQ_LASTSALEPRICE",INDEX(MO_SNA_FPStartDate,0,COLUMN()),INDEX(MO_Common_QEndDate,0,COLUMN())),"N/A")</f>
        <v>N/A</v>
      </c>
      <c r="N1059" s="220" t="str">
        <f ca="1">IFERROR(CIQHI(MO.Ticker.CapIQ,"IQ_LASTSALEPRICE",INDEX(MO_SNA_FPStartDate,0,COLUMN()),INDEX(MO_Common_QEndDate,0,COLUMN())),"N/A")</f>
        <v>N/A</v>
      </c>
      <c r="O1059" s="220" t="str">
        <f ca="1">IFERROR(CIQHI(MO.Ticker.CapIQ,"IQ_LASTSALEPRICE",INDEX(MO_SNA_FPStartDate,0,COLUMN()),INDEX(MO_Common_QEndDate,0,COLUMN())),"N/A")</f>
        <v>N/A</v>
      </c>
      <c r="P1059" s="220" t="str">
        <f ca="1">IFERROR(CIQHI(MO.Ticker.CapIQ,"IQ_LASTSALEPRICE",INDEX(MO_SNA_FPStartDate,0,COLUMN()),INDEX(MO_Common_QEndDate,0,COLUMN())),"N/A")</f>
        <v>N/A</v>
      </c>
      <c r="Q1059" s="220" t="str">
        <f ca="1">IFERROR(CIQHI(MO.Ticker.CapIQ,"IQ_LASTSALEPRICE",INDEX(MO_SNA_FPStartDate,0,COLUMN()),INDEX(MO_Common_QEndDate,0,COLUMN())),"N/A")</f>
        <v>N/A</v>
      </c>
      <c r="R1059" s="220" t="str">
        <f ca="1">IFERROR(CIQHI(MO.Ticker.CapIQ,"IQ_LASTSALEPRICE",INDEX(MO_SNA_FPStartDate,0,COLUMN()),INDEX(MO_Common_QEndDate,0,COLUMN())),"N/A")</f>
        <v>N/A</v>
      </c>
      <c r="S1059" s="220" t="str">
        <f ca="1">IFERROR(CIQHI(MO.Ticker.CapIQ,"IQ_LASTSALEPRICE",INDEX(MO_SNA_FPStartDate,0,COLUMN()),INDEX(MO_Common_QEndDate,0,COLUMN())),"N/A")</f>
        <v>N/A</v>
      </c>
      <c r="T1059" s="220" t="str">
        <f ca="1">IFERROR(CIQHI(MO.Ticker.CapIQ,"IQ_LASTSALEPRICE",INDEX(MO_SNA_FPStartDate,0,COLUMN()),INDEX(MO_Common_QEndDate,0,COLUMN())),"N/A")</f>
        <v>N/A</v>
      </c>
      <c r="U1059" s="220" t="str">
        <f ca="1">IFERROR(CIQHI(MO.Ticker.CapIQ,"IQ_LASTSALEPRICE",INDEX(MO_SNA_FPStartDate,0,COLUMN()),INDEX(MO_Common_QEndDate,0,COLUMN())),"N/A")</f>
        <v>N/A</v>
      </c>
      <c r="V1059" s="220" t="str">
        <f ca="1">IFERROR(CIQHI(MO.Ticker.CapIQ,"IQ_LASTSALEPRICE",INDEX(MO_SNA_FPStartDate,0,COLUMN()),INDEX(MO_Common_QEndDate,0,COLUMN())),"N/A")</f>
        <v>N/A</v>
      </c>
      <c r="W1059" s="220" t="str">
        <f ca="1">IFERROR(CIQHI(MO.Ticker.CapIQ,"IQ_LASTSALEPRICE",INDEX(MO_SNA_FPStartDate,0,COLUMN()),INDEX(MO_Common_QEndDate,0,COLUMN())),"N/A")</f>
        <v>N/A</v>
      </c>
      <c r="X1059" s="220" t="str">
        <f ca="1">IFERROR(CIQHI(MO.Ticker.CapIQ,"IQ_LASTSALEPRICE",INDEX(MO_SNA_FPStartDate,0,COLUMN()),INDEX(MO_Common_QEndDate,0,COLUMN())),"N/A")</f>
        <v>N/A</v>
      </c>
      <c r="Y1059" s="220" t="str">
        <f ca="1">IFERROR(CIQHI(MO.Ticker.CapIQ,"IQ_LASTSALEPRICE",INDEX(MO_SNA_FPStartDate,0,COLUMN()),INDEX(MO_Common_QEndDate,0,COLUMN())),"N/A")</f>
        <v>N/A</v>
      </c>
      <c r="Z1059" s="220" t="str">
        <f ca="1">IFERROR(CIQHI(MO.Ticker.CapIQ,"IQ_LASTSALEPRICE",INDEX(MO_SNA_FPStartDate,0,COLUMN()),INDEX(MO_Common_QEndDate,0,COLUMN())),"N/A")</f>
        <v>N/A</v>
      </c>
      <c r="AA1059" s="220" t="str">
        <f ca="1">IFERROR(CIQHI(MO.Ticker.CapIQ,"IQ_LASTSALEPRICE",INDEX(MO_SNA_FPStartDate,0,COLUMN()),INDEX(MO_Common_QEndDate,0,COLUMN())),"N/A")</f>
        <v>N/A</v>
      </c>
      <c r="AB1059" s="220" t="str">
        <f ca="1">IFERROR(CIQHI(MO.Ticker.CapIQ,"IQ_LASTSALEPRICE",INDEX(MO_SNA_FPStartDate,0,COLUMN()),INDEX(MO_Common_QEndDate,0,COLUMN())),"N/A")</f>
        <v>N/A</v>
      </c>
      <c r="AC1059" s="220" t="str">
        <f ca="1">IFERROR(CIQHI(MO.Ticker.CapIQ,"IQ_LASTSALEPRICE",INDEX(MO_SNA_FPStartDate,0,COLUMN()),INDEX(MO_Common_QEndDate,0,COLUMN())),"N/A")</f>
        <v>N/A</v>
      </c>
      <c r="AD1059" s="220" t="str">
        <f ca="1">IFERROR(CIQHI(MO.Ticker.CapIQ,"IQ_LASTSALEPRICE",INDEX(MO_SNA_FPStartDate,0,COLUMN()),INDEX(MO_Common_QEndDate,0,COLUMN())),"N/A")</f>
        <v>N/A</v>
      </c>
      <c r="AE1059" s="220" t="str">
        <f ca="1">IFERROR(CIQHI(MO.Ticker.CapIQ,"IQ_LASTSALEPRICE",INDEX(MO_SNA_FPStartDate,0,COLUMN()),INDEX(MO_Common_QEndDate,0,COLUMN())),"N/A")</f>
        <v>N/A</v>
      </c>
      <c r="AF1059" s="220" t="str">
        <f ca="1">IFERROR(CIQHI(MO.Ticker.CapIQ,"IQ_LASTSALEPRICE",INDEX(MO_SNA_FPStartDate,0,COLUMN()),INDEX(MO_Common_QEndDate,0,COLUMN())),"N/A")</f>
        <v>N/A</v>
      </c>
      <c r="AG1059" s="220" t="str">
        <f ca="1">IFERROR(CIQHI(MO.Ticker.CapIQ,"IQ_LASTSALEPRICE",INDEX(MO_SNA_FPStartDate,0,COLUMN()),INDEX(MO_Common_QEndDate,0,COLUMN())),"N/A")</f>
        <v>N/A</v>
      </c>
      <c r="AH1059" s="220" t="str">
        <f ca="1">IFERROR(CIQHI(MO.Ticker.CapIQ,"IQ_LASTSALEPRICE",INDEX(MO_SNA_FPStartDate,0,COLUMN()),INDEX(MO_Common_QEndDate,0,COLUMN())),"N/A")</f>
        <v>N/A</v>
      </c>
      <c r="AI1059" s="220" t="str">
        <f ca="1">IFERROR(CIQHI(MO.Ticker.CapIQ,"IQ_LASTSALEPRICE",INDEX(MO_SNA_FPStartDate,0,COLUMN()),INDEX(MO_Common_QEndDate,0,COLUMN())),"N/A")</f>
        <v>N/A</v>
      </c>
      <c r="AJ1059" s="220" t="str">
        <f ca="1">IFERROR(CIQHI(MO.Ticker.CapIQ,"IQ_LASTSALEPRICE",INDEX(MO_SNA_FPStartDate,0,COLUMN()),INDEX(MO_Common_QEndDate,0,COLUMN())),"N/A")</f>
        <v>N/A</v>
      </c>
      <c r="AK1059" s="220" t="str">
        <f ca="1">IFERROR(CIQHI(MO.Ticker.CapIQ,"IQ_LASTSALEPRICE",INDEX(MO_SNA_FPStartDate,0,COLUMN()),INDEX(MO_Common_QEndDate,0,COLUMN())),"N/A")</f>
        <v>N/A</v>
      </c>
      <c r="AL1059" s="220" t="str">
        <f ca="1">IFERROR(CIQHI(MO.Ticker.CapIQ,"IQ_LASTSALEPRICE",INDEX(MO_SNA_FPStartDate,0,COLUMN()),INDEX(MO_Common_QEndDate,0,COLUMN())),"N/A")</f>
        <v>N/A</v>
      </c>
      <c r="AM1059" s="220" t="str">
        <f ca="1">IFERROR(CIQHI(MO.Ticker.CapIQ,"IQ_LASTSALEPRICE",INDEX(MO_SNA_FPStartDate,0,COLUMN()),INDEX(MO_Common_QEndDate,0,COLUMN())),"N/A")</f>
        <v>N/A</v>
      </c>
      <c r="AN1059" s="220" t="str">
        <f ca="1">IFERROR(CIQHI(MO.Ticker.CapIQ,"IQ_LASTSALEPRICE",INDEX(MO_SNA_FPStartDate,0,COLUMN()),INDEX(MO_Common_QEndDate,0,COLUMN())),"N/A")</f>
        <v>N/A</v>
      </c>
      <c r="AO1059" s="220" t="str">
        <f ca="1">IFERROR(CIQHI(MO.Ticker.CapIQ,"IQ_LASTSALEPRICE",INDEX(MO_SNA_FPStartDate,0,COLUMN()),INDEX(MO_Common_QEndDate,0,COLUMN())),"N/A")</f>
        <v>N/A</v>
      </c>
      <c r="AP1059" s="220" t="str">
        <f ca="1">IFERROR(CIQHI(MO.Ticker.CapIQ,"IQ_LASTSALEPRICE",INDEX(MO_SNA_FPStartDate,0,COLUMN()),INDEX(MO_Common_QEndDate,0,COLUMN())),"N/A")</f>
        <v>N/A</v>
      </c>
      <c r="AQ1059" s="220" t="str">
        <f ca="1">IFERROR(CIQHI(MO.Ticker.CapIQ,"IQ_LASTSALEPRICE",INDEX(MO_SNA_FPStartDate,0,COLUMN()),INDEX(MO_Common_QEndDate,0,COLUMN())),"N/A")</f>
        <v>N/A</v>
      </c>
      <c r="AR1059" s="220" t="str">
        <f ca="1">IFERROR(CIQHI(MO.Ticker.CapIQ,"IQ_LASTSALEPRICE",INDEX(MO_SNA_FPStartDate,0,COLUMN()),INDEX(MO_Common_QEndDate,0,COLUMN())),"N/A")</f>
        <v>N/A</v>
      </c>
      <c r="AS1059" s="220" t="str">
        <f ca="1">IFERROR(CIQHI(MO.Ticker.CapIQ,"IQ_LASTSALEPRICE",INDEX(MO_SNA_FPStartDate,0,COLUMN()),INDEX(MO_Common_QEndDate,0,COLUMN())),"N/A")</f>
        <v>N/A</v>
      </c>
      <c r="AT1059" s="220" t="str">
        <f ca="1">IFERROR(CIQHI(MO.Ticker.CapIQ,"IQ_LASTSALEPRICE",INDEX(MO_SNA_FPStartDate,0,COLUMN()),INDEX(MO_Common_QEndDate,0,COLUMN())),"N/A")</f>
        <v>N/A</v>
      </c>
      <c r="AU1059" s="220" t="str">
        <f ca="1">IFERROR(CIQHI(MO.Ticker.CapIQ,"IQ_LASTSALEPRICE",INDEX(MO_SNA_FPStartDate,0,COLUMN()),INDEX(MO_Common_QEndDate,0,COLUMN())),"N/A")</f>
        <v>N/A</v>
      </c>
      <c r="AV1059" s="220" t="str">
        <f ca="1">IFERROR(CIQHI(MO.Ticker.CapIQ,"IQ_LASTSALEPRICE",INDEX(MO_SNA_FPStartDate,0,COLUMN()),INDEX(MO_Common_QEndDate,0,COLUMN())),"N/A")</f>
        <v>N/A</v>
      </c>
      <c r="AW1059" s="220" t="str">
        <f ca="1">IFERROR(CIQHI(MO.Ticker.CapIQ,"IQ_LASTSALEPRICE",INDEX(MO_SNA_FPStartDate,0,COLUMN()),INDEX(MO_Common_QEndDate,0,COLUMN())),"N/A")</f>
        <v>N/A</v>
      </c>
      <c r="AX1059" s="220" t="str">
        <f ca="1">IFERROR(CIQHI(MO.Ticker.CapIQ,"IQ_LASTSALEPRICE",INDEX(MO_SNA_FPStartDate,0,COLUMN()),INDEX(MO_Common_QEndDate,0,COLUMN())),"N/A")</f>
        <v>N/A</v>
      </c>
      <c r="AY1059" s="220" t="str">
        <f ca="1">IFERROR(CIQHI(MO.Ticker.CapIQ,"IQ_LASTSALEPRICE",INDEX(MO_SNA_FPStartDate,0,COLUMN()),INDEX(MO_Common_QEndDate,0,COLUMN())),"N/A")</f>
        <v>N/A</v>
      </c>
      <c r="AZ1059" s="220" t="str">
        <f ca="1">IFERROR(CIQHI(MO.Ticker.CapIQ,"IQ_LASTSALEPRICE",INDEX(MO_SNA_FPStartDate,0,COLUMN()),INDEX(MO_Common_QEndDate,0,COLUMN())),"N/A")</f>
        <v>N/A</v>
      </c>
      <c r="BA1059" s="220" t="str">
        <f ca="1">IFERROR(CIQHI(MO.Ticker.CapIQ,"IQ_LASTSALEPRICE",INDEX(MO_SNA_FPStartDate,0,COLUMN()),INDEX(MO_Common_QEndDate,0,COLUMN())),"N/A")</f>
        <v>N/A</v>
      </c>
      <c r="BB1059" s="220" t="str">
        <f ca="1">IFERROR(CIQHI(MO.Ticker.CapIQ,"IQ_LASTSALEPRICE",INDEX(MO_SNA_FPStartDate,0,COLUMN()),INDEX(MO_Common_QEndDate,0,COLUMN())),"N/A")</f>
        <v>N/A</v>
      </c>
      <c r="BC1059" s="220" t="str">
        <f ca="1">IFERROR(CIQHI(MO.Ticker.CapIQ,"IQ_LASTSALEPRICE",INDEX(MO_SNA_FPStartDate,0,COLUMN()),INDEX(MO_Common_QEndDate,0,COLUMN())),"N/A")</f>
        <v>N/A</v>
      </c>
      <c r="BD1059" s="220" t="str">
        <f ca="1">IFERROR(CIQHI(MO.Ticker.CapIQ,"IQ_LASTSALEPRICE",INDEX(MO_SNA_FPStartDate,0,COLUMN()),INDEX(MO_Common_QEndDate,0,COLUMN())),"N/A")</f>
        <v>N/A</v>
      </c>
      <c r="BE1059" s="220" t="str">
        <f ca="1">IFERROR(CIQHI(MO.Ticker.CapIQ,"IQ_LASTSALEPRICE",INDEX(MO_SNA_FPStartDate,0,COLUMN()),INDEX(MO_Common_QEndDate,0,COLUMN())),"N/A")</f>
        <v>N/A</v>
      </c>
      <c r="BF1059" s="220" t="str">
        <f ca="1">IFERROR(CIQHI(MO.Ticker.CapIQ,"IQ_LASTSALEPRICE",INDEX(MO_SNA_FPStartDate,0,COLUMN()),INDEX(MO_Common_QEndDate,0,COLUMN())),"N/A")</f>
        <v>N/A</v>
      </c>
      <c r="BG1059" s="220" t="str">
        <f ca="1">IFERROR(CIQHI(MO.Ticker.CapIQ,"IQ_LASTSALEPRICE",INDEX(MO_SNA_FPStartDate,0,COLUMN()),INDEX(MO_Common_QEndDate,0,COLUMN())),"N/A")</f>
        <v>N/A</v>
      </c>
      <c r="BH1059" s="378" t="str">
        <f ca="1">IFERROR(CIQHI(MO.Ticker.CapIQ,"IQ_LASTSALEPRICE",INDEX(MO_SNA_FPStartDate,0,COLUMN()),INDEX(MO_Common_QEndDate,0,COLUMN())),"N/A")</f>
        <v>N/A</v>
      </c>
      <c r="BI1059" s="175" t="str">
        <f ca="1">IFERROR(CIQHI(MO.Ticker.CapIQ,"IQ_LASTSALEPRICE",INDEX(MO_SNA_FPStartDate,0,COLUMN()),INDEX(MO_Common_QEndDate,0,COLUMN())),"N/A")</f>
        <v>N/A</v>
      </c>
      <c r="BJ1059" s="175" t="str">
        <f ca="1">IFERROR(CIQHI(MO.Ticker.CapIQ,"IQ_LASTSALEPRICE",INDEX(MO_SNA_FPStartDate,0,COLUMN()),INDEX(MO_Common_QEndDate,0,COLUMN())),"N/A")</f>
        <v>N/A</v>
      </c>
      <c r="BK1059" s="175" t="str">
        <f ca="1">IFERROR(CIQHI(MO.Ticker.CapIQ,"IQ_LASTSALEPRICE",INDEX(MO_SNA_FPStartDate,0,COLUMN()),INDEX(MO_Common_QEndDate,0,COLUMN())),"N/A")</f>
        <v>N/A</v>
      </c>
      <c r="BL1059" s="175" t="str">
        <f ca="1">IFERROR(CIQHI(MO.Ticker.CapIQ,"IQ_LASTSALEPRICE",INDEX(MO_SNA_FPStartDate,0,COLUMN()),INDEX(MO_Common_QEndDate,0,COLUMN())),"N/A")</f>
        <v>N/A</v>
      </c>
      <c r="BM1059" s="175" t="str">
        <f ca="1">IFERROR(CIQHI(MO.Ticker.CapIQ,"IQ_LASTSALEPRICE",INDEX(MO_SNA_FPStartDate,0,COLUMN()),INDEX(MO_Common_QEndDate,0,COLUMN())),"N/A")</f>
        <v>N/A</v>
      </c>
      <c r="BN1059" s="175" t="str">
        <f ca="1">IFERROR(CIQHI(MO.Ticker.CapIQ,"IQ_LASTSALEPRICE",INDEX(MO_SNA_FPStartDate,0,COLUMN()),INDEX(MO_Common_QEndDate,0,COLUMN())),"N/A")</f>
        <v>N/A</v>
      </c>
      <c r="BO1059" s="175" t="str">
        <f ca="1">IFERROR(CIQHI(MO.Ticker.CapIQ,"IQ_LASTSALEPRICE",INDEX(MO_SNA_FPStartDate,0,COLUMN()),INDEX(MO_Common_QEndDate,0,COLUMN())),"N/A")</f>
        <v>N/A</v>
      </c>
      <c r="BP1059" s="220" t="str">
        <f ca="1">IFERROR(CIQHI(MO.Ticker.CapIQ,"IQ_LASTSALEPRICE",INDEX(MO_SNA_FPStartDate,0,COLUMN()),INDEX(MO_Common_QEndDate,0,COLUMN())),"N/A")</f>
        <v>N/A</v>
      </c>
      <c r="BQ1059" s="220" t="str">
        <f ca="1">IFERROR(CIQHI(MO.Ticker.CapIQ,"IQ_LASTSALEPRICE",INDEX(MO_SNA_FPStartDate,0,COLUMN()),INDEX(MO_Common_QEndDate,0,COLUMN())),"N/A")</f>
        <v>N/A</v>
      </c>
      <c r="BR1059" s="176" t="str">
        <f ca="1">IFERROR(CIQHI(MO.Ticker.CapIQ,"IQ_LASTSALEPRICE",INDEX(MO_SNA_FPStartDate,0,COLUMN()),INDEX(MO_Common_QEndDate,0,COLUMN())),"N/A")</f>
        <v>N/A</v>
      </c>
      <c r="BS1059" s="268"/>
    </row>
    <row r="1060" spans="1:71" s="694" customFormat="1" ht="15" hidden="1" outlineLevel="1">
      <c r="A1060" s="177" t="s">
        <v>264</v>
      </c>
      <c r="B1060" s="175"/>
      <c r="C1060" s="303" t="str">
        <f ca="1">IFERROR(FDS(MO.Ticker.FactSet,"P_PRICE_HIGH"&amp;"("&amp;INDEX(MO_SNA_FPStartDate,0,COLUMN())&amp;","&amp;INDEX(MO_Common_QEndDate,0,COLUMN())&amp;",,,,""PRICE"",""CLOSE"")"),"N/A")</f>
        <v>N/A</v>
      </c>
      <c r="D1060" s="303" t="str">
        <f ca="1">IFERROR(FDS(MO.Ticker.FactSet,"P_PRICE_HIGH"&amp;"("&amp;INDEX(MO_SNA_FPStartDate,0,COLUMN())&amp;","&amp;INDEX(MO_Common_QEndDate,0,COLUMN())&amp;",,,,""PRICE"",""CLOSE"")"),"N/A")</f>
        <v>N/A</v>
      </c>
      <c r="E1060" s="220" t="str">
        <f ca="1">IFERROR(FDS(MO.Ticker.FactSet,"P_PRICE_HIGH"&amp;"("&amp;INDEX(MO_SNA_FPStartDate,0,COLUMN())&amp;","&amp;INDEX(MO_Common_QEndDate,0,COLUMN())&amp;",,,,""PRICE"",""CLOSE"")"),"N/A")</f>
        <v>N/A</v>
      </c>
      <c r="F1060" s="220" t="str">
        <f ca="1">IFERROR(FDS(MO.Ticker.FactSet,"P_PRICE_HIGH"&amp;"("&amp;INDEX(MO_SNA_FPStartDate,0,COLUMN())&amp;","&amp;INDEX(MO_Common_QEndDate,0,COLUMN())&amp;",,,,""PRICE"",""CLOSE"")"),"N/A")</f>
        <v>N/A</v>
      </c>
      <c r="G1060" s="220" t="str">
        <f ca="1">IFERROR(FDS(MO.Ticker.FactSet,"P_PRICE_HIGH"&amp;"("&amp;INDEX(MO_SNA_FPStartDate,0,COLUMN())&amp;","&amp;INDEX(MO_Common_QEndDate,0,COLUMN())&amp;",,,,""PRICE"",""CLOSE"")"),"N/A")</f>
        <v>N/A</v>
      </c>
      <c r="H1060" s="220" t="str">
        <f ca="1">IFERROR(FDS(MO.Ticker.FactSet,"P_PRICE_HIGH"&amp;"("&amp;INDEX(MO_SNA_FPStartDate,0,COLUMN())&amp;","&amp;INDEX(MO_Common_QEndDate,0,COLUMN())&amp;",,,,""PRICE"",""CLOSE"")"),"N/A")</f>
        <v>N/A</v>
      </c>
      <c r="I1060" s="220" t="str">
        <f ca="1">IFERROR(FDS(MO.Ticker.FactSet,"P_PRICE_HIGH"&amp;"("&amp;INDEX(MO_SNA_FPStartDate,0,COLUMN())&amp;","&amp;INDEX(MO_Common_QEndDate,0,COLUMN())&amp;",,,,""PRICE"",""CLOSE"")"),"N/A")</f>
        <v>N/A</v>
      </c>
      <c r="J1060" s="220" t="str">
        <f ca="1">IFERROR(FDS(MO.Ticker.FactSet,"P_PRICE_HIGH"&amp;"("&amp;INDEX(MO_SNA_FPStartDate,0,COLUMN())&amp;","&amp;INDEX(MO_Common_QEndDate,0,COLUMN())&amp;",,,,""PRICE"",""CLOSE"")"),"N/A")</f>
        <v>N/A</v>
      </c>
      <c r="K1060" s="220" t="str">
        <f ca="1">IFERROR(FDS(MO.Ticker.FactSet,"P_PRICE_HIGH"&amp;"("&amp;INDEX(MO_SNA_FPStartDate,0,COLUMN())&amp;","&amp;INDEX(MO_Common_QEndDate,0,COLUMN())&amp;",,,,""PRICE"",""CLOSE"")"),"N/A")</f>
        <v>N/A</v>
      </c>
      <c r="L1060" s="220" t="str">
        <f ca="1">IFERROR(FDS(MO.Ticker.FactSet,"P_PRICE_HIGH"&amp;"("&amp;INDEX(MO_SNA_FPStartDate,0,COLUMN())&amp;","&amp;INDEX(MO_Common_QEndDate,0,COLUMN())&amp;",,,,""PRICE"",""CLOSE"")"),"N/A")</f>
        <v>N/A</v>
      </c>
      <c r="M1060" s="220" t="str">
        <f ca="1">IFERROR(FDS(MO.Ticker.FactSet,"P_PRICE_HIGH"&amp;"("&amp;INDEX(MO_SNA_FPStartDate,0,COLUMN())&amp;","&amp;INDEX(MO_Common_QEndDate,0,COLUMN())&amp;",,,,""PRICE"",""CLOSE"")"),"N/A")</f>
        <v>N/A</v>
      </c>
      <c r="N1060" s="220" t="str">
        <f ca="1">IFERROR(FDS(MO.Ticker.FactSet,"P_PRICE_HIGH"&amp;"("&amp;INDEX(MO_SNA_FPStartDate,0,COLUMN())&amp;","&amp;INDEX(MO_Common_QEndDate,0,COLUMN())&amp;",,,,""PRICE"",""CLOSE"")"),"N/A")</f>
        <v>N/A</v>
      </c>
      <c r="O1060" s="220" t="str">
        <f ca="1">IFERROR(FDS(MO.Ticker.FactSet,"P_PRICE_HIGH"&amp;"("&amp;INDEX(MO_SNA_FPStartDate,0,COLUMN())&amp;","&amp;INDEX(MO_Common_QEndDate,0,COLUMN())&amp;",,,,""PRICE"",""CLOSE"")"),"N/A")</f>
        <v>N/A</v>
      </c>
      <c r="P1060" s="220" t="str">
        <f ca="1">IFERROR(FDS(MO.Ticker.FactSet,"P_PRICE_HIGH"&amp;"("&amp;INDEX(MO_SNA_FPStartDate,0,COLUMN())&amp;","&amp;INDEX(MO_Common_QEndDate,0,COLUMN())&amp;",,,,""PRICE"",""CLOSE"")"),"N/A")</f>
        <v>N/A</v>
      </c>
      <c r="Q1060" s="220" t="str">
        <f ca="1">IFERROR(FDS(MO.Ticker.FactSet,"P_PRICE_HIGH"&amp;"("&amp;INDEX(MO_SNA_FPStartDate,0,COLUMN())&amp;","&amp;INDEX(MO_Common_QEndDate,0,COLUMN())&amp;",,,,""PRICE"",""CLOSE"")"),"N/A")</f>
        <v>N/A</v>
      </c>
      <c r="R1060" s="220" t="str">
        <f ca="1">IFERROR(FDS(MO.Ticker.FactSet,"P_PRICE_HIGH"&amp;"("&amp;INDEX(MO_SNA_FPStartDate,0,COLUMN())&amp;","&amp;INDEX(MO_Common_QEndDate,0,COLUMN())&amp;",,,,""PRICE"",""CLOSE"")"),"N/A")</f>
        <v>N/A</v>
      </c>
      <c r="S1060" s="220" t="str">
        <f ca="1">IFERROR(FDS(MO.Ticker.FactSet,"P_PRICE_HIGH"&amp;"("&amp;INDEX(MO_SNA_FPStartDate,0,COLUMN())&amp;","&amp;INDEX(MO_Common_QEndDate,0,COLUMN())&amp;",,,,""PRICE"",""CLOSE"")"),"N/A")</f>
        <v>N/A</v>
      </c>
      <c r="T1060" s="220" t="str">
        <f ca="1">IFERROR(FDS(MO.Ticker.FactSet,"P_PRICE_HIGH"&amp;"("&amp;INDEX(MO_SNA_FPStartDate,0,COLUMN())&amp;","&amp;INDEX(MO_Common_QEndDate,0,COLUMN())&amp;",,,,""PRICE"",""CLOSE"")"),"N/A")</f>
        <v>N/A</v>
      </c>
      <c r="U1060" s="220" t="str">
        <f ca="1">IFERROR(FDS(MO.Ticker.FactSet,"P_PRICE_HIGH"&amp;"("&amp;INDEX(MO_SNA_FPStartDate,0,COLUMN())&amp;","&amp;INDEX(MO_Common_QEndDate,0,COLUMN())&amp;",,,,""PRICE"",""CLOSE"")"),"N/A")</f>
        <v>N/A</v>
      </c>
      <c r="V1060" s="220" t="str">
        <f ca="1">IFERROR(FDS(MO.Ticker.FactSet,"P_PRICE_HIGH"&amp;"("&amp;INDEX(MO_SNA_FPStartDate,0,COLUMN())&amp;","&amp;INDEX(MO_Common_QEndDate,0,COLUMN())&amp;",,,,""PRICE"",""CLOSE"")"),"N/A")</f>
        <v>N/A</v>
      </c>
      <c r="W1060" s="220" t="str">
        <f ca="1">IFERROR(FDS(MO.Ticker.FactSet,"P_PRICE_HIGH"&amp;"("&amp;INDEX(MO_SNA_FPStartDate,0,COLUMN())&amp;","&amp;INDEX(MO_Common_QEndDate,0,COLUMN())&amp;",,,,""PRICE"",""CLOSE"")"),"N/A")</f>
        <v>N/A</v>
      </c>
      <c r="X1060" s="220" t="str">
        <f ca="1">IFERROR(FDS(MO.Ticker.FactSet,"P_PRICE_HIGH"&amp;"("&amp;INDEX(MO_SNA_FPStartDate,0,COLUMN())&amp;","&amp;INDEX(MO_Common_QEndDate,0,COLUMN())&amp;",,,,""PRICE"",""CLOSE"")"),"N/A")</f>
        <v>N/A</v>
      </c>
      <c r="Y1060" s="220" t="str">
        <f ca="1">IFERROR(FDS(MO.Ticker.FactSet,"P_PRICE_HIGH"&amp;"("&amp;INDEX(MO_SNA_FPStartDate,0,COLUMN())&amp;","&amp;INDEX(MO_Common_QEndDate,0,COLUMN())&amp;",,,,""PRICE"",""CLOSE"")"),"N/A")</f>
        <v>N/A</v>
      </c>
      <c r="Z1060" s="220" t="str">
        <f ca="1">IFERROR(FDS(MO.Ticker.FactSet,"P_PRICE_HIGH"&amp;"("&amp;INDEX(MO_SNA_FPStartDate,0,COLUMN())&amp;","&amp;INDEX(MO_Common_QEndDate,0,COLUMN())&amp;",,,,""PRICE"",""CLOSE"")"),"N/A")</f>
        <v>N/A</v>
      </c>
      <c r="AA1060" s="220" t="str">
        <f ca="1">IFERROR(FDS(MO.Ticker.FactSet,"P_PRICE_HIGH"&amp;"("&amp;INDEX(MO_SNA_FPStartDate,0,COLUMN())&amp;","&amp;INDEX(MO_Common_QEndDate,0,COLUMN())&amp;",,,,""PRICE"",""CLOSE"")"),"N/A")</f>
        <v>N/A</v>
      </c>
      <c r="AB1060" s="220" t="str">
        <f ca="1">IFERROR(FDS(MO.Ticker.FactSet,"P_PRICE_HIGH"&amp;"("&amp;INDEX(MO_SNA_FPStartDate,0,COLUMN())&amp;","&amp;INDEX(MO_Common_QEndDate,0,COLUMN())&amp;",,,,""PRICE"",""CLOSE"")"),"N/A")</f>
        <v>N/A</v>
      </c>
      <c r="AC1060" s="220" t="str">
        <f ca="1">IFERROR(FDS(MO.Ticker.FactSet,"P_PRICE_HIGH"&amp;"("&amp;INDEX(MO_SNA_FPStartDate,0,COLUMN())&amp;","&amp;INDEX(MO_Common_QEndDate,0,COLUMN())&amp;",,,,""PRICE"",""CLOSE"")"),"N/A")</f>
        <v>N/A</v>
      </c>
      <c r="AD1060" s="220" t="str">
        <f ca="1">IFERROR(FDS(MO.Ticker.FactSet,"P_PRICE_HIGH"&amp;"("&amp;INDEX(MO_SNA_FPStartDate,0,COLUMN())&amp;","&amp;INDEX(MO_Common_QEndDate,0,COLUMN())&amp;",,,,""PRICE"",""CLOSE"")"),"N/A")</f>
        <v>N/A</v>
      </c>
      <c r="AE1060" s="220" t="str">
        <f ca="1">IFERROR(FDS(MO.Ticker.FactSet,"P_PRICE_HIGH"&amp;"("&amp;INDEX(MO_SNA_FPStartDate,0,COLUMN())&amp;","&amp;INDEX(MO_Common_QEndDate,0,COLUMN())&amp;",,,,""PRICE"",""CLOSE"")"),"N/A")</f>
        <v>N/A</v>
      </c>
      <c r="AF1060" s="220" t="str">
        <f ca="1">IFERROR(FDS(MO.Ticker.FactSet,"P_PRICE_HIGH"&amp;"("&amp;INDEX(MO_SNA_FPStartDate,0,COLUMN())&amp;","&amp;INDEX(MO_Common_QEndDate,0,COLUMN())&amp;",,,,""PRICE"",""CLOSE"")"),"N/A")</f>
        <v>N/A</v>
      </c>
      <c r="AG1060" s="220" t="str">
        <f ca="1">IFERROR(FDS(MO.Ticker.FactSet,"P_PRICE_HIGH"&amp;"("&amp;INDEX(MO_SNA_FPStartDate,0,COLUMN())&amp;","&amp;INDEX(MO_Common_QEndDate,0,COLUMN())&amp;",,,,""PRICE"",""CLOSE"")"),"N/A")</f>
        <v>N/A</v>
      </c>
      <c r="AH1060" s="220" t="str">
        <f ca="1">IFERROR(FDS(MO.Ticker.FactSet,"P_PRICE_HIGH"&amp;"("&amp;INDEX(MO_SNA_FPStartDate,0,COLUMN())&amp;","&amp;INDEX(MO_Common_QEndDate,0,COLUMN())&amp;",,,,""PRICE"",""CLOSE"")"),"N/A")</f>
        <v>N/A</v>
      </c>
      <c r="AI1060" s="220" t="str">
        <f ca="1">IFERROR(FDS(MO.Ticker.FactSet,"P_PRICE_HIGH"&amp;"("&amp;INDEX(MO_SNA_FPStartDate,0,COLUMN())&amp;","&amp;INDEX(MO_Common_QEndDate,0,COLUMN())&amp;",,,,""PRICE"",""CLOSE"")"),"N/A")</f>
        <v>N/A</v>
      </c>
      <c r="AJ1060" s="220" t="str">
        <f ca="1">IFERROR(FDS(MO.Ticker.FactSet,"P_PRICE_HIGH"&amp;"("&amp;INDEX(MO_SNA_FPStartDate,0,COLUMN())&amp;","&amp;INDEX(MO_Common_QEndDate,0,COLUMN())&amp;",,,,""PRICE"",""CLOSE"")"),"N/A")</f>
        <v>N/A</v>
      </c>
      <c r="AK1060" s="220" t="str">
        <f ca="1">IFERROR(FDS(MO.Ticker.FactSet,"P_PRICE_HIGH"&amp;"("&amp;INDEX(MO_SNA_FPStartDate,0,COLUMN())&amp;","&amp;INDEX(MO_Common_QEndDate,0,COLUMN())&amp;",,,,""PRICE"",""CLOSE"")"),"N/A")</f>
        <v>N/A</v>
      </c>
      <c r="AL1060" s="220" t="str">
        <f ca="1">IFERROR(FDS(MO.Ticker.FactSet,"P_PRICE_HIGH"&amp;"("&amp;INDEX(MO_SNA_FPStartDate,0,COLUMN())&amp;","&amp;INDEX(MO_Common_QEndDate,0,COLUMN())&amp;",,,,""PRICE"",""CLOSE"")"),"N/A")</f>
        <v>N/A</v>
      </c>
      <c r="AM1060" s="220" t="str">
        <f ca="1">IFERROR(FDS(MO.Ticker.FactSet,"P_PRICE_HIGH"&amp;"("&amp;INDEX(MO_SNA_FPStartDate,0,COLUMN())&amp;","&amp;INDEX(MO_Common_QEndDate,0,COLUMN())&amp;",,,,""PRICE"",""CLOSE"")"),"N/A")</f>
        <v>N/A</v>
      </c>
      <c r="AN1060" s="220" t="str">
        <f ca="1">IFERROR(FDS(MO.Ticker.FactSet,"P_PRICE_HIGH"&amp;"("&amp;INDEX(MO_SNA_FPStartDate,0,COLUMN())&amp;","&amp;INDEX(MO_Common_QEndDate,0,COLUMN())&amp;",,,,""PRICE"",""CLOSE"")"),"N/A")</f>
        <v>N/A</v>
      </c>
      <c r="AO1060" s="220" t="str">
        <f ca="1">IFERROR(FDS(MO.Ticker.FactSet,"P_PRICE_HIGH"&amp;"("&amp;INDEX(MO_SNA_FPStartDate,0,COLUMN())&amp;","&amp;INDEX(MO_Common_QEndDate,0,COLUMN())&amp;",,,,""PRICE"",""CLOSE"")"),"N/A")</f>
        <v>N/A</v>
      </c>
      <c r="AP1060" s="220" t="str">
        <f ca="1">IFERROR(FDS(MO.Ticker.FactSet,"P_PRICE_HIGH"&amp;"("&amp;INDEX(MO_SNA_FPStartDate,0,COLUMN())&amp;","&amp;INDEX(MO_Common_QEndDate,0,COLUMN())&amp;",,,,""PRICE"",""CLOSE"")"),"N/A")</f>
        <v>N/A</v>
      </c>
      <c r="AQ1060" s="220" t="str">
        <f ca="1">IFERROR(FDS(MO.Ticker.FactSet,"P_PRICE_HIGH"&amp;"("&amp;INDEX(MO_SNA_FPStartDate,0,COLUMN())&amp;","&amp;INDEX(MO_Common_QEndDate,0,COLUMN())&amp;",,,,""PRICE"",""CLOSE"")"),"N/A")</f>
        <v>N/A</v>
      </c>
      <c r="AR1060" s="220" t="str">
        <f ca="1">IFERROR(FDS(MO.Ticker.FactSet,"P_PRICE_HIGH"&amp;"("&amp;INDEX(MO_SNA_FPStartDate,0,COLUMN())&amp;","&amp;INDEX(MO_Common_QEndDate,0,COLUMN())&amp;",,,,""PRICE"",""CLOSE"")"),"N/A")</f>
        <v>N/A</v>
      </c>
      <c r="AS1060" s="220" t="str">
        <f ca="1">IFERROR(FDS(MO.Ticker.FactSet,"P_PRICE_HIGH"&amp;"("&amp;INDEX(MO_SNA_FPStartDate,0,COLUMN())&amp;","&amp;INDEX(MO_Common_QEndDate,0,COLUMN())&amp;",,,,""PRICE"",""CLOSE"")"),"N/A")</f>
        <v>N/A</v>
      </c>
      <c r="AT1060" s="220" t="str">
        <f ca="1">IFERROR(FDS(MO.Ticker.FactSet,"P_PRICE_HIGH"&amp;"("&amp;INDEX(MO_SNA_FPStartDate,0,COLUMN())&amp;","&amp;INDEX(MO_Common_QEndDate,0,COLUMN())&amp;",,,,""PRICE"",""CLOSE"")"),"N/A")</f>
        <v>N/A</v>
      </c>
      <c r="AU1060" s="220" t="str">
        <f ca="1">IFERROR(FDS(MO.Ticker.FactSet,"P_PRICE_HIGH"&amp;"("&amp;INDEX(MO_SNA_FPStartDate,0,COLUMN())&amp;","&amp;INDEX(MO_Common_QEndDate,0,COLUMN())&amp;",,,,""PRICE"",""CLOSE"")"),"N/A")</f>
        <v>N/A</v>
      </c>
      <c r="AV1060" s="220" t="str">
        <f ca="1">IFERROR(FDS(MO.Ticker.FactSet,"P_PRICE_HIGH"&amp;"("&amp;INDEX(MO_SNA_FPStartDate,0,COLUMN())&amp;","&amp;INDEX(MO_Common_QEndDate,0,COLUMN())&amp;",,,,""PRICE"",""CLOSE"")"),"N/A")</f>
        <v>N/A</v>
      </c>
      <c r="AW1060" s="220" t="str">
        <f ca="1">IFERROR(FDS(MO.Ticker.FactSet,"P_PRICE_HIGH"&amp;"("&amp;INDEX(MO_SNA_FPStartDate,0,COLUMN())&amp;","&amp;INDEX(MO_Common_QEndDate,0,COLUMN())&amp;",,,,""PRICE"",""CLOSE"")"),"N/A")</f>
        <v>N/A</v>
      </c>
      <c r="AX1060" s="220" t="str">
        <f ca="1">IFERROR(FDS(MO.Ticker.FactSet,"P_PRICE_HIGH"&amp;"("&amp;INDEX(MO_SNA_FPStartDate,0,COLUMN())&amp;","&amp;INDEX(MO_Common_QEndDate,0,COLUMN())&amp;",,,,""PRICE"",""CLOSE"")"),"N/A")</f>
        <v>N/A</v>
      </c>
      <c r="AY1060" s="220" t="str">
        <f ca="1">IFERROR(FDS(MO.Ticker.FactSet,"P_PRICE_HIGH"&amp;"("&amp;INDEX(MO_SNA_FPStartDate,0,COLUMN())&amp;","&amp;INDEX(MO_Common_QEndDate,0,COLUMN())&amp;",,,,""PRICE"",""CLOSE"")"),"N/A")</f>
        <v>N/A</v>
      </c>
      <c r="AZ1060" s="220" t="str">
        <f ca="1">IFERROR(FDS(MO.Ticker.FactSet,"P_PRICE_HIGH"&amp;"("&amp;INDEX(MO_SNA_FPStartDate,0,COLUMN())&amp;","&amp;INDEX(MO_Common_QEndDate,0,COLUMN())&amp;",,,,""PRICE"",""CLOSE"")"),"N/A")</f>
        <v>N/A</v>
      </c>
      <c r="BA1060" s="220" t="str">
        <f ca="1">IFERROR(FDS(MO.Ticker.FactSet,"P_PRICE_HIGH"&amp;"("&amp;INDEX(MO_SNA_FPStartDate,0,COLUMN())&amp;","&amp;INDEX(MO_Common_QEndDate,0,COLUMN())&amp;",,,,""PRICE"",""CLOSE"")"),"N/A")</f>
        <v>N/A</v>
      </c>
      <c r="BB1060" s="220" t="str">
        <f ca="1">IFERROR(FDS(MO.Ticker.FactSet,"P_PRICE_HIGH"&amp;"("&amp;INDEX(MO_SNA_FPStartDate,0,COLUMN())&amp;","&amp;INDEX(MO_Common_QEndDate,0,COLUMN())&amp;",,,,""PRICE"",""CLOSE"")"),"N/A")</f>
        <v>N/A</v>
      </c>
      <c r="BC1060" s="220" t="str">
        <f ca="1">IFERROR(FDS(MO.Ticker.FactSet,"P_PRICE_HIGH"&amp;"("&amp;INDEX(MO_SNA_FPStartDate,0,COLUMN())&amp;","&amp;INDEX(MO_Common_QEndDate,0,COLUMN())&amp;",,,,""PRICE"",""CLOSE"")"),"N/A")</f>
        <v>N/A</v>
      </c>
      <c r="BD1060" s="220" t="str">
        <f ca="1">IFERROR(FDS(MO.Ticker.FactSet,"P_PRICE_HIGH"&amp;"("&amp;INDEX(MO_SNA_FPStartDate,0,COLUMN())&amp;","&amp;INDEX(MO_Common_QEndDate,0,COLUMN())&amp;",,,,""PRICE"",""CLOSE"")"),"N/A")</f>
        <v>N/A</v>
      </c>
      <c r="BE1060" s="220" t="str">
        <f ca="1">IFERROR(FDS(MO.Ticker.FactSet,"P_PRICE_HIGH"&amp;"("&amp;INDEX(MO_SNA_FPStartDate,0,COLUMN())&amp;","&amp;INDEX(MO_Common_QEndDate,0,COLUMN())&amp;",,,,""PRICE"",""CLOSE"")"),"N/A")</f>
        <v>N/A</v>
      </c>
      <c r="BF1060" s="220" t="str">
        <f ca="1">IFERROR(FDS(MO.Ticker.FactSet,"P_PRICE_HIGH"&amp;"("&amp;INDEX(MO_SNA_FPStartDate,0,COLUMN())&amp;","&amp;INDEX(MO_Common_QEndDate,0,COLUMN())&amp;",,,,""PRICE"",""CLOSE"")"),"N/A")</f>
        <v>N/A</v>
      </c>
      <c r="BG1060" s="220" t="str">
        <f ca="1">IFERROR(FDS(MO.Ticker.FactSet,"P_PRICE_HIGH"&amp;"("&amp;INDEX(MO_SNA_FPStartDate,0,COLUMN())&amp;","&amp;INDEX(MO_Common_QEndDate,0,COLUMN())&amp;",,,,""PRICE"",""CLOSE"")"),"N/A")</f>
        <v>N/A</v>
      </c>
      <c r="BH1060" s="378" t="str">
        <f ca="1">IFERROR(FDS(MO.Ticker.FactSet,"P_PRICE_HIGH"&amp;"("&amp;INDEX(MO_SNA_FPStartDate,0,COLUMN())&amp;","&amp;INDEX(MO_Common_QEndDate,0,COLUMN())&amp;",,,,""PRICE"",""CLOSE"")"),"N/A")</f>
        <v>N/A</v>
      </c>
      <c r="BI1060" s="175" t="str">
        <f ca="1">IFERROR(FDS(MO.Ticker.FactSet,"P_PRICE_HIGH"&amp;"("&amp;INDEX(MO_SNA_FPStartDate,0,COLUMN())&amp;","&amp;INDEX(MO_Common_QEndDate,0,COLUMN())&amp;",,,,""PRICE"",""CLOSE"")"),"N/A")</f>
        <v>N/A</v>
      </c>
      <c r="BJ1060" s="175" t="str">
        <f ca="1">IFERROR(FDS(MO.Ticker.FactSet,"P_PRICE_HIGH"&amp;"("&amp;INDEX(MO_SNA_FPStartDate,0,COLUMN())&amp;","&amp;INDEX(MO_Common_QEndDate,0,COLUMN())&amp;",,,,""PRICE"",""CLOSE"")"),"N/A")</f>
        <v>N/A</v>
      </c>
      <c r="BK1060" s="175" t="str">
        <f ca="1">IFERROR(FDS(MO.Ticker.FactSet,"P_PRICE_HIGH"&amp;"("&amp;INDEX(MO_SNA_FPStartDate,0,COLUMN())&amp;","&amp;INDEX(MO_Common_QEndDate,0,COLUMN())&amp;",,,,""PRICE"",""CLOSE"")"),"N/A")</f>
        <v>N/A</v>
      </c>
      <c r="BL1060" s="175" t="str">
        <f ca="1">IFERROR(FDS(MO.Ticker.FactSet,"P_PRICE_HIGH"&amp;"("&amp;INDEX(MO_SNA_FPStartDate,0,COLUMN())&amp;","&amp;INDEX(MO_Common_QEndDate,0,COLUMN())&amp;",,,,""PRICE"",""CLOSE"")"),"N/A")</f>
        <v>N/A</v>
      </c>
      <c r="BM1060" s="175" t="str">
        <f ca="1">IFERROR(FDS(MO.Ticker.FactSet,"P_PRICE_HIGH"&amp;"("&amp;INDEX(MO_SNA_FPStartDate,0,COLUMN())&amp;","&amp;INDEX(MO_Common_QEndDate,0,COLUMN())&amp;",,,,""PRICE"",""CLOSE"")"),"N/A")</f>
        <v>N/A</v>
      </c>
      <c r="BN1060" s="175" t="str">
        <f ca="1">IFERROR(FDS(MO.Ticker.FactSet,"P_PRICE_HIGH"&amp;"("&amp;INDEX(MO_SNA_FPStartDate,0,COLUMN())&amp;","&amp;INDEX(MO_Common_QEndDate,0,COLUMN())&amp;",,,,""PRICE"",""CLOSE"")"),"N/A")</f>
        <v>N/A</v>
      </c>
      <c r="BO1060" s="175" t="str">
        <f ca="1">IFERROR(FDS(MO.Ticker.FactSet,"P_PRICE_HIGH"&amp;"("&amp;INDEX(MO_SNA_FPStartDate,0,COLUMN())&amp;","&amp;INDEX(MO_Common_QEndDate,0,COLUMN())&amp;",,,,""PRICE"",""CLOSE"")"),"N/A")</f>
        <v>N/A</v>
      </c>
      <c r="BP1060" s="220" t="str">
        <f ca="1">IFERROR(FDS(MO.Ticker.FactSet,"P_PRICE_HIGH"&amp;"("&amp;INDEX(MO_SNA_FPStartDate,0,COLUMN())&amp;","&amp;INDEX(MO_Common_QEndDate,0,COLUMN())&amp;",,,,""PRICE"",""CLOSE"")"),"N/A")</f>
        <v>N/A</v>
      </c>
      <c r="BQ1060" s="220" t="str">
        <f ca="1">IFERROR(FDS(MO.Ticker.FactSet,"P_PRICE_HIGH"&amp;"("&amp;INDEX(MO_SNA_FPStartDate,0,COLUMN())&amp;","&amp;INDEX(MO_Common_QEndDate,0,COLUMN())&amp;",,,,""PRICE"",""CLOSE"")"),"N/A")</f>
        <v>N/A</v>
      </c>
      <c r="BR1060" s="176" t="str">
        <f ca="1">IFERROR(FDS(MO.Ticker.FactSet,"P_PRICE_HIGH"&amp;"("&amp;INDEX(MO_SNA_FPStartDate,0,COLUMN())&amp;","&amp;INDEX(MO_Common_QEndDate,0,COLUMN())&amp;",,,,""PRICE"",""CLOSE"")"),"N/A")</f>
        <v>N/A</v>
      </c>
      <c r="BS1060" s="268"/>
    </row>
    <row r="1061" spans="1:71" s="694" customFormat="1" ht="15" hidden="1" outlineLevel="1">
      <c r="A1061" s="177" t="s">
        <v>381</v>
      </c>
      <c r="B1061" s="175"/>
      <c r="C1061" s="303" t="str">
        <f ca="1">IFERROR(_xll.TR(MO.Ticker.Thomson,"MAX(TR.Pricehigh)","sdate:#1 edate:#2",,INDEX(MO_SNA_FPStartDate,0,COLUMN()),INDEX(MO_Common_QEndDate,0,COLUMN())),"N/A")</f>
        <v>N/A</v>
      </c>
      <c r="D1061" s="303" t="str">
        <f ca="1">IFERROR(_xll.TR(MO.Ticker.Thomson,"MAX(TR.Pricehigh)","sdate:#1 edate:#2",,INDEX(MO_SNA_FPStartDate,0,COLUMN()),INDEX(MO_Common_QEndDate,0,COLUMN())),"N/A")</f>
        <v>N/A</v>
      </c>
      <c r="E1061" s="220" t="str">
        <f ca="1">IFERROR(_xll.TR(MO.Ticker.Thomson,"MAX(TR.Pricehigh)","sdate:#1 edate:#2",,INDEX(MO_SNA_FPStartDate,0,COLUMN()),INDEX(MO_Common_QEndDate,0,COLUMN())),"N/A")</f>
        <v>N/A</v>
      </c>
      <c r="F1061" s="220" t="str">
        <f ca="1">IFERROR(_xll.TR(MO.Ticker.Thomson,"MAX(TR.Pricehigh)","sdate:#1 edate:#2",,INDEX(MO_SNA_FPStartDate,0,COLUMN()),INDEX(MO_Common_QEndDate,0,COLUMN())),"N/A")</f>
        <v>N/A</v>
      </c>
      <c r="G1061" s="220" t="str">
        <f ca="1">IFERROR(_xll.TR(MO.Ticker.Thomson,"MAX(TR.Pricehigh)","sdate:#1 edate:#2",,INDEX(MO_SNA_FPStartDate,0,COLUMN()),INDEX(MO_Common_QEndDate,0,COLUMN())),"N/A")</f>
        <v>N/A</v>
      </c>
      <c r="H1061" s="220" t="str">
        <f ca="1">IFERROR(_xll.TR(MO.Ticker.Thomson,"MAX(TR.Pricehigh)","sdate:#1 edate:#2",,INDEX(MO_SNA_FPStartDate,0,COLUMN()),INDEX(MO_Common_QEndDate,0,COLUMN())),"N/A")</f>
        <v>N/A</v>
      </c>
      <c r="I1061" s="220" t="str">
        <f ca="1">IFERROR(_xll.TR(MO.Ticker.Thomson,"MAX(TR.Pricehigh)","sdate:#1 edate:#2",,INDEX(MO_SNA_FPStartDate,0,COLUMN()),INDEX(MO_Common_QEndDate,0,COLUMN())),"N/A")</f>
        <v>N/A</v>
      </c>
      <c r="J1061" s="220" t="str">
        <f ca="1">IFERROR(_xll.TR(MO.Ticker.Thomson,"MAX(TR.Pricehigh)","sdate:#1 edate:#2",,INDEX(MO_SNA_FPStartDate,0,COLUMN()),INDEX(MO_Common_QEndDate,0,COLUMN())),"N/A")</f>
        <v>N/A</v>
      </c>
      <c r="K1061" s="220" t="str">
        <f ca="1">IFERROR(_xll.TR(MO.Ticker.Thomson,"MAX(TR.Pricehigh)","sdate:#1 edate:#2",,INDEX(MO_SNA_FPStartDate,0,COLUMN()),INDEX(MO_Common_QEndDate,0,COLUMN())),"N/A")</f>
        <v>N/A</v>
      </c>
      <c r="L1061" s="220" t="str">
        <f ca="1">IFERROR(_xll.TR(MO.Ticker.Thomson,"MAX(TR.Pricehigh)","sdate:#1 edate:#2",,INDEX(MO_SNA_FPStartDate,0,COLUMN()),INDEX(MO_Common_QEndDate,0,COLUMN())),"N/A")</f>
        <v>N/A</v>
      </c>
      <c r="M1061" s="220" t="str">
        <f ca="1">IFERROR(_xll.TR(MO.Ticker.Thomson,"MAX(TR.Pricehigh)","sdate:#1 edate:#2",,INDEX(MO_SNA_FPStartDate,0,COLUMN()),INDEX(MO_Common_QEndDate,0,COLUMN())),"N/A")</f>
        <v>N/A</v>
      </c>
      <c r="N1061" s="220" t="str">
        <f ca="1">IFERROR(_xll.TR(MO.Ticker.Thomson,"MAX(TR.Pricehigh)","sdate:#1 edate:#2",,INDEX(MO_SNA_FPStartDate,0,COLUMN()),INDEX(MO_Common_QEndDate,0,COLUMN())),"N/A")</f>
        <v>N/A</v>
      </c>
      <c r="O1061" s="220" t="str">
        <f ca="1">IFERROR(_xll.TR(MO.Ticker.Thomson,"MAX(TR.Pricehigh)","sdate:#1 edate:#2",,INDEX(MO_SNA_FPStartDate,0,COLUMN()),INDEX(MO_Common_QEndDate,0,COLUMN())),"N/A")</f>
        <v>N/A</v>
      </c>
      <c r="P1061" s="220" t="str">
        <f ca="1">IFERROR(_xll.TR(MO.Ticker.Thomson,"MAX(TR.Pricehigh)","sdate:#1 edate:#2",,INDEX(MO_SNA_FPStartDate,0,COLUMN()),INDEX(MO_Common_QEndDate,0,COLUMN())),"N/A")</f>
        <v>N/A</v>
      </c>
      <c r="Q1061" s="220" t="str">
        <f ca="1">IFERROR(_xll.TR(MO.Ticker.Thomson,"MAX(TR.Pricehigh)","sdate:#1 edate:#2",,INDEX(MO_SNA_FPStartDate,0,COLUMN()),INDEX(MO_Common_QEndDate,0,COLUMN())),"N/A")</f>
        <v>N/A</v>
      </c>
      <c r="R1061" s="220" t="str">
        <f ca="1">IFERROR(_xll.TR(MO.Ticker.Thomson,"MAX(TR.Pricehigh)","sdate:#1 edate:#2",,INDEX(MO_SNA_FPStartDate,0,COLUMN()),INDEX(MO_Common_QEndDate,0,COLUMN())),"N/A")</f>
        <v>N/A</v>
      </c>
      <c r="S1061" s="220" t="str">
        <f ca="1">IFERROR(_xll.TR(MO.Ticker.Thomson,"MAX(TR.Pricehigh)","sdate:#1 edate:#2",,INDEX(MO_SNA_FPStartDate,0,COLUMN()),INDEX(MO_Common_QEndDate,0,COLUMN())),"N/A")</f>
        <v>N/A</v>
      </c>
      <c r="T1061" s="220" t="str">
        <f ca="1">IFERROR(_xll.TR(MO.Ticker.Thomson,"MAX(TR.Pricehigh)","sdate:#1 edate:#2",,INDEX(MO_SNA_FPStartDate,0,COLUMN()),INDEX(MO_Common_QEndDate,0,COLUMN())),"N/A")</f>
        <v>N/A</v>
      </c>
      <c r="U1061" s="220" t="str">
        <f ca="1">IFERROR(_xll.TR(MO.Ticker.Thomson,"MAX(TR.Pricehigh)","sdate:#1 edate:#2",,INDEX(MO_SNA_FPStartDate,0,COLUMN()),INDEX(MO_Common_QEndDate,0,COLUMN())),"N/A")</f>
        <v>N/A</v>
      </c>
      <c r="V1061" s="220" t="str">
        <f ca="1">IFERROR(_xll.TR(MO.Ticker.Thomson,"MAX(TR.Pricehigh)","sdate:#1 edate:#2",,INDEX(MO_SNA_FPStartDate,0,COLUMN()),INDEX(MO_Common_QEndDate,0,COLUMN())),"N/A")</f>
        <v>N/A</v>
      </c>
      <c r="W1061" s="220" t="str">
        <f ca="1">IFERROR(_xll.TR(MO.Ticker.Thomson,"MAX(TR.Pricehigh)","sdate:#1 edate:#2",,INDEX(MO_SNA_FPStartDate,0,COLUMN()),INDEX(MO_Common_QEndDate,0,COLUMN())),"N/A")</f>
        <v>N/A</v>
      </c>
      <c r="X1061" s="220" t="str">
        <f ca="1">IFERROR(_xll.TR(MO.Ticker.Thomson,"MAX(TR.Pricehigh)","sdate:#1 edate:#2",,INDEX(MO_SNA_FPStartDate,0,COLUMN()),INDEX(MO_Common_QEndDate,0,COLUMN())),"N/A")</f>
        <v>N/A</v>
      </c>
      <c r="Y1061" s="220" t="str">
        <f ca="1">IFERROR(_xll.TR(MO.Ticker.Thomson,"MAX(TR.Pricehigh)","sdate:#1 edate:#2",,INDEX(MO_SNA_FPStartDate,0,COLUMN()),INDEX(MO_Common_QEndDate,0,COLUMN())),"N/A")</f>
        <v>N/A</v>
      </c>
      <c r="Z1061" s="220" t="str">
        <f ca="1">IFERROR(_xll.TR(MO.Ticker.Thomson,"MAX(TR.Pricehigh)","sdate:#1 edate:#2",,INDEX(MO_SNA_FPStartDate,0,COLUMN()),INDEX(MO_Common_QEndDate,0,COLUMN())),"N/A")</f>
        <v>N/A</v>
      </c>
      <c r="AA1061" s="220" t="str">
        <f ca="1">IFERROR(_xll.TR(MO.Ticker.Thomson,"MAX(TR.Pricehigh)","sdate:#1 edate:#2",,INDEX(MO_SNA_FPStartDate,0,COLUMN()),INDEX(MO_Common_QEndDate,0,COLUMN())),"N/A")</f>
        <v>N/A</v>
      </c>
      <c r="AB1061" s="220" t="str">
        <f ca="1">IFERROR(_xll.TR(MO.Ticker.Thomson,"MAX(TR.Pricehigh)","sdate:#1 edate:#2",,INDEX(MO_SNA_FPStartDate,0,COLUMN()),INDEX(MO_Common_QEndDate,0,COLUMN())),"N/A")</f>
        <v>N/A</v>
      </c>
      <c r="AC1061" s="220" t="str">
        <f ca="1">IFERROR(_xll.TR(MO.Ticker.Thomson,"MAX(TR.Pricehigh)","sdate:#1 edate:#2",,INDEX(MO_SNA_FPStartDate,0,COLUMN()),INDEX(MO_Common_QEndDate,0,COLUMN())),"N/A")</f>
        <v>N/A</v>
      </c>
      <c r="AD1061" s="220" t="str">
        <f ca="1">IFERROR(_xll.TR(MO.Ticker.Thomson,"MAX(TR.Pricehigh)","sdate:#1 edate:#2",,INDEX(MO_SNA_FPStartDate,0,COLUMN()),INDEX(MO_Common_QEndDate,0,COLUMN())),"N/A")</f>
        <v>N/A</v>
      </c>
      <c r="AE1061" s="220" t="str">
        <f ca="1">IFERROR(_xll.TR(MO.Ticker.Thomson,"MAX(TR.Pricehigh)","sdate:#1 edate:#2",,INDEX(MO_SNA_FPStartDate,0,COLUMN()),INDEX(MO_Common_QEndDate,0,COLUMN())),"N/A")</f>
        <v>N/A</v>
      </c>
      <c r="AF1061" s="220" t="str">
        <f ca="1">IFERROR(_xll.TR(MO.Ticker.Thomson,"MAX(TR.Pricehigh)","sdate:#1 edate:#2",,INDEX(MO_SNA_FPStartDate,0,COLUMN()),INDEX(MO_Common_QEndDate,0,COLUMN())),"N/A")</f>
        <v>N/A</v>
      </c>
      <c r="AG1061" s="220" t="str">
        <f ca="1">IFERROR(_xll.TR(MO.Ticker.Thomson,"MAX(TR.Pricehigh)","sdate:#1 edate:#2",,INDEX(MO_SNA_FPStartDate,0,COLUMN()),INDEX(MO_Common_QEndDate,0,COLUMN())),"N/A")</f>
        <v>N/A</v>
      </c>
      <c r="AH1061" s="220" t="str">
        <f ca="1">IFERROR(_xll.TR(MO.Ticker.Thomson,"MAX(TR.Pricehigh)","sdate:#1 edate:#2",,INDEX(MO_SNA_FPStartDate,0,COLUMN()),INDEX(MO_Common_QEndDate,0,COLUMN())),"N/A")</f>
        <v>N/A</v>
      </c>
      <c r="AI1061" s="220" t="str">
        <f ca="1">IFERROR(_xll.TR(MO.Ticker.Thomson,"MAX(TR.Pricehigh)","sdate:#1 edate:#2",,INDEX(MO_SNA_FPStartDate,0,COLUMN()),INDEX(MO_Common_QEndDate,0,COLUMN())),"N/A")</f>
        <v>N/A</v>
      </c>
      <c r="AJ1061" s="220" t="str">
        <f ca="1">IFERROR(_xll.TR(MO.Ticker.Thomson,"MAX(TR.Pricehigh)","sdate:#1 edate:#2",,INDEX(MO_SNA_FPStartDate,0,COLUMN()),INDEX(MO_Common_QEndDate,0,COLUMN())),"N/A")</f>
        <v>N/A</v>
      </c>
      <c r="AK1061" s="220" t="str">
        <f ca="1">IFERROR(_xll.TR(MO.Ticker.Thomson,"MAX(TR.Pricehigh)","sdate:#1 edate:#2",,INDEX(MO_SNA_FPStartDate,0,COLUMN()),INDEX(MO_Common_QEndDate,0,COLUMN())),"N/A")</f>
        <v>N/A</v>
      </c>
      <c r="AL1061" s="220" t="str">
        <f ca="1">IFERROR(_xll.TR(MO.Ticker.Thomson,"MAX(TR.Pricehigh)","sdate:#1 edate:#2",,INDEX(MO_SNA_FPStartDate,0,COLUMN()),INDEX(MO_Common_QEndDate,0,COLUMN())),"N/A")</f>
        <v>N/A</v>
      </c>
      <c r="AM1061" s="220" t="str">
        <f ca="1">IFERROR(_xll.TR(MO.Ticker.Thomson,"MAX(TR.Pricehigh)","sdate:#1 edate:#2",,INDEX(MO_SNA_FPStartDate,0,COLUMN()),INDEX(MO_Common_QEndDate,0,COLUMN())),"N/A")</f>
        <v>N/A</v>
      </c>
      <c r="AN1061" s="220" t="str">
        <f ca="1">IFERROR(_xll.TR(MO.Ticker.Thomson,"MAX(TR.Pricehigh)","sdate:#1 edate:#2",,INDEX(MO_SNA_FPStartDate,0,COLUMN()),INDEX(MO_Common_QEndDate,0,COLUMN())),"N/A")</f>
        <v>N/A</v>
      </c>
      <c r="AO1061" s="220" t="str">
        <f ca="1">IFERROR(_xll.TR(MO.Ticker.Thomson,"MAX(TR.Pricehigh)","sdate:#1 edate:#2",,INDEX(MO_SNA_FPStartDate,0,COLUMN()),INDEX(MO_Common_QEndDate,0,COLUMN())),"N/A")</f>
        <v>N/A</v>
      </c>
      <c r="AP1061" s="220" t="str">
        <f ca="1">IFERROR(_xll.TR(MO.Ticker.Thomson,"MAX(TR.Pricehigh)","sdate:#1 edate:#2",,INDEX(MO_SNA_FPStartDate,0,COLUMN()),INDEX(MO_Common_QEndDate,0,COLUMN())),"N/A")</f>
        <v>N/A</v>
      </c>
      <c r="AQ1061" s="220" t="str">
        <f ca="1">IFERROR(_xll.TR(MO.Ticker.Thomson,"MAX(TR.Pricehigh)","sdate:#1 edate:#2",,INDEX(MO_SNA_FPStartDate,0,COLUMN()),INDEX(MO_Common_QEndDate,0,COLUMN())),"N/A")</f>
        <v>N/A</v>
      </c>
      <c r="AR1061" s="220" t="str">
        <f ca="1">IFERROR(_xll.TR(MO.Ticker.Thomson,"MAX(TR.Pricehigh)","sdate:#1 edate:#2",,INDEX(MO_SNA_FPStartDate,0,COLUMN()),INDEX(MO_Common_QEndDate,0,COLUMN())),"N/A")</f>
        <v>N/A</v>
      </c>
      <c r="AS1061" s="220" t="str">
        <f ca="1">IFERROR(_xll.TR(MO.Ticker.Thomson,"MAX(TR.Pricehigh)","sdate:#1 edate:#2",,INDEX(MO_SNA_FPStartDate,0,COLUMN()),INDEX(MO_Common_QEndDate,0,COLUMN())),"N/A")</f>
        <v>N/A</v>
      </c>
      <c r="AT1061" s="220" t="str">
        <f ca="1">IFERROR(_xll.TR(MO.Ticker.Thomson,"MAX(TR.Pricehigh)","sdate:#1 edate:#2",,INDEX(MO_SNA_FPStartDate,0,COLUMN()),INDEX(MO_Common_QEndDate,0,COLUMN())),"N/A")</f>
        <v>N/A</v>
      </c>
      <c r="AU1061" s="220" t="str">
        <f ca="1">IFERROR(_xll.TR(MO.Ticker.Thomson,"MAX(TR.Pricehigh)","sdate:#1 edate:#2",,INDEX(MO_SNA_FPStartDate,0,COLUMN()),INDEX(MO_Common_QEndDate,0,COLUMN())),"N/A")</f>
        <v>N/A</v>
      </c>
      <c r="AV1061" s="220" t="str">
        <f ca="1">IFERROR(_xll.TR(MO.Ticker.Thomson,"MAX(TR.Pricehigh)","sdate:#1 edate:#2",,INDEX(MO_SNA_FPStartDate,0,COLUMN()),INDEX(MO_Common_QEndDate,0,COLUMN())),"N/A")</f>
        <v>N/A</v>
      </c>
      <c r="AW1061" s="220" t="str">
        <f ca="1">IFERROR(_xll.TR(MO.Ticker.Thomson,"MAX(TR.Pricehigh)","sdate:#1 edate:#2",,INDEX(MO_SNA_FPStartDate,0,COLUMN()),INDEX(MO_Common_QEndDate,0,COLUMN())),"N/A")</f>
        <v>N/A</v>
      </c>
      <c r="AX1061" s="220" t="str">
        <f ca="1">IFERROR(_xll.TR(MO.Ticker.Thomson,"MAX(TR.Pricehigh)","sdate:#1 edate:#2",,INDEX(MO_SNA_FPStartDate,0,COLUMN()),INDEX(MO_Common_QEndDate,0,COLUMN())),"N/A")</f>
        <v>N/A</v>
      </c>
      <c r="AY1061" s="220" t="str">
        <f ca="1">IFERROR(_xll.TR(MO.Ticker.Thomson,"MAX(TR.Pricehigh)","sdate:#1 edate:#2",,INDEX(MO_SNA_FPStartDate,0,COLUMN()),INDEX(MO_Common_QEndDate,0,COLUMN())),"N/A")</f>
        <v>N/A</v>
      </c>
      <c r="AZ1061" s="220" t="str">
        <f ca="1">IFERROR(_xll.TR(MO.Ticker.Thomson,"MAX(TR.Pricehigh)","sdate:#1 edate:#2",,INDEX(MO_SNA_FPStartDate,0,COLUMN()),INDEX(MO_Common_QEndDate,0,COLUMN())),"N/A")</f>
        <v>N/A</v>
      </c>
      <c r="BA1061" s="220" t="str">
        <f ca="1">IFERROR(_xll.TR(MO.Ticker.Thomson,"MAX(TR.Pricehigh)","sdate:#1 edate:#2",,INDEX(MO_SNA_FPStartDate,0,COLUMN()),INDEX(MO_Common_QEndDate,0,COLUMN())),"N/A")</f>
        <v>N/A</v>
      </c>
      <c r="BB1061" s="220" t="str">
        <f ca="1">IFERROR(_xll.TR(MO.Ticker.Thomson,"MAX(TR.Pricehigh)","sdate:#1 edate:#2",,INDEX(MO_SNA_FPStartDate,0,COLUMN()),INDEX(MO_Common_QEndDate,0,COLUMN())),"N/A")</f>
        <v>N/A</v>
      </c>
      <c r="BC1061" s="220" t="str">
        <f ca="1">IFERROR(_xll.TR(MO.Ticker.Thomson,"MAX(TR.Pricehigh)","sdate:#1 edate:#2",,INDEX(MO_SNA_FPStartDate,0,COLUMN()),INDEX(MO_Common_QEndDate,0,COLUMN())),"N/A")</f>
        <v>N/A</v>
      </c>
      <c r="BD1061" s="220" t="str">
        <f ca="1">IFERROR(_xll.TR(MO.Ticker.Thomson,"MAX(TR.Pricehigh)","sdate:#1 edate:#2",,INDEX(MO_SNA_FPStartDate,0,COLUMN()),INDEX(MO_Common_QEndDate,0,COLUMN())),"N/A")</f>
        <v>N/A</v>
      </c>
      <c r="BE1061" s="220" t="str">
        <f ca="1">IFERROR(_xll.TR(MO.Ticker.Thomson,"MAX(TR.Pricehigh)","sdate:#1 edate:#2",,INDEX(MO_SNA_FPStartDate,0,COLUMN()),INDEX(MO_Common_QEndDate,0,COLUMN())),"N/A")</f>
        <v>N/A</v>
      </c>
      <c r="BF1061" s="220" t="str">
        <f ca="1">IFERROR(_xll.TR(MO.Ticker.Thomson,"MAX(TR.Pricehigh)","sdate:#1 edate:#2",,INDEX(MO_SNA_FPStartDate,0,COLUMN()),INDEX(MO_Common_QEndDate,0,COLUMN())),"N/A")</f>
        <v>N/A</v>
      </c>
      <c r="BG1061" s="220" t="str">
        <f ca="1">IFERROR(_xll.TR(MO.Ticker.Thomson,"MAX(TR.Pricehigh)","sdate:#1 edate:#2",,INDEX(MO_SNA_FPStartDate,0,COLUMN()),INDEX(MO_Common_QEndDate,0,COLUMN())),"N/A")</f>
        <v>N/A</v>
      </c>
      <c r="BH1061" s="378" t="str">
        <f ca="1">IFERROR(_xll.TR(MO.Ticker.Thomson,"MAX(TR.Pricehigh)","sdate:#1 edate:#2",,INDEX(MO_SNA_FPStartDate,0,COLUMN()),INDEX(MO_Common_QEndDate,0,COLUMN())),"N/A")</f>
        <v>N/A</v>
      </c>
      <c r="BI1061" s="175" t="str">
        <f ca="1">IFERROR(_xll.TR(MO.Ticker.Thomson,"MAX(TR.Pricehigh)","sdate:#1 edate:#2",,INDEX(MO_SNA_FPStartDate,0,COLUMN()),INDEX(MO_Common_QEndDate,0,COLUMN())),"N/A")</f>
        <v>N/A</v>
      </c>
      <c r="BJ1061" s="175" t="str">
        <f ca="1">IFERROR(_xll.TR(MO.Ticker.Thomson,"MAX(TR.Pricehigh)","sdate:#1 edate:#2",,INDEX(MO_SNA_FPStartDate,0,COLUMN()),INDEX(MO_Common_QEndDate,0,COLUMN())),"N/A")</f>
        <v>N/A</v>
      </c>
      <c r="BK1061" s="175" t="str">
        <f ca="1">IFERROR(_xll.TR(MO.Ticker.Thomson,"MAX(TR.Pricehigh)","sdate:#1 edate:#2",,INDEX(MO_SNA_FPStartDate,0,COLUMN()),INDEX(MO_Common_QEndDate,0,COLUMN())),"N/A")</f>
        <v>N/A</v>
      </c>
      <c r="BL1061" s="175" t="str">
        <f ca="1">IFERROR(_xll.TR(MO.Ticker.Thomson,"MAX(TR.Pricehigh)","sdate:#1 edate:#2",,INDEX(MO_SNA_FPStartDate,0,COLUMN()),INDEX(MO_Common_QEndDate,0,COLUMN())),"N/A")</f>
        <v>N/A</v>
      </c>
      <c r="BM1061" s="175" t="str">
        <f ca="1">IFERROR(_xll.TR(MO.Ticker.Thomson,"MAX(TR.Pricehigh)","sdate:#1 edate:#2",,INDEX(MO_SNA_FPStartDate,0,COLUMN()),INDEX(MO_Common_QEndDate,0,COLUMN())),"N/A")</f>
        <v>N/A</v>
      </c>
      <c r="BN1061" s="175" t="str">
        <f ca="1">IFERROR(_xll.TR(MO.Ticker.Thomson,"MAX(TR.Pricehigh)","sdate:#1 edate:#2",,INDEX(MO_SNA_FPStartDate,0,COLUMN()),INDEX(MO_Common_QEndDate,0,COLUMN())),"N/A")</f>
        <v>N/A</v>
      </c>
      <c r="BO1061" s="175" t="str">
        <f ca="1">IFERROR(_xll.TR(MO.Ticker.Thomson,"MAX(TR.Pricehigh)","sdate:#1 edate:#2",,INDEX(MO_SNA_FPStartDate,0,COLUMN()),INDEX(MO_Common_QEndDate,0,COLUMN())),"N/A")</f>
        <v>N/A</v>
      </c>
      <c r="BP1061" s="220" t="str">
        <f ca="1">IFERROR(_xll.TR(MO.Ticker.Thomson,"MAX(TR.Pricehigh)","sdate:#1 edate:#2",,INDEX(MO_SNA_FPStartDate,0,COLUMN()),INDEX(MO_Common_QEndDate,0,COLUMN())),"N/A")</f>
        <v>N/A</v>
      </c>
      <c r="BQ1061" s="220" t="str">
        <f ca="1">IFERROR(_xll.TR(MO.Ticker.Thomson,"MAX(TR.Pricehigh)","sdate:#1 edate:#2",,INDEX(MO_SNA_FPStartDate,0,COLUMN()),INDEX(MO_Common_QEndDate,0,COLUMN())),"N/A")</f>
        <v>N/A</v>
      </c>
      <c r="BR1061" s="176" t="str">
        <f ca="1">IFERROR(_xll.TR(MO.Ticker.Thomson,"MAX(TR.Pricehigh)","sdate:#1 edate:#2",,INDEX(MO_SNA_FPStartDate,0,COLUMN()),INDEX(MO_Common_QEndDate,0,COLUMN())),"N/A")</f>
        <v>N/A</v>
      </c>
      <c r="BS1061" s="268"/>
    </row>
    <row r="1062" spans="1:71" s="698" customFormat="1" ht="15" hidden="1" outlineLevel="1">
      <c r="A1062" s="152"/>
      <c r="B1062" s="992"/>
      <c r="C1062" s="304"/>
      <c r="D1062" s="304"/>
      <c r="E1062" s="993"/>
      <c r="F1062" s="993"/>
      <c r="G1062" s="993"/>
      <c r="H1062" s="993"/>
      <c r="I1062" s="993"/>
      <c r="J1062" s="993"/>
      <c r="K1062" s="993"/>
      <c r="L1062" s="993"/>
      <c r="M1062" s="993"/>
      <c r="N1062" s="993"/>
      <c r="O1062" s="993"/>
      <c r="P1062" s="993"/>
      <c r="Q1062" s="993"/>
      <c r="R1062" s="993"/>
      <c r="S1062" s="993"/>
      <c r="T1062" s="993"/>
      <c r="U1062" s="993"/>
      <c r="V1062" s="993"/>
      <c r="W1062" s="993"/>
      <c r="X1062" s="993"/>
      <c r="Y1062" s="993"/>
      <c r="Z1062" s="993"/>
      <c r="AA1062" s="993"/>
      <c r="AB1062" s="993"/>
      <c r="AC1062" s="993"/>
      <c r="AD1062" s="993"/>
      <c r="AE1062" s="993"/>
      <c r="AF1062" s="993"/>
      <c r="AG1062" s="993"/>
      <c r="AH1062" s="993"/>
      <c r="AI1062" s="993"/>
      <c r="AJ1062" s="993"/>
      <c r="AK1062" s="993"/>
      <c r="AL1062" s="993"/>
      <c r="AM1062" s="993"/>
      <c r="AN1062" s="993"/>
      <c r="AO1062" s="993"/>
      <c r="AP1062" s="993"/>
      <c r="AQ1062" s="993"/>
      <c r="AR1062" s="993"/>
      <c r="AS1062" s="993"/>
      <c r="AT1062" s="993"/>
      <c r="AU1062" s="993"/>
      <c r="AV1062" s="993"/>
      <c r="AW1062" s="993"/>
      <c r="AX1062" s="993"/>
      <c r="AY1062" s="993"/>
      <c r="AZ1062" s="993"/>
      <c r="BA1062" s="993"/>
      <c r="BB1062" s="993"/>
      <c r="BC1062" s="993"/>
      <c r="BD1062" s="993"/>
      <c r="BE1062" s="993"/>
      <c r="BF1062" s="993"/>
      <c r="BG1062" s="993"/>
      <c r="BH1062" s="994"/>
      <c r="BI1062" s="992"/>
      <c r="BJ1062" s="992"/>
      <c r="BK1062" s="992"/>
      <c r="BL1062" s="992"/>
      <c r="BM1062" s="992"/>
      <c r="BN1062" s="992"/>
      <c r="BO1062" s="992"/>
      <c r="BP1062" s="993"/>
      <c r="BQ1062" s="993"/>
      <c r="BR1062" s="151"/>
      <c r="BS1062" s="264"/>
    </row>
    <row r="1063" spans="1:71" s="694" customFormat="1" ht="15" collapsed="1">
      <c r="A1063" s="174" t="str">
        <f ca="1">"Stock Low: "&amp;IF(OR(MO.RealTimeStockPriceToggle=FALSE,VLOOKUP(MO.DataSourceName,MO_SPT_StockLow_Sources,COLUMN()+2,FALSE)="N/A"),"Real-Time Off Source",MO.DataSourceName)</f>
        <v>Stock Low: Real-Time Off Source</v>
      </c>
      <c r="B1063" s="175"/>
      <c r="C1063" s="303">
        <f ca="1" t="shared" si="1978" ref="C1063:AQ1063">IF(OR(MO.RealTimeStockPriceToggle=FALSE,VLOOKUP(MO.DataSourceName,MO_SPT_StockLow_Sources,COLUMN(),FALSE)="N/A"),VLOOKUP("Real-Time Off Source",MO_SPT_StockLow_Sources,COLUMN(),FALSE),VLOOKUP(MO.DataSourceName,MO_SPT_StockLow_Sources,COLUMN(),FALSE))</f>
        <v>9.76</v>
      </c>
      <c r="D1063" s="303">
        <f t="shared" ca="1" si="1978"/>
        <v>16.18</v>
      </c>
      <c r="E1063" s="220">
        <f t="shared" ca="1" si="1978"/>
        <v>16.88</v>
      </c>
      <c r="F1063" s="220">
        <f t="shared" ca="1" si="1978"/>
        <v>19.010000000000002</v>
      </c>
      <c r="G1063" s="220">
        <f t="shared" ca="1" si="1978"/>
        <v>21.36</v>
      </c>
      <c r="H1063" s="220">
        <f t="shared" ca="1" si="1978"/>
        <v>22.53</v>
      </c>
      <c r="I1063" s="220">
        <f t="shared" ca="1" si="1978"/>
        <v>23.40</v>
      </c>
      <c r="J1063" s="220">
        <f t="shared" ca="1" si="1978"/>
        <v>23.20</v>
      </c>
      <c r="K1063" s="220">
        <f t="shared" ca="1" si="1978"/>
        <v>24.16</v>
      </c>
      <c r="L1063" s="220">
        <f t="shared" ca="1" si="1978"/>
        <v>22.53</v>
      </c>
      <c r="M1063" s="220">
        <f t="shared" ca="1" si="1978"/>
        <v>25.23</v>
      </c>
      <c r="N1063" s="220">
        <f t="shared" ca="1" si="1978"/>
        <v>26.44</v>
      </c>
      <c r="O1063" s="220">
        <f t="shared" ca="1" si="1978"/>
        <v>27.23</v>
      </c>
      <c r="P1063" s="220">
        <f t="shared" ca="1" si="1978"/>
        <v>30.09</v>
      </c>
      <c r="Q1063" s="220">
        <f t="shared" ca="1" si="1978"/>
        <v>25.23</v>
      </c>
      <c r="R1063" s="220">
        <f t="shared" ca="1" si="1978"/>
        <v>29.32</v>
      </c>
      <c r="S1063" s="220">
        <f t="shared" ca="1" si="1978"/>
        <v>31.14</v>
      </c>
      <c r="T1063" s="220">
        <f t="shared" ca="1" si="1978"/>
        <v>30.54</v>
      </c>
      <c r="U1063" s="220">
        <f t="shared" ca="1" si="1978"/>
        <v>30.66</v>
      </c>
      <c r="V1063" s="220">
        <f t="shared" ca="1" si="1978"/>
        <v>29.32</v>
      </c>
      <c r="W1063" s="220">
        <f t="shared" ca="1" si="1978"/>
        <v>35.229999999999997</v>
      </c>
      <c r="X1063" s="220">
        <f t="shared" ca="1" si="1978"/>
        <v>38.61</v>
      </c>
      <c r="Y1063" s="220">
        <f t="shared" ca="1" si="1978"/>
        <v>43.59</v>
      </c>
      <c r="Z1063" s="220">
        <f t="shared" ca="1" si="1978"/>
        <v>47.89</v>
      </c>
      <c r="AA1063" s="220">
        <f t="shared" ca="1" si="1978"/>
        <v>35.229999999999997</v>
      </c>
      <c r="AB1063" s="220">
        <f t="shared" ca="1" si="1978"/>
        <v>51.07</v>
      </c>
      <c r="AC1063" s="220">
        <f t="shared" ca="1" si="1978"/>
        <v>58.71</v>
      </c>
      <c r="AD1063" s="220">
        <f t="shared" ca="1" si="1978"/>
        <v>58.42</v>
      </c>
      <c r="AE1063" s="220">
        <f t="shared" ca="1" si="1978"/>
        <v>57.07</v>
      </c>
      <c r="AF1063" s="220">
        <f t="shared" ca="1" si="1978"/>
        <v>51.07</v>
      </c>
      <c r="AG1063" s="220">
        <f t="shared" ca="1" si="1978"/>
        <v>58.23</v>
      </c>
      <c r="AH1063" s="220">
        <f t="shared" ca="1" si="1978"/>
        <v>71.53</v>
      </c>
      <c r="AI1063" s="220">
        <f t="shared" ca="1" si="1978"/>
        <v>72.680000000000007</v>
      </c>
      <c r="AJ1063" s="220">
        <f t="shared" ca="1" si="1978"/>
        <v>68.400000000000006</v>
      </c>
      <c r="AK1063" s="220">
        <f t="shared" ca="1" si="1978"/>
        <v>58.23</v>
      </c>
      <c r="AL1063" s="220">
        <f t="shared" ca="1" si="1978"/>
        <v>66.55</v>
      </c>
      <c r="AM1063" s="220">
        <f t="shared" ca="1" si="1978"/>
        <v>72.19</v>
      </c>
      <c r="AN1063" s="220">
        <f t="shared" ca="1" si="1978"/>
        <v>77.370000000000005</v>
      </c>
      <c r="AO1063" s="220">
        <f ca="1">IF(OR(MO.RealTimeStockPriceToggle=FALSE,VLOOKUP(MO.DataSourceName,MO_SPT_StockLow_Sources,COLUMN(),FALSE)="N/A"),VLOOKUP("Real-Time Off Source",MO_SPT_StockLow_Sources,COLUMN(),FALSE),VLOOKUP(MO.DataSourceName,MO_SPT_StockLow_Sources,COLUMN(),FALSE))</f>
        <v>87.11</v>
      </c>
      <c r="AP1063" s="220">
        <f ca="1">IF(OR(MO.RealTimeStockPriceToggle=FALSE,VLOOKUP(MO.DataSourceName,MO_SPT_StockLow_Sources,COLUMN(),FALSE)="N/A"),VLOOKUP("Real-Time Off Source",MO_SPT_StockLow_Sources,COLUMN(),FALSE),VLOOKUP(MO.DataSourceName,MO_SPT_StockLow_Sources,COLUMN(),FALSE))</f>
        <v>66.55</v>
      </c>
      <c r="AQ1063" s="220">
        <f t="shared" ca="1" si="1978"/>
        <v>85.13</v>
      </c>
      <c r="AR1063" s="220">
        <f ca="1" t="shared" si="1979" ref="AR1063:AU1063">IF(OR(MO.RealTimeStockPriceToggle=FALSE,VLOOKUP(MO.DataSourceName,MO_SPT_StockLow_Sources,COLUMN(),FALSE)="N/A"),VLOOKUP("Real-Time Off Source",MO_SPT_StockLow_Sources,COLUMN(),FALSE),VLOOKUP(MO.DataSourceName,MO_SPT_StockLow_Sources,COLUMN(),FALSE))</f>
        <v>91.84</v>
      </c>
      <c r="AS1063" s="220">
        <f t="shared" ca="1" si="1979"/>
        <v>90.35</v>
      </c>
      <c r="AT1063" s="220">
        <f t="shared" ca="1" si="1979"/>
        <v>90.01</v>
      </c>
      <c r="AU1063" s="220">
        <f t="shared" ca="1" si="1979"/>
        <v>85.13</v>
      </c>
      <c r="AV1063" s="220">
        <f ca="1" t="shared" si="1980" ref="AV1063:BJ1063">IF(OR(MO.RealTimeStockPriceToggle=FALSE,VLOOKUP(MO.DataSourceName,MO_SPT_StockLow_Sources,COLUMN(),FALSE)="N/A"),VLOOKUP("Real-Time Off Source",MO_SPT_StockLow_Sources,COLUMN(),FALSE),VLOOKUP(MO.DataSourceName,MO_SPT_StockLow_Sources,COLUMN(),FALSE))</f>
        <v>102</v>
      </c>
      <c r="AW1063" s="220">
        <f t="shared" ca="1" si="1980"/>
        <v>106.95</v>
      </c>
      <c r="AX1063" s="220">
        <f t="shared" ca="1" si="1980"/>
        <v>110.29000000000001</v>
      </c>
      <c r="AY1063" s="220">
        <f t="shared" ca="1" si="1980"/>
        <v>115.89</v>
      </c>
      <c r="AZ1063" s="220">
        <f t="shared" ca="1" si="1980"/>
        <v>102</v>
      </c>
      <c r="BA1063" s="220">
        <f ca="1" t="shared" si="1981" ref="BA1063:BI1063">IF(OR(MO.RealTimeStockPriceToggle=FALSE,VLOOKUP(MO.DataSourceName,MO_SPT_StockLow_Sources,COLUMN(),FALSE)="N/A"),VLOOKUP("Real-Time Off Source",MO_SPT_StockLow_Sources,COLUMN(),FALSE),VLOOKUP(MO.DataSourceName,MO_SPT_StockLow_Sources,COLUMN(),FALSE))</f>
        <v>125.92</v>
      </c>
      <c r="BB1063" s="220">
        <f t="shared" ca="1" si="1981"/>
        <v>126.93000000000001</v>
      </c>
      <c r="BC1063" s="220">
        <f t="shared" ca="1" si="1981"/>
        <v>114.78</v>
      </c>
      <c r="BD1063" s="220">
        <f t="shared" ca="1" si="1981"/>
        <v>138.97</v>
      </c>
      <c r="BE1063" s="220">
        <f t="shared" ca="1" si="1981"/>
        <v>114.78</v>
      </c>
      <c r="BF1063" s="220">
        <f ca="1">IF(OR(MO.RealTimeStockPriceToggle=FALSE,VLOOKUP(MO.DataSourceName,MO_SPT_StockLow_Sources,COLUMN(),FALSE)="N/A"),VLOOKUP("Real-Time Off Source",MO_SPT_StockLow_Sources,COLUMN(),FALSE),VLOOKUP(MO.DataSourceName,MO_SPT_StockLow_Sources,COLUMN(),FALSE))</f>
        <v>161.63</v>
      </c>
      <c r="BG1063" s="220">
        <f ca="1">IF(OR(MO.RealTimeStockPriceToggle=FALSE,VLOOKUP(MO.DataSourceName,MO_SPT_StockLow_Sources,COLUMN(),FALSE)="N/A"),VLOOKUP("Real-Time Off Source",MO_SPT_StockLow_Sources,COLUMN(),FALSE),VLOOKUP(MO.DataSourceName,MO_SPT_StockLow_Sources,COLUMN(),FALSE))</f>
        <v>202.26</v>
      </c>
      <c r="BH1063" s="378">
        <f ca="1">IF(OR(MO.RealTimeStockPriceToggle=FALSE,VLOOKUP(MO.DataSourceName,MO_SPT_StockLow_Sources,COLUMN(),FALSE)="N/A"),VLOOKUP("Real-Time Off Source",MO_SPT_StockLow_Sources,COLUMN(),FALSE),VLOOKUP(MO.DataSourceName,MO_SPT_StockLow_Sources,COLUMN(),FALSE))</f>
        <v>209.46</v>
      </c>
      <c r="BI1063" s="175">
        <f t="shared" ca="1" si="1981"/>
        <v>0</v>
      </c>
      <c r="BJ1063" s="175">
        <f t="shared" ca="1" si="1980"/>
        <v>0</v>
      </c>
      <c r="BK1063" s="175">
        <f ca="1" t="shared" si="1982" ref="BK1063:BR1063">IF(OR(MO.RealTimeStockPriceToggle=FALSE,VLOOKUP(MO.DataSourceName,MO_SPT_StockLow_Sources,COLUMN(),FALSE)="N/A"),VLOOKUP("Real-Time Off Source",MO_SPT_StockLow_Sources,COLUMN(),FALSE),VLOOKUP(MO.DataSourceName,MO_SPT_StockLow_Sources,COLUMN(),FALSE))</f>
        <v>0</v>
      </c>
      <c r="BL1063" s="175">
        <f t="shared" ca="1" si="1982"/>
        <v>0</v>
      </c>
      <c r="BM1063" s="175">
        <f t="shared" ca="1" si="1982"/>
        <v>0</v>
      </c>
      <c r="BN1063" s="175">
        <f t="shared" ca="1" si="1982"/>
        <v>0</v>
      </c>
      <c r="BO1063" s="175">
        <f t="shared" ca="1" si="1982"/>
        <v>0</v>
      </c>
      <c r="BP1063" s="220">
        <f t="shared" ca="1" si="1982"/>
        <v>0</v>
      </c>
      <c r="BQ1063" s="220">
        <f t="shared" ca="1" si="1982"/>
        <v>0</v>
      </c>
      <c r="BR1063" s="176">
        <f t="shared" ca="1" si="1982"/>
        <v>0</v>
      </c>
      <c r="BS1063" s="268"/>
    </row>
    <row r="1064" spans="1:71" s="694" customFormat="1" ht="15" hidden="1" outlineLevel="1">
      <c r="A1064" s="177" t="s">
        <v>262</v>
      </c>
      <c r="B1064" s="175"/>
      <c r="C1064" s="1299">
        <v>9.76</v>
      </c>
      <c r="D1064" s="1299">
        <v>16.18</v>
      </c>
      <c r="E1064" s="1300">
        <v>16.88</v>
      </c>
      <c r="F1064" s="1300">
        <v>19.010000000000002</v>
      </c>
      <c r="G1064" s="1300">
        <v>21.36</v>
      </c>
      <c r="H1064" s="1300">
        <v>22.53</v>
      </c>
      <c r="I1064" s="1300">
        <v>23.40</v>
      </c>
      <c r="J1064" s="1300">
        <v>23.20</v>
      </c>
      <c r="K1064" s="1300">
        <v>24.16</v>
      </c>
      <c r="L1064" s="1300">
        <v>22.53</v>
      </c>
      <c r="M1064" s="1300">
        <v>25.23</v>
      </c>
      <c r="N1064" s="1300">
        <v>26.44</v>
      </c>
      <c r="O1064" s="1300">
        <v>27.23</v>
      </c>
      <c r="P1064" s="1300">
        <v>30.09</v>
      </c>
      <c r="Q1064" s="1300">
        <v>25.23</v>
      </c>
      <c r="R1064" s="1300">
        <v>29.32</v>
      </c>
      <c r="S1064" s="1300">
        <v>31.14</v>
      </c>
      <c r="T1064" s="1300">
        <v>30.54</v>
      </c>
      <c r="U1064" s="1300">
        <v>30.66</v>
      </c>
      <c r="V1064" s="1300">
        <v>29.32</v>
      </c>
      <c r="W1064" s="1300">
        <v>35.229999999999997</v>
      </c>
      <c r="X1064" s="1300">
        <v>38.61</v>
      </c>
      <c r="Y1064" s="1300">
        <v>43.59</v>
      </c>
      <c r="Z1064" s="1300">
        <v>47.89</v>
      </c>
      <c r="AA1064" s="1300">
        <v>35.229999999999997</v>
      </c>
      <c r="AB1064" s="1300">
        <v>51.07</v>
      </c>
      <c r="AC1064" s="1300">
        <v>58.71</v>
      </c>
      <c r="AD1064" s="1300">
        <v>58.42</v>
      </c>
      <c r="AE1064" s="1300">
        <v>57.07</v>
      </c>
      <c r="AF1064" s="1300">
        <v>51.07</v>
      </c>
      <c r="AG1064" s="1300">
        <v>58.23</v>
      </c>
      <c r="AH1064" s="1300">
        <v>71.53</v>
      </c>
      <c r="AI1064" s="1300">
        <v>72.680000000000007</v>
      </c>
      <c r="AJ1064" s="1300">
        <v>68.400000000000006</v>
      </c>
      <c r="AK1064" s="1300">
        <v>58.23</v>
      </c>
      <c r="AL1064" s="1300">
        <v>66.55</v>
      </c>
      <c r="AM1064" s="1300">
        <v>72.19</v>
      </c>
      <c r="AN1064" s="1300">
        <v>77.370000000000005</v>
      </c>
      <c r="AO1064" s="1300">
        <v>87.11</v>
      </c>
      <c r="AP1064" s="1300">
        <v>66.55</v>
      </c>
      <c r="AQ1064" s="1300">
        <v>85.13</v>
      </c>
      <c r="AR1064" s="1300">
        <v>91.84</v>
      </c>
      <c r="AS1064" s="1300">
        <v>90.35</v>
      </c>
      <c r="AT1064" s="1300">
        <v>90.01</v>
      </c>
      <c r="AU1064" s="1300">
        <v>85.13</v>
      </c>
      <c r="AV1064" s="1300">
        <v>102</v>
      </c>
      <c r="AW1064" s="1300">
        <v>106.95</v>
      </c>
      <c r="AX1064" s="1300">
        <v>110.29000000000001</v>
      </c>
      <c r="AY1064" s="1300">
        <v>115.89</v>
      </c>
      <c r="AZ1064" s="1300">
        <v>102</v>
      </c>
      <c r="BA1064" s="1300">
        <v>125.92</v>
      </c>
      <c r="BB1064" s="1300">
        <v>126.93000000000001</v>
      </c>
      <c r="BC1064" s="1300">
        <v>114.78</v>
      </c>
      <c r="BD1064" s="1300">
        <v>138.97</v>
      </c>
      <c r="BE1064" s="1300">
        <v>114.78</v>
      </c>
      <c r="BF1064" s="1300">
        <v>161.63</v>
      </c>
      <c r="BG1064" s="1300">
        <v>202.26</v>
      </c>
      <c r="BH1064" s="1301">
        <v>209.46</v>
      </c>
      <c r="BI1064" s="175"/>
      <c r="BJ1064" s="175"/>
      <c r="BK1064" s="175"/>
      <c r="BL1064" s="175"/>
      <c r="BM1064" s="175"/>
      <c r="BN1064" s="175"/>
      <c r="BO1064" s="175"/>
      <c r="BP1064" s="220"/>
      <c r="BQ1064" s="220"/>
      <c r="BR1064" s="176"/>
      <c r="BS1064" s="268"/>
    </row>
    <row r="1065" spans="1:71" s="694" customFormat="1" ht="15" hidden="1" outlineLevel="1">
      <c r="A1065" s="177" t="s">
        <v>7</v>
      </c>
      <c r="B1065" s="175"/>
      <c r="C1065" s="303" t="str">
        <f ca="1">IFERROR(BDP(MO.Ticker.Bloomberg&amp;" Equity","INTERVAL_LOW","MARKET_DATA_OVERRIDE=PX_LAST","START_DATE_OVERRIDE",TEXT(INDEX(MO_SNA_FPStartDate,0,COLUMN()),"YYYYMMDD"),"END_DATE_OVERRIDE",TEXT(INDEX(MO_Common_QEndDate,0,COLUMN()),"YYYYMMDD")),"N/A")</f>
        <v>N/A</v>
      </c>
      <c r="D1065" s="303" t="str">
        <f ca="1">IFERROR(BDP(MO.Ticker.Bloomberg&amp;" Equity","INTERVAL_LOW","MARKET_DATA_OVERRIDE=PX_LAST","START_DATE_OVERRIDE",TEXT(INDEX(MO_SNA_FPStartDate,0,COLUMN()),"YYYYMMDD"),"END_DATE_OVERRIDE",TEXT(INDEX(MO_Common_QEndDate,0,COLUMN()),"YYYYMMDD")),"N/A")</f>
        <v>N/A</v>
      </c>
      <c r="E1065" s="220" t="str">
        <f ca="1">IFERROR(BDP(MO.Ticker.Bloomberg&amp;" Equity","INTERVAL_LOW","MARKET_DATA_OVERRIDE=PX_LAST","START_DATE_OVERRIDE",TEXT(INDEX(MO_SNA_FPStartDate,0,COLUMN()),"YYYYMMDD"),"END_DATE_OVERRIDE",TEXT(INDEX(MO_Common_QEndDate,0,COLUMN()),"YYYYMMDD")),"N/A")</f>
        <v>N/A</v>
      </c>
      <c r="F1065" s="220" t="str">
        <f ca="1">IFERROR(BDP(MO.Ticker.Bloomberg&amp;" Equity","INTERVAL_LOW","MARKET_DATA_OVERRIDE=PX_LAST","START_DATE_OVERRIDE",TEXT(INDEX(MO_SNA_FPStartDate,0,COLUMN()),"YYYYMMDD"),"END_DATE_OVERRIDE",TEXT(INDEX(MO_Common_QEndDate,0,COLUMN()),"YYYYMMDD")),"N/A")</f>
        <v>N/A</v>
      </c>
      <c r="G1065" s="220" t="str">
        <f ca="1">IFERROR(BDP(MO.Ticker.Bloomberg&amp;" Equity","INTERVAL_LOW","MARKET_DATA_OVERRIDE=PX_LAST","START_DATE_OVERRIDE",TEXT(INDEX(MO_SNA_FPStartDate,0,COLUMN()),"YYYYMMDD"),"END_DATE_OVERRIDE",TEXT(INDEX(MO_Common_QEndDate,0,COLUMN()),"YYYYMMDD")),"N/A")</f>
        <v>N/A</v>
      </c>
      <c r="H1065" s="220" t="str">
        <f ca="1">IFERROR(BDP(MO.Ticker.Bloomberg&amp;" Equity","INTERVAL_LOW","MARKET_DATA_OVERRIDE=PX_LAST","START_DATE_OVERRIDE",TEXT(INDEX(MO_SNA_FPStartDate,0,COLUMN()),"YYYYMMDD"),"END_DATE_OVERRIDE",TEXT(INDEX(MO_Common_QEndDate,0,COLUMN()),"YYYYMMDD")),"N/A")</f>
        <v>N/A</v>
      </c>
      <c r="I1065" s="220" t="str">
        <f ca="1">IFERROR(BDP(MO.Ticker.Bloomberg&amp;" Equity","INTERVAL_LOW","MARKET_DATA_OVERRIDE=PX_LAST","START_DATE_OVERRIDE",TEXT(INDEX(MO_SNA_FPStartDate,0,COLUMN()),"YYYYMMDD"),"END_DATE_OVERRIDE",TEXT(INDEX(MO_Common_QEndDate,0,COLUMN()),"YYYYMMDD")),"N/A")</f>
        <v>N/A</v>
      </c>
      <c r="J1065" s="220" t="str">
        <f ca="1">IFERROR(BDP(MO.Ticker.Bloomberg&amp;" Equity","INTERVAL_LOW","MARKET_DATA_OVERRIDE=PX_LAST","START_DATE_OVERRIDE",TEXT(INDEX(MO_SNA_FPStartDate,0,COLUMN()),"YYYYMMDD"),"END_DATE_OVERRIDE",TEXT(INDEX(MO_Common_QEndDate,0,COLUMN()),"YYYYMMDD")),"N/A")</f>
        <v>N/A</v>
      </c>
      <c r="K1065" s="220" t="str">
        <f ca="1">IFERROR(BDP(MO.Ticker.Bloomberg&amp;" Equity","INTERVAL_LOW","MARKET_DATA_OVERRIDE=PX_LAST","START_DATE_OVERRIDE",TEXT(INDEX(MO_SNA_FPStartDate,0,COLUMN()),"YYYYMMDD"),"END_DATE_OVERRIDE",TEXT(INDEX(MO_Common_QEndDate,0,COLUMN()),"YYYYMMDD")),"N/A")</f>
        <v>N/A</v>
      </c>
      <c r="L1065" s="220" t="str">
        <f ca="1">IFERROR(BDP(MO.Ticker.Bloomberg&amp;" Equity","INTERVAL_LOW","MARKET_DATA_OVERRIDE=PX_LAST","START_DATE_OVERRIDE",TEXT(INDEX(MO_SNA_FPStartDate,0,COLUMN()),"YYYYMMDD"),"END_DATE_OVERRIDE",TEXT(INDEX(MO_Common_QEndDate,0,COLUMN()),"YYYYMMDD")),"N/A")</f>
        <v>N/A</v>
      </c>
      <c r="M1065" s="220" t="str">
        <f ca="1">IFERROR(BDP(MO.Ticker.Bloomberg&amp;" Equity","INTERVAL_LOW","MARKET_DATA_OVERRIDE=PX_LAST","START_DATE_OVERRIDE",TEXT(INDEX(MO_SNA_FPStartDate,0,COLUMN()),"YYYYMMDD"),"END_DATE_OVERRIDE",TEXT(INDEX(MO_Common_QEndDate,0,COLUMN()),"YYYYMMDD")),"N/A")</f>
        <v>N/A</v>
      </c>
      <c r="N1065" s="220" t="str">
        <f ca="1">IFERROR(BDP(MO.Ticker.Bloomberg&amp;" Equity","INTERVAL_LOW","MARKET_DATA_OVERRIDE=PX_LAST","START_DATE_OVERRIDE",TEXT(INDEX(MO_SNA_FPStartDate,0,COLUMN()),"YYYYMMDD"),"END_DATE_OVERRIDE",TEXT(INDEX(MO_Common_QEndDate,0,COLUMN()),"YYYYMMDD")),"N/A")</f>
        <v>N/A</v>
      </c>
      <c r="O1065" s="220" t="str">
        <f ca="1">IFERROR(BDP(MO.Ticker.Bloomberg&amp;" Equity","INTERVAL_LOW","MARKET_DATA_OVERRIDE=PX_LAST","START_DATE_OVERRIDE",TEXT(INDEX(MO_SNA_FPStartDate,0,COLUMN()),"YYYYMMDD"),"END_DATE_OVERRIDE",TEXT(INDEX(MO_Common_QEndDate,0,COLUMN()),"YYYYMMDD")),"N/A")</f>
        <v>N/A</v>
      </c>
      <c r="P1065" s="220" t="str">
        <f ca="1">IFERROR(BDP(MO.Ticker.Bloomberg&amp;" Equity","INTERVAL_LOW","MARKET_DATA_OVERRIDE=PX_LAST","START_DATE_OVERRIDE",TEXT(INDEX(MO_SNA_FPStartDate,0,COLUMN()),"YYYYMMDD"),"END_DATE_OVERRIDE",TEXT(INDEX(MO_Common_QEndDate,0,COLUMN()),"YYYYMMDD")),"N/A")</f>
        <v>N/A</v>
      </c>
      <c r="Q1065" s="220" t="str">
        <f ca="1">IFERROR(BDP(MO.Ticker.Bloomberg&amp;" Equity","INTERVAL_LOW","MARKET_DATA_OVERRIDE=PX_LAST","START_DATE_OVERRIDE",TEXT(INDEX(MO_SNA_FPStartDate,0,COLUMN()),"YYYYMMDD"),"END_DATE_OVERRIDE",TEXT(INDEX(MO_Common_QEndDate,0,COLUMN()),"YYYYMMDD")),"N/A")</f>
        <v>N/A</v>
      </c>
      <c r="R1065" s="220" t="str">
        <f ca="1">IFERROR(BDP(MO.Ticker.Bloomberg&amp;" Equity","INTERVAL_LOW","MARKET_DATA_OVERRIDE=PX_LAST","START_DATE_OVERRIDE",TEXT(INDEX(MO_SNA_FPStartDate,0,COLUMN()),"YYYYMMDD"),"END_DATE_OVERRIDE",TEXT(INDEX(MO_Common_QEndDate,0,COLUMN()),"YYYYMMDD")),"N/A")</f>
        <v>N/A</v>
      </c>
      <c r="S1065" s="220" t="str">
        <f ca="1">IFERROR(BDP(MO.Ticker.Bloomberg&amp;" Equity","INTERVAL_LOW","MARKET_DATA_OVERRIDE=PX_LAST","START_DATE_OVERRIDE",TEXT(INDEX(MO_SNA_FPStartDate,0,COLUMN()),"YYYYMMDD"),"END_DATE_OVERRIDE",TEXT(INDEX(MO_Common_QEndDate,0,COLUMN()),"YYYYMMDD")),"N/A")</f>
        <v>N/A</v>
      </c>
      <c r="T1065" s="220" t="str">
        <f ca="1">IFERROR(BDP(MO.Ticker.Bloomberg&amp;" Equity","INTERVAL_LOW","MARKET_DATA_OVERRIDE=PX_LAST","START_DATE_OVERRIDE",TEXT(INDEX(MO_SNA_FPStartDate,0,COLUMN()),"YYYYMMDD"),"END_DATE_OVERRIDE",TEXT(INDEX(MO_Common_QEndDate,0,COLUMN()),"YYYYMMDD")),"N/A")</f>
        <v>N/A</v>
      </c>
      <c r="U1065" s="220" t="str">
        <f ca="1">IFERROR(BDP(MO.Ticker.Bloomberg&amp;" Equity","INTERVAL_LOW","MARKET_DATA_OVERRIDE=PX_LAST","START_DATE_OVERRIDE",TEXT(INDEX(MO_SNA_FPStartDate,0,COLUMN()),"YYYYMMDD"),"END_DATE_OVERRIDE",TEXT(INDEX(MO_Common_QEndDate,0,COLUMN()),"YYYYMMDD")),"N/A")</f>
        <v>N/A</v>
      </c>
      <c r="V1065" s="220" t="str">
        <f ca="1">IFERROR(BDP(MO.Ticker.Bloomberg&amp;" Equity","INTERVAL_LOW","MARKET_DATA_OVERRIDE=PX_LAST","START_DATE_OVERRIDE",TEXT(INDEX(MO_SNA_FPStartDate,0,COLUMN()),"YYYYMMDD"),"END_DATE_OVERRIDE",TEXT(INDEX(MO_Common_QEndDate,0,COLUMN()),"YYYYMMDD")),"N/A")</f>
        <v>N/A</v>
      </c>
      <c r="W1065" s="220" t="str">
        <f ca="1">IFERROR(BDP(MO.Ticker.Bloomberg&amp;" Equity","INTERVAL_LOW","MARKET_DATA_OVERRIDE=PX_LAST","START_DATE_OVERRIDE",TEXT(INDEX(MO_SNA_FPStartDate,0,COLUMN()),"YYYYMMDD"),"END_DATE_OVERRIDE",TEXT(INDEX(MO_Common_QEndDate,0,COLUMN()),"YYYYMMDD")),"N/A")</f>
        <v>N/A</v>
      </c>
      <c r="X1065" s="220" t="str">
        <f ca="1">IFERROR(BDP(MO.Ticker.Bloomberg&amp;" Equity","INTERVAL_LOW","MARKET_DATA_OVERRIDE=PX_LAST","START_DATE_OVERRIDE",TEXT(INDEX(MO_SNA_FPStartDate,0,COLUMN()),"YYYYMMDD"),"END_DATE_OVERRIDE",TEXT(INDEX(MO_Common_QEndDate,0,COLUMN()),"YYYYMMDD")),"N/A")</f>
        <v>N/A</v>
      </c>
      <c r="Y1065" s="220" t="str">
        <f ca="1">IFERROR(BDP(MO.Ticker.Bloomberg&amp;" Equity","INTERVAL_LOW","MARKET_DATA_OVERRIDE=PX_LAST","START_DATE_OVERRIDE",TEXT(INDEX(MO_SNA_FPStartDate,0,COLUMN()),"YYYYMMDD"),"END_DATE_OVERRIDE",TEXT(INDEX(MO_Common_QEndDate,0,COLUMN()),"YYYYMMDD")),"N/A")</f>
        <v>N/A</v>
      </c>
      <c r="Z1065" s="220" t="str">
        <f ca="1">IFERROR(BDP(MO.Ticker.Bloomberg&amp;" Equity","INTERVAL_LOW","MARKET_DATA_OVERRIDE=PX_LAST","START_DATE_OVERRIDE",TEXT(INDEX(MO_SNA_FPStartDate,0,COLUMN()),"YYYYMMDD"),"END_DATE_OVERRIDE",TEXT(INDEX(MO_Common_QEndDate,0,COLUMN()),"YYYYMMDD")),"N/A")</f>
        <v>N/A</v>
      </c>
      <c r="AA1065" s="220" t="str">
        <f ca="1">IFERROR(BDP(MO.Ticker.Bloomberg&amp;" Equity","INTERVAL_LOW","MARKET_DATA_OVERRIDE=PX_LAST","START_DATE_OVERRIDE",TEXT(INDEX(MO_SNA_FPStartDate,0,COLUMN()),"YYYYMMDD"),"END_DATE_OVERRIDE",TEXT(INDEX(MO_Common_QEndDate,0,COLUMN()),"YYYYMMDD")),"N/A")</f>
        <v>N/A</v>
      </c>
      <c r="AB1065" s="220" t="str">
        <f ca="1">IFERROR(BDP(MO.Ticker.Bloomberg&amp;" Equity","INTERVAL_LOW","MARKET_DATA_OVERRIDE=PX_LAST","START_DATE_OVERRIDE",TEXT(INDEX(MO_SNA_FPStartDate,0,COLUMN()),"YYYYMMDD"),"END_DATE_OVERRIDE",TEXT(INDEX(MO_Common_QEndDate,0,COLUMN()),"YYYYMMDD")),"N/A")</f>
        <v>N/A</v>
      </c>
      <c r="AC1065" s="220" t="str">
        <f ca="1">IFERROR(BDP(MO.Ticker.Bloomberg&amp;" Equity","INTERVAL_LOW","MARKET_DATA_OVERRIDE=PX_LAST","START_DATE_OVERRIDE",TEXT(INDEX(MO_SNA_FPStartDate,0,COLUMN()),"YYYYMMDD"),"END_DATE_OVERRIDE",TEXT(INDEX(MO_Common_QEndDate,0,COLUMN()),"YYYYMMDD")),"N/A")</f>
        <v>N/A</v>
      </c>
      <c r="AD1065" s="220" t="str">
        <f ca="1">IFERROR(BDP(MO.Ticker.Bloomberg&amp;" Equity","INTERVAL_LOW","MARKET_DATA_OVERRIDE=PX_LAST","START_DATE_OVERRIDE",TEXT(INDEX(MO_SNA_FPStartDate,0,COLUMN()),"YYYYMMDD"),"END_DATE_OVERRIDE",TEXT(INDEX(MO_Common_QEndDate,0,COLUMN()),"YYYYMMDD")),"N/A")</f>
        <v>N/A</v>
      </c>
      <c r="AE1065" s="220" t="str">
        <f ca="1">IFERROR(BDP(MO.Ticker.Bloomberg&amp;" Equity","INTERVAL_LOW","MARKET_DATA_OVERRIDE=PX_LAST","START_DATE_OVERRIDE",TEXT(INDEX(MO_SNA_FPStartDate,0,COLUMN()),"YYYYMMDD"),"END_DATE_OVERRIDE",TEXT(INDEX(MO_Common_QEndDate,0,COLUMN()),"YYYYMMDD")),"N/A")</f>
        <v>N/A</v>
      </c>
      <c r="AF1065" s="220" t="str">
        <f ca="1">IFERROR(BDP(MO.Ticker.Bloomberg&amp;" Equity","INTERVAL_LOW","MARKET_DATA_OVERRIDE=PX_LAST","START_DATE_OVERRIDE",TEXT(INDEX(MO_SNA_FPStartDate,0,COLUMN()),"YYYYMMDD"),"END_DATE_OVERRIDE",TEXT(INDEX(MO_Common_QEndDate,0,COLUMN()),"YYYYMMDD")),"N/A")</f>
        <v>N/A</v>
      </c>
      <c r="AG1065" s="220" t="str">
        <f ca="1">IFERROR(BDP(MO.Ticker.Bloomberg&amp;" Equity","INTERVAL_LOW","MARKET_DATA_OVERRIDE=PX_LAST","START_DATE_OVERRIDE",TEXT(INDEX(MO_SNA_FPStartDate,0,COLUMN()),"YYYYMMDD"),"END_DATE_OVERRIDE",TEXT(INDEX(MO_Common_QEndDate,0,COLUMN()),"YYYYMMDD")),"N/A")</f>
        <v>N/A</v>
      </c>
      <c r="AH1065" s="220" t="str">
        <f ca="1">IFERROR(BDP(MO.Ticker.Bloomberg&amp;" Equity","INTERVAL_LOW","MARKET_DATA_OVERRIDE=PX_LAST","START_DATE_OVERRIDE",TEXT(INDEX(MO_SNA_FPStartDate,0,COLUMN()),"YYYYMMDD"),"END_DATE_OVERRIDE",TEXT(INDEX(MO_Common_QEndDate,0,COLUMN()),"YYYYMMDD")),"N/A")</f>
        <v>N/A</v>
      </c>
      <c r="AI1065" s="220" t="str">
        <f ca="1">IFERROR(BDP(MO.Ticker.Bloomberg&amp;" Equity","INTERVAL_LOW","MARKET_DATA_OVERRIDE=PX_LAST","START_DATE_OVERRIDE",TEXT(INDEX(MO_SNA_FPStartDate,0,COLUMN()),"YYYYMMDD"),"END_DATE_OVERRIDE",TEXT(INDEX(MO_Common_QEndDate,0,COLUMN()),"YYYYMMDD")),"N/A")</f>
        <v>N/A</v>
      </c>
      <c r="AJ1065" s="220" t="str">
        <f ca="1">IFERROR(BDP(MO.Ticker.Bloomberg&amp;" Equity","INTERVAL_LOW","MARKET_DATA_OVERRIDE=PX_LAST","START_DATE_OVERRIDE",TEXT(INDEX(MO_SNA_FPStartDate,0,COLUMN()),"YYYYMMDD"),"END_DATE_OVERRIDE",TEXT(INDEX(MO_Common_QEndDate,0,COLUMN()),"YYYYMMDD")),"N/A")</f>
        <v>N/A</v>
      </c>
      <c r="AK1065" s="220" t="str">
        <f ca="1">IFERROR(BDP(MO.Ticker.Bloomberg&amp;" Equity","INTERVAL_LOW","MARKET_DATA_OVERRIDE=PX_LAST","START_DATE_OVERRIDE",TEXT(INDEX(MO_SNA_FPStartDate,0,COLUMN()),"YYYYMMDD"),"END_DATE_OVERRIDE",TEXT(INDEX(MO_Common_QEndDate,0,COLUMN()),"YYYYMMDD")),"N/A")</f>
        <v>N/A</v>
      </c>
      <c r="AL1065" s="220" t="str">
        <f ca="1">IFERROR(BDP(MO.Ticker.Bloomberg&amp;" Equity","INTERVAL_LOW","MARKET_DATA_OVERRIDE=PX_LAST","START_DATE_OVERRIDE",TEXT(INDEX(MO_SNA_FPStartDate,0,COLUMN()),"YYYYMMDD"),"END_DATE_OVERRIDE",TEXT(INDEX(MO_Common_QEndDate,0,COLUMN()),"YYYYMMDD")),"N/A")</f>
        <v>N/A</v>
      </c>
      <c r="AM1065" s="220" t="str">
        <f ca="1">IFERROR(BDP(MO.Ticker.Bloomberg&amp;" Equity","INTERVAL_LOW","MARKET_DATA_OVERRIDE=PX_LAST","START_DATE_OVERRIDE",TEXT(INDEX(MO_SNA_FPStartDate,0,COLUMN()),"YYYYMMDD"),"END_DATE_OVERRIDE",TEXT(INDEX(MO_Common_QEndDate,0,COLUMN()),"YYYYMMDD")),"N/A")</f>
        <v>N/A</v>
      </c>
      <c r="AN1065" s="220" t="str">
        <f ca="1">IFERROR(BDP(MO.Ticker.Bloomberg&amp;" Equity","INTERVAL_LOW","MARKET_DATA_OVERRIDE=PX_LAST","START_DATE_OVERRIDE",TEXT(INDEX(MO_SNA_FPStartDate,0,COLUMN()),"YYYYMMDD"),"END_DATE_OVERRIDE",TEXT(INDEX(MO_Common_QEndDate,0,COLUMN()),"YYYYMMDD")),"N/A")</f>
        <v>N/A</v>
      </c>
      <c r="AO1065" s="220" t="str">
        <f ca="1">IFERROR(BDP(MO.Ticker.Bloomberg&amp;" Equity","INTERVAL_LOW","MARKET_DATA_OVERRIDE=PX_LAST","START_DATE_OVERRIDE",TEXT(INDEX(MO_SNA_FPStartDate,0,COLUMN()),"YYYYMMDD"),"END_DATE_OVERRIDE",TEXT(INDEX(MO_Common_QEndDate,0,COLUMN()),"YYYYMMDD")),"N/A")</f>
        <v>N/A</v>
      </c>
      <c r="AP1065" s="220" t="str">
        <f ca="1">IFERROR(BDP(MO.Ticker.Bloomberg&amp;" Equity","INTERVAL_LOW","MARKET_DATA_OVERRIDE=PX_LAST","START_DATE_OVERRIDE",TEXT(INDEX(MO_SNA_FPStartDate,0,COLUMN()),"YYYYMMDD"),"END_DATE_OVERRIDE",TEXT(INDEX(MO_Common_QEndDate,0,COLUMN()),"YYYYMMDD")),"N/A")</f>
        <v>N/A</v>
      </c>
      <c r="AQ1065" s="220" t="str">
        <f ca="1">IFERROR(BDP(MO.Ticker.Bloomberg&amp;" Equity","INTERVAL_LOW","MARKET_DATA_OVERRIDE=PX_LAST","START_DATE_OVERRIDE",TEXT(INDEX(MO_SNA_FPStartDate,0,COLUMN()),"YYYYMMDD"),"END_DATE_OVERRIDE",TEXT(INDEX(MO_Common_QEndDate,0,COLUMN()),"YYYYMMDD")),"N/A")</f>
        <v>N/A</v>
      </c>
      <c r="AR1065" s="220" t="str">
        <f ca="1">IFERROR(BDP(MO.Ticker.Bloomberg&amp;" Equity","INTERVAL_LOW","MARKET_DATA_OVERRIDE=PX_LAST","START_DATE_OVERRIDE",TEXT(INDEX(MO_SNA_FPStartDate,0,COLUMN()),"YYYYMMDD"),"END_DATE_OVERRIDE",TEXT(INDEX(MO_Common_QEndDate,0,COLUMN()),"YYYYMMDD")),"N/A")</f>
        <v>N/A</v>
      </c>
      <c r="AS1065" s="220" t="str">
        <f ca="1">IFERROR(BDP(MO.Ticker.Bloomberg&amp;" Equity","INTERVAL_LOW","MARKET_DATA_OVERRIDE=PX_LAST","START_DATE_OVERRIDE",TEXT(INDEX(MO_SNA_FPStartDate,0,COLUMN()),"YYYYMMDD"),"END_DATE_OVERRIDE",TEXT(INDEX(MO_Common_QEndDate,0,COLUMN()),"YYYYMMDD")),"N/A")</f>
        <v>N/A</v>
      </c>
      <c r="AT1065" s="220" t="str">
        <f ca="1">IFERROR(BDP(MO.Ticker.Bloomberg&amp;" Equity","INTERVAL_LOW","MARKET_DATA_OVERRIDE=PX_LAST","START_DATE_OVERRIDE",TEXT(INDEX(MO_SNA_FPStartDate,0,COLUMN()),"YYYYMMDD"),"END_DATE_OVERRIDE",TEXT(INDEX(MO_Common_QEndDate,0,COLUMN()),"YYYYMMDD")),"N/A")</f>
        <v>N/A</v>
      </c>
      <c r="AU1065" s="220" t="str">
        <f ca="1">IFERROR(BDP(MO.Ticker.Bloomberg&amp;" Equity","INTERVAL_LOW","MARKET_DATA_OVERRIDE=PX_LAST","START_DATE_OVERRIDE",TEXT(INDEX(MO_SNA_FPStartDate,0,COLUMN()),"YYYYMMDD"),"END_DATE_OVERRIDE",TEXT(INDEX(MO_Common_QEndDate,0,COLUMN()),"YYYYMMDD")),"N/A")</f>
        <v>N/A</v>
      </c>
      <c r="AV1065" s="220" t="str">
        <f ca="1">IFERROR(BDP(MO.Ticker.Bloomberg&amp;" Equity","INTERVAL_LOW","MARKET_DATA_OVERRIDE=PX_LAST","START_DATE_OVERRIDE",TEXT(INDEX(MO_SNA_FPStartDate,0,COLUMN()),"YYYYMMDD"),"END_DATE_OVERRIDE",TEXT(INDEX(MO_Common_QEndDate,0,COLUMN()),"YYYYMMDD")),"N/A")</f>
        <v>N/A</v>
      </c>
      <c r="AW1065" s="220" t="str">
        <f ca="1">IFERROR(BDP(MO.Ticker.Bloomberg&amp;" Equity","INTERVAL_LOW","MARKET_DATA_OVERRIDE=PX_LAST","START_DATE_OVERRIDE",TEXT(INDEX(MO_SNA_FPStartDate,0,COLUMN()),"YYYYMMDD"),"END_DATE_OVERRIDE",TEXT(INDEX(MO_Common_QEndDate,0,COLUMN()),"YYYYMMDD")),"N/A")</f>
        <v>N/A</v>
      </c>
      <c r="AX1065" s="220" t="str">
        <f ca="1">IFERROR(BDP(MO.Ticker.Bloomberg&amp;" Equity","INTERVAL_LOW","MARKET_DATA_OVERRIDE=PX_LAST","START_DATE_OVERRIDE",TEXT(INDEX(MO_SNA_FPStartDate,0,COLUMN()),"YYYYMMDD"),"END_DATE_OVERRIDE",TEXT(INDEX(MO_Common_QEndDate,0,COLUMN()),"YYYYMMDD")),"N/A")</f>
        <v>N/A</v>
      </c>
      <c r="AY1065" s="220" t="str">
        <f ca="1">IFERROR(BDP(MO.Ticker.Bloomberg&amp;" Equity","INTERVAL_LOW","MARKET_DATA_OVERRIDE=PX_LAST","START_DATE_OVERRIDE",TEXT(INDEX(MO_SNA_FPStartDate,0,COLUMN()),"YYYYMMDD"),"END_DATE_OVERRIDE",TEXT(INDEX(MO_Common_QEndDate,0,COLUMN()),"YYYYMMDD")),"N/A")</f>
        <v>N/A</v>
      </c>
      <c r="AZ1065" s="220" t="str">
        <f ca="1">IFERROR(BDP(MO.Ticker.Bloomberg&amp;" Equity","INTERVAL_LOW","MARKET_DATA_OVERRIDE=PX_LAST","START_DATE_OVERRIDE",TEXT(INDEX(MO_SNA_FPStartDate,0,COLUMN()),"YYYYMMDD"),"END_DATE_OVERRIDE",TEXT(INDEX(MO_Common_QEndDate,0,COLUMN()),"YYYYMMDD")),"N/A")</f>
        <v>N/A</v>
      </c>
      <c r="BA1065" s="220" t="str">
        <f ca="1">IFERROR(BDP(MO.Ticker.Bloomberg&amp;" Equity","INTERVAL_LOW","MARKET_DATA_OVERRIDE=PX_LAST","START_DATE_OVERRIDE",TEXT(INDEX(MO_SNA_FPStartDate,0,COLUMN()),"YYYYMMDD"),"END_DATE_OVERRIDE",TEXT(INDEX(MO_Common_QEndDate,0,COLUMN()),"YYYYMMDD")),"N/A")</f>
        <v>N/A</v>
      </c>
      <c r="BB1065" s="220" t="str">
        <f ca="1">IFERROR(BDP(MO.Ticker.Bloomberg&amp;" Equity","INTERVAL_LOW","MARKET_DATA_OVERRIDE=PX_LAST","START_DATE_OVERRIDE",TEXT(INDEX(MO_SNA_FPStartDate,0,COLUMN()),"YYYYMMDD"),"END_DATE_OVERRIDE",TEXT(INDEX(MO_Common_QEndDate,0,COLUMN()),"YYYYMMDD")),"N/A")</f>
        <v>N/A</v>
      </c>
      <c r="BC1065" s="220" t="str">
        <f ca="1">IFERROR(BDP(MO.Ticker.Bloomberg&amp;" Equity","INTERVAL_LOW","MARKET_DATA_OVERRIDE=PX_LAST","START_DATE_OVERRIDE",TEXT(INDEX(MO_SNA_FPStartDate,0,COLUMN()),"YYYYMMDD"),"END_DATE_OVERRIDE",TEXT(INDEX(MO_Common_QEndDate,0,COLUMN()),"YYYYMMDD")),"N/A")</f>
        <v>N/A</v>
      </c>
      <c r="BD1065" s="220" t="str">
        <f ca="1">IFERROR(BDP(MO.Ticker.Bloomberg&amp;" Equity","INTERVAL_LOW","MARKET_DATA_OVERRIDE=PX_LAST","START_DATE_OVERRIDE",TEXT(INDEX(MO_SNA_FPStartDate,0,COLUMN()),"YYYYMMDD"),"END_DATE_OVERRIDE",TEXT(INDEX(MO_Common_QEndDate,0,COLUMN()),"YYYYMMDD")),"N/A")</f>
        <v>N/A</v>
      </c>
      <c r="BE1065" s="220" t="str">
        <f ca="1">IFERROR(BDP(MO.Ticker.Bloomberg&amp;" Equity","INTERVAL_LOW","MARKET_DATA_OVERRIDE=PX_LAST","START_DATE_OVERRIDE",TEXT(INDEX(MO_SNA_FPStartDate,0,COLUMN()),"YYYYMMDD"),"END_DATE_OVERRIDE",TEXT(INDEX(MO_Common_QEndDate,0,COLUMN()),"YYYYMMDD")),"N/A")</f>
        <v>N/A</v>
      </c>
      <c r="BF1065" s="220" t="str">
        <f ca="1">IFERROR(BDP(MO.Ticker.Bloomberg&amp;" Equity","INTERVAL_LOW","MARKET_DATA_OVERRIDE=PX_LAST","START_DATE_OVERRIDE",TEXT(INDEX(MO_SNA_FPStartDate,0,COLUMN()),"YYYYMMDD"),"END_DATE_OVERRIDE",TEXT(INDEX(MO_Common_QEndDate,0,COLUMN()),"YYYYMMDD")),"N/A")</f>
        <v>N/A</v>
      </c>
      <c r="BG1065" s="220" t="str">
        <f ca="1">IFERROR(BDP(MO.Ticker.Bloomberg&amp;" Equity","INTERVAL_LOW","MARKET_DATA_OVERRIDE=PX_LAST","START_DATE_OVERRIDE",TEXT(INDEX(MO_SNA_FPStartDate,0,COLUMN()),"YYYYMMDD"),"END_DATE_OVERRIDE",TEXT(INDEX(MO_Common_QEndDate,0,COLUMN()),"YYYYMMDD")),"N/A")</f>
        <v>N/A</v>
      </c>
      <c r="BH1065" s="378" t="str">
        <f ca="1">IFERROR(BDP(MO.Ticker.Bloomberg&amp;" Equity","INTERVAL_LOW","MARKET_DATA_OVERRIDE=PX_LAST","START_DATE_OVERRIDE",TEXT(INDEX(MO_SNA_FPStartDate,0,COLUMN()),"YYYYMMDD"),"END_DATE_OVERRIDE",TEXT(INDEX(MO_Common_QEndDate,0,COLUMN()),"YYYYMMDD")),"N/A")</f>
        <v>N/A</v>
      </c>
      <c r="BI1065" s="175" t="str">
        <f ca="1">IFERROR(BDP(MO.Ticker.Bloomberg&amp;" Equity","INTERVAL_LOW","MARKET_DATA_OVERRIDE=PX_LAST","START_DATE_OVERRIDE",TEXT(INDEX(MO_SNA_FPStartDate,0,COLUMN()),"YYYYMMDD"),"END_DATE_OVERRIDE",TEXT(INDEX(MO_Common_QEndDate,0,COLUMN()),"YYYYMMDD")),"N/A")</f>
        <v>N/A</v>
      </c>
      <c r="BJ1065" s="175" t="str">
        <f ca="1">IFERROR(BDP(MO.Ticker.Bloomberg&amp;" Equity","INTERVAL_LOW","MARKET_DATA_OVERRIDE=PX_LAST","START_DATE_OVERRIDE",TEXT(INDEX(MO_SNA_FPStartDate,0,COLUMN()),"YYYYMMDD"),"END_DATE_OVERRIDE",TEXT(INDEX(MO_Common_QEndDate,0,COLUMN()),"YYYYMMDD")),"N/A")</f>
        <v>N/A</v>
      </c>
      <c r="BK1065" s="175" t="str">
        <f ca="1">IFERROR(BDP(MO.Ticker.Bloomberg&amp;" Equity","INTERVAL_LOW","MARKET_DATA_OVERRIDE=PX_LAST","START_DATE_OVERRIDE",TEXT(INDEX(MO_SNA_FPStartDate,0,COLUMN()),"YYYYMMDD"),"END_DATE_OVERRIDE",TEXT(INDEX(MO_Common_QEndDate,0,COLUMN()),"YYYYMMDD")),"N/A")</f>
        <v>N/A</v>
      </c>
      <c r="BL1065" s="175" t="str">
        <f ca="1">IFERROR(BDP(MO.Ticker.Bloomberg&amp;" Equity","INTERVAL_LOW","MARKET_DATA_OVERRIDE=PX_LAST","START_DATE_OVERRIDE",TEXT(INDEX(MO_SNA_FPStartDate,0,COLUMN()),"YYYYMMDD"),"END_DATE_OVERRIDE",TEXT(INDEX(MO_Common_QEndDate,0,COLUMN()),"YYYYMMDD")),"N/A")</f>
        <v>N/A</v>
      </c>
      <c r="BM1065" s="175" t="str">
        <f ca="1">IFERROR(BDP(MO.Ticker.Bloomberg&amp;" Equity","INTERVAL_LOW","MARKET_DATA_OVERRIDE=PX_LAST","START_DATE_OVERRIDE",TEXT(INDEX(MO_SNA_FPStartDate,0,COLUMN()),"YYYYMMDD"),"END_DATE_OVERRIDE",TEXT(INDEX(MO_Common_QEndDate,0,COLUMN()),"YYYYMMDD")),"N/A")</f>
        <v>N/A</v>
      </c>
      <c r="BN1065" s="175" t="str">
        <f ca="1">IFERROR(BDP(MO.Ticker.Bloomberg&amp;" Equity","INTERVAL_LOW","MARKET_DATA_OVERRIDE=PX_LAST","START_DATE_OVERRIDE",TEXT(INDEX(MO_SNA_FPStartDate,0,COLUMN()),"YYYYMMDD"),"END_DATE_OVERRIDE",TEXT(INDEX(MO_Common_QEndDate,0,COLUMN()),"YYYYMMDD")),"N/A")</f>
        <v>N/A</v>
      </c>
      <c r="BO1065" s="175" t="str">
        <f ca="1">IFERROR(BDP(MO.Ticker.Bloomberg&amp;" Equity","INTERVAL_LOW","MARKET_DATA_OVERRIDE=PX_LAST","START_DATE_OVERRIDE",TEXT(INDEX(MO_SNA_FPStartDate,0,COLUMN()),"YYYYMMDD"),"END_DATE_OVERRIDE",TEXT(INDEX(MO_Common_QEndDate,0,COLUMN()),"YYYYMMDD")),"N/A")</f>
        <v>N/A</v>
      </c>
      <c r="BP1065" s="220" t="str">
        <f ca="1">IFERROR(BDP(MO.Ticker.Bloomberg&amp;" Equity","INTERVAL_LOW","MARKET_DATA_OVERRIDE=PX_LAST","START_DATE_OVERRIDE",TEXT(INDEX(MO_SNA_FPStartDate,0,COLUMN()),"YYYYMMDD"),"END_DATE_OVERRIDE",TEXT(INDEX(MO_Common_QEndDate,0,COLUMN()),"YYYYMMDD")),"N/A")</f>
        <v>N/A</v>
      </c>
      <c r="BQ1065" s="220" t="str">
        <f ca="1">IFERROR(BDP(MO.Ticker.Bloomberg&amp;" Equity","INTERVAL_LOW","MARKET_DATA_OVERRIDE=PX_LAST","START_DATE_OVERRIDE",TEXT(INDEX(MO_SNA_FPStartDate,0,COLUMN()),"YYYYMMDD"),"END_DATE_OVERRIDE",TEXT(INDEX(MO_Common_QEndDate,0,COLUMN()),"YYYYMMDD")),"N/A")</f>
        <v>N/A</v>
      </c>
      <c r="BR1065" s="176" t="str">
        <f ca="1">IFERROR(BDP(MO.Ticker.Bloomberg&amp;" Equity","INTERVAL_LOW","MARKET_DATA_OVERRIDE=PX_LAST","START_DATE_OVERRIDE",TEXT(INDEX(MO_SNA_FPStartDate,0,COLUMN()),"YYYYMMDD"),"END_DATE_OVERRIDE",TEXT(INDEX(MO_Common_QEndDate,0,COLUMN()),"YYYYMMDD")),"N/A")</f>
        <v>N/A</v>
      </c>
      <c r="BS1065" s="268"/>
    </row>
    <row r="1066" spans="1:71" s="694" customFormat="1" ht="15" hidden="1" outlineLevel="1">
      <c r="A1066" s="177" t="s">
        <v>263</v>
      </c>
      <c r="B1066" s="175"/>
      <c r="C1066" s="303" t="str">
        <f ca="1">IFERROR(CIQLO(MO.Ticker.CapIQ,"IQ_LASTSALEPRICE",INDEX(MO_SNA_FPStartDate,0,COLUMN()),INDEX(MO_Common_QEndDate,0,COLUMN())),"N/A")</f>
        <v>N/A</v>
      </c>
      <c r="D1066" s="303" t="str">
        <f ca="1">IFERROR(CIQLO(MO.Ticker.CapIQ,"IQ_LASTSALEPRICE",INDEX(MO_SNA_FPStartDate,0,COLUMN()),INDEX(MO_Common_QEndDate,0,COLUMN())),"N/A")</f>
        <v>N/A</v>
      </c>
      <c r="E1066" s="220" t="str">
        <f ca="1">IFERROR(CIQLO(MO.Ticker.CapIQ,"IQ_LASTSALEPRICE",INDEX(MO_SNA_FPStartDate,0,COLUMN()),INDEX(MO_Common_QEndDate,0,COLUMN())),"N/A")</f>
        <v>N/A</v>
      </c>
      <c r="F1066" s="220" t="str">
        <f ca="1">IFERROR(CIQLO(MO.Ticker.CapIQ,"IQ_LASTSALEPRICE",INDEX(MO_SNA_FPStartDate,0,COLUMN()),INDEX(MO_Common_QEndDate,0,COLUMN())),"N/A")</f>
        <v>N/A</v>
      </c>
      <c r="G1066" s="220" t="str">
        <f ca="1">IFERROR(CIQLO(MO.Ticker.CapIQ,"IQ_LASTSALEPRICE",INDEX(MO_SNA_FPStartDate,0,COLUMN()),INDEX(MO_Common_QEndDate,0,COLUMN())),"N/A")</f>
        <v>N/A</v>
      </c>
      <c r="H1066" s="220" t="str">
        <f ca="1">IFERROR(CIQLO(MO.Ticker.CapIQ,"IQ_LASTSALEPRICE",INDEX(MO_SNA_FPStartDate,0,COLUMN()),INDEX(MO_Common_QEndDate,0,COLUMN())),"N/A")</f>
        <v>N/A</v>
      </c>
      <c r="I1066" s="220" t="str">
        <f ca="1">IFERROR(CIQLO(MO.Ticker.CapIQ,"IQ_LASTSALEPRICE",INDEX(MO_SNA_FPStartDate,0,COLUMN()),INDEX(MO_Common_QEndDate,0,COLUMN())),"N/A")</f>
        <v>N/A</v>
      </c>
      <c r="J1066" s="220" t="str">
        <f ca="1">IFERROR(CIQLO(MO.Ticker.CapIQ,"IQ_LASTSALEPRICE",INDEX(MO_SNA_FPStartDate,0,COLUMN()),INDEX(MO_Common_QEndDate,0,COLUMN())),"N/A")</f>
        <v>N/A</v>
      </c>
      <c r="K1066" s="220" t="str">
        <f ca="1">IFERROR(CIQLO(MO.Ticker.CapIQ,"IQ_LASTSALEPRICE",INDEX(MO_SNA_FPStartDate,0,COLUMN()),INDEX(MO_Common_QEndDate,0,COLUMN())),"N/A")</f>
        <v>N/A</v>
      </c>
      <c r="L1066" s="220" t="str">
        <f ca="1">IFERROR(CIQLO(MO.Ticker.CapIQ,"IQ_LASTSALEPRICE",INDEX(MO_SNA_FPStartDate,0,COLUMN()),INDEX(MO_Common_QEndDate,0,COLUMN())),"N/A")</f>
        <v>N/A</v>
      </c>
      <c r="M1066" s="220" t="str">
        <f ca="1">IFERROR(CIQLO(MO.Ticker.CapIQ,"IQ_LASTSALEPRICE",INDEX(MO_SNA_FPStartDate,0,COLUMN()),INDEX(MO_Common_QEndDate,0,COLUMN())),"N/A")</f>
        <v>N/A</v>
      </c>
      <c r="N1066" s="220" t="str">
        <f ca="1">IFERROR(CIQLO(MO.Ticker.CapIQ,"IQ_LASTSALEPRICE",INDEX(MO_SNA_FPStartDate,0,COLUMN()),INDEX(MO_Common_QEndDate,0,COLUMN())),"N/A")</f>
        <v>N/A</v>
      </c>
      <c r="O1066" s="220" t="str">
        <f ca="1">IFERROR(CIQLO(MO.Ticker.CapIQ,"IQ_LASTSALEPRICE",INDEX(MO_SNA_FPStartDate,0,COLUMN()),INDEX(MO_Common_QEndDate,0,COLUMN())),"N/A")</f>
        <v>N/A</v>
      </c>
      <c r="P1066" s="220" t="str">
        <f ca="1">IFERROR(CIQLO(MO.Ticker.CapIQ,"IQ_LASTSALEPRICE",INDEX(MO_SNA_FPStartDate,0,COLUMN()),INDEX(MO_Common_QEndDate,0,COLUMN())),"N/A")</f>
        <v>N/A</v>
      </c>
      <c r="Q1066" s="220" t="str">
        <f ca="1">IFERROR(CIQLO(MO.Ticker.CapIQ,"IQ_LASTSALEPRICE",INDEX(MO_SNA_FPStartDate,0,COLUMN()),INDEX(MO_Common_QEndDate,0,COLUMN())),"N/A")</f>
        <v>N/A</v>
      </c>
      <c r="R1066" s="220" t="str">
        <f ca="1">IFERROR(CIQLO(MO.Ticker.CapIQ,"IQ_LASTSALEPRICE",INDEX(MO_SNA_FPStartDate,0,COLUMN()),INDEX(MO_Common_QEndDate,0,COLUMN())),"N/A")</f>
        <v>N/A</v>
      </c>
      <c r="S1066" s="220" t="str">
        <f ca="1">IFERROR(CIQLO(MO.Ticker.CapIQ,"IQ_LASTSALEPRICE",INDEX(MO_SNA_FPStartDate,0,COLUMN()),INDEX(MO_Common_QEndDate,0,COLUMN())),"N/A")</f>
        <v>N/A</v>
      </c>
      <c r="T1066" s="220" t="str">
        <f ca="1">IFERROR(CIQLO(MO.Ticker.CapIQ,"IQ_LASTSALEPRICE",INDEX(MO_SNA_FPStartDate,0,COLUMN()),INDEX(MO_Common_QEndDate,0,COLUMN())),"N/A")</f>
        <v>N/A</v>
      </c>
      <c r="U1066" s="220" t="str">
        <f ca="1">IFERROR(CIQLO(MO.Ticker.CapIQ,"IQ_LASTSALEPRICE",INDEX(MO_SNA_FPStartDate,0,COLUMN()),INDEX(MO_Common_QEndDate,0,COLUMN())),"N/A")</f>
        <v>N/A</v>
      </c>
      <c r="V1066" s="220" t="str">
        <f ca="1">IFERROR(CIQLO(MO.Ticker.CapIQ,"IQ_LASTSALEPRICE",INDEX(MO_SNA_FPStartDate,0,COLUMN()),INDEX(MO_Common_QEndDate,0,COLUMN())),"N/A")</f>
        <v>N/A</v>
      </c>
      <c r="W1066" s="220" t="str">
        <f ca="1">IFERROR(CIQLO(MO.Ticker.CapIQ,"IQ_LASTSALEPRICE",INDEX(MO_SNA_FPStartDate,0,COLUMN()),INDEX(MO_Common_QEndDate,0,COLUMN())),"N/A")</f>
        <v>N/A</v>
      </c>
      <c r="X1066" s="220" t="str">
        <f ca="1">IFERROR(CIQLO(MO.Ticker.CapIQ,"IQ_LASTSALEPRICE",INDEX(MO_SNA_FPStartDate,0,COLUMN()),INDEX(MO_Common_QEndDate,0,COLUMN())),"N/A")</f>
        <v>N/A</v>
      </c>
      <c r="Y1066" s="220" t="str">
        <f ca="1">IFERROR(CIQLO(MO.Ticker.CapIQ,"IQ_LASTSALEPRICE",INDEX(MO_SNA_FPStartDate,0,COLUMN()),INDEX(MO_Common_QEndDate,0,COLUMN())),"N/A")</f>
        <v>N/A</v>
      </c>
      <c r="Z1066" s="220" t="str">
        <f ca="1">IFERROR(CIQLO(MO.Ticker.CapIQ,"IQ_LASTSALEPRICE",INDEX(MO_SNA_FPStartDate,0,COLUMN()),INDEX(MO_Common_QEndDate,0,COLUMN())),"N/A")</f>
        <v>N/A</v>
      </c>
      <c r="AA1066" s="220" t="str">
        <f ca="1">IFERROR(CIQLO(MO.Ticker.CapIQ,"IQ_LASTSALEPRICE",INDEX(MO_SNA_FPStartDate,0,COLUMN()),INDEX(MO_Common_QEndDate,0,COLUMN())),"N/A")</f>
        <v>N/A</v>
      </c>
      <c r="AB1066" s="220" t="str">
        <f ca="1">IFERROR(CIQLO(MO.Ticker.CapIQ,"IQ_LASTSALEPRICE",INDEX(MO_SNA_FPStartDate,0,COLUMN()),INDEX(MO_Common_QEndDate,0,COLUMN())),"N/A")</f>
        <v>N/A</v>
      </c>
      <c r="AC1066" s="220" t="str">
        <f ca="1">IFERROR(CIQLO(MO.Ticker.CapIQ,"IQ_LASTSALEPRICE",INDEX(MO_SNA_FPStartDate,0,COLUMN()),INDEX(MO_Common_QEndDate,0,COLUMN())),"N/A")</f>
        <v>N/A</v>
      </c>
      <c r="AD1066" s="220" t="str">
        <f ca="1">IFERROR(CIQLO(MO.Ticker.CapIQ,"IQ_LASTSALEPRICE",INDEX(MO_SNA_FPStartDate,0,COLUMN()),INDEX(MO_Common_QEndDate,0,COLUMN())),"N/A")</f>
        <v>N/A</v>
      </c>
      <c r="AE1066" s="220" t="str">
        <f ca="1">IFERROR(CIQLO(MO.Ticker.CapIQ,"IQ_LASTSALEPRICE",INDEX(MO_SNA_FPStartDate,0,COLUMN()),INDEX(MO_Common_QEndDate,0,COLUMN())),"N/A")</f>
        <v>N/A</v>
      </c>
      <c r="AF1066" s="220" t="str">
        <f ca="1">IFERROR(CIQLO(MO.Ticker.CapIQ,"IQ_LASTSALEPRICE",INDEX(MO_SNA_FPStartDate,0,COLUMN()),INDEX(MO_Common_QEndDate,0,COLUMN())),"N/A")</f>
        <v>N/A</v>
      </c>
      <c r="AG1066" s="220" t="str">
        <f ca="1">IFERROR(CIQLO(MO.Ticker.CapIQ,"IQ_LASTSALEPRICE",INDEX(MO_SNA_FPStartDate,0,COLUMN()),INDEX(MO_Common_QEndDate,0,COLUMN())),"N/A")</f>
        <v>N/A</v>
      </c>
      <c r="AH1066" s="220" t="str">
        <f ca="1">IFERROR(CIQLO(MO.Ticker.CapIQ,"IQ_LASTSALEPRICE",INDEX(MO_SNA_FPStartDate,0,COLUMN()),INDEX(MO_Common_QEndDate,0,COLUMN())),"N/A")</f>
        <v>N/A</v>
      </c>
      <c r="AI1066" s="220" t="str">
        <f ca="1">IFERROR(CIQLO(MO.Ticker.CapIQ,"IQ_LASTSALEPRICE",INDEX(MO_SNA_FPStartDate,0,COLUMN()),INDEX(MO_Common_QEndDate,0,COLUMN())),"N/A")</f>
        <v>N/A</v>
      </c>
      <c r="AJ1066" s="220" t="str">
        <f ca="1">IFERROR(CIQLO(MO.Ticker.CapIQ,"IQ_LASTSALEPRICE",INDEX(MO_SNA_FPStartDate,0,COLUMN()),INDEX(MO_Common_QEndDate,0,COLUMN())),"N/A")</f>
        <v>N/A</v>
      </c>
      <c r="AK1066" s="220" t="str">
        <f ca="1">IFERROR(CIQLO(MO.Ticker.CapIQ,"IQ_LASTSALEPRICE",INDEX(MO_SNA_FPStartDate,0,COLUMN()),INDEX(MO_Common_QEndDate,0,COLUMN())),"N/A")</f>
        <v>N/A</v>
      </c>
      <c r="AL1066" s="220" t="str">
        <f ca="1">IFERROR(CIQLO(MO.Ticker.CapIQ,"IQ_LASTSALEPRICE",INDEX(MO_SNA_FPStartDate,0,COLUMN()),INDEX(MO_Common_QEndDate,0,COLUMN())),"N/A")</f>
        <v>N/A</v>
      </c>
      <c r="AM1066" s="220" t="str">
        <f ca="1">IFERROR(CIQLO(MO.Ticker.CapIQ,"IQ_LASTSALEPRICE",INDEX(MO_SNA_FPStartDate,0,COLUMN()),INDEX(MO_Common_QEndDate,0,COLUMN())),"N/A")</f>
        <v>N/A</v>
      </c>
      <c r="AN1066" s="220" t="str">
        <f ca="1">IFERROR(CIQLO(MO.Ticker.CapIQ,"IQ_LASTSALEPRICE",INDEX(MO_SNA_FPStartDate,0,COLUMN()),INDEX(MO_Common_QEndDate,0,COLUMN())),"N/A")</f>
        <v>N/A</v>
      </c>
      <c r="AO1066" s="220" t="str">
        <f ca="1">IFERROR(CIQLO(MO.Ticker.CapIQ,"IQ_LASTSALEPRICE",INDEX(MO_SNA_FPStartDate,0,COLUMN()),INDEX(MO_Common_QEndDate,0,COLUMN())),"N/A")</f>
        <v>N/A</v>
      </c>
      <c r="AP1066" s="220" t="str">
        <f ca="1">IFERROR(CIQLO(MO.Ticker.CapIQ,"IQ_LASTSALEPRICE",INDEX(MO_SNA_FPStartDate,0,COLUMN()),INDEX(MO_Common_QEndDate,0,COLUMN())),"N/A")</f>
        <v>N/A</v>
      </c>
      <c r="AQ1066" s="220" t="str">
        <f ca="1">IFERROR(CIQLO(MO.Ticker.CapIQ,"IQ_LASTSALEPRICE",INDEX(MO_SNA_FPStartDate,0,COLUMN()),INDEX(MO_Common_QEndDate,0,COLUMN())),"N/A")</f>
        <v>N/A</v>
      </c>
      <c r="AR1066" s="220" t="str">
        <f ca="1">IFERROR(CIQLO(MO.Ticker.CapIQ,"IQ_LASTSALEPRICE",INDEX(MO_SNA_FPStartDate,0,COLUMN()),INDEX(MO_Common_QEndDate,0,COLUMN())),"N/A")</f>
        <v>N/A</v>
      </c>
      <c r="AS1066" s="220" t="str">
        <f ca="1">IFERROR(CIQLO(MO.Ticker.CapIQ,"IQ_LASTSALEPRICE",INDEX(MO_SNA_FPStartDate,0,COLUMN()),INDEX(MO_Common_QEndDate,0,COLUMN())),"N/A")</f>
        <v>N/A</v>
      </c>
      <c r="AT1066" s="220" t="str">
        <f ca="1">IFERROR(CIQLO(MO.Ticker.CapIQ,"IQ_LASTSALEPRICE",INDEX(MO_SNA_FPStartDate,0,COLUMN()),INDEX(MO_Common_QEndDate,0,COLUMN())),"N/A")</f>
        <v>N/A</v>
      </c>
      <c r="AU1066" s="220" t="str">
        <f ca="1">IFERROR(CIQLO(MO.Ticker.CapIQ,"IQ_LASTSALEPRICE",INDEX(MO_SNA_FPStartDate,0,COLUMN()),INDEX(MO_Common_QEndDate,0,COLUMN())),"N/A")</f>
        <v>N/A</v>
      </c>
      <c r="AV1066" s="220" t="str">
        <f ca="1">IFERROR(CIQLO(MO.Ticker.CapIQ,"IQ_LASTSALEPRICE",INDEX(MO_SNA_FPStartDate,0,COLUMN()),INDEX(MO_Common_QEndDate,0,COLUMN())),"N/A")</f>
        <v>N/A</v>
      </c>
      <c r="AW1066" s="220" t="str">
        <f ca="1">IFERROR(CIQLO(MO.Ticker.CapIQ,"IQ_LASTSALEPRICE",INDEX(MO_SNA_FPStartDate,0,COLUMN()),INDEX(MO_Common_QEndDate,0,COLUMN())),"N/A")</f>
        <v>N/A</v>
      </c>
      <c r="AX1066" s="220" t="str">
        <f ca="1">IFERROR(CIQLO(MO.Ticker.CapIQ,"IQ_LASTSALEPRICE",INDEX(MO_SNA_FPStartDate,0,COLUMN()),INDEX(MO_Common_QEndDate,0,COLUMN())),"N/A")</f>
        <v>N/A</v>
      </c>
      <c r="AY1066" s="220" t="str">
        <f ca="1">IFERROR(CIQLO(MO.Ticker.CapIQ,"IQ_LASTSALEPRICE",INDEX(MO_SNA_FPStartDate,0,COLUMN()),INDEX(MO_Common_QEndDate,0,COLUMN())),"N/A")</f>
        <v>N/A</v>
      </c>
      <c r="AZ1066" s="220" t="str">
        <f ca="1">IFERROR(CIQLO(MO.Ticker.CapIQ,"IQ_LASTSALEPRICE",INDEX(MO_SNA_FPStartDate,0,COLUMN()),INDEX(MO_Common_QEndDate,0,COLUMN())),"N/A")</f>
        <v>N/A</v>
      </c>
      <c r="BA1066" s="220" t="str">
        <f ca="1">IFERROR(CIQLO(MO.Ticker.CapIQ,"IQ_LASTSALEPRICE",INDEX(MO_SNA_FPStartDate,0,COLUMN()),INDEX(MO_Common_QEndDate,0,COLUMN())),"N/A")</f>
        <v>N/A</v>
      </c>
      <c r="BB1066" s="220" t="str">
        <f ca="1">IFERROR(CIQLO(MO.Ticker.CapIQ,"IQ_LASTSALEPRICE",INDEX(MO_SNA_FPStartDate,0,COLUMN()),INDEX(MO_Common_QEndDate,0,COLUMN())),"N/A")</f>
        <v>N/A</v>
      </c>
      <c r="BC1066" s="220" t="str">
        <f ca="1">IFERROR(CIQLO(MO.Ticker.CapIQ,"IQ_LASTSALEPRICE",INDEX(MO_SNA_FPStartDate,0,COLUMN()),INDEX(MO_Common_QEndDate,0,COLUMN())),"N/A")</f>
        <v>N/A</v>
      </c>
      <c r="BD1066" s="220" t="str">
        <f ca="1">IFERROR(CIQLO(MO.Ticker.CapIQ,"IQ_LASTSALEPRICE",INDEX(MO_SNA_FPStartDate,0,COLUMN()),INDEX(MO_Common_QEndDate,0,COLUMN())),"N/A")</f>
        <v>N/A</v>
      </c>
      <c r="BE1066" s="220" t="str">
        <f ca="1">IFERROR(CIQLO(MO.Ticker.CapIQ,"IQ_LASTSALEPRICE",INDEX(MO_SNA_FPStartDate,0,COLUMN()),INDEX(MO_Common_QEndDate,0,COLUMN())),"N/A")</f>
        <v>N/A</v>
      </c>
      <c r="BF1066" s="220" t="str">
        <f ca="1">IFERROR(CIQLO(MO.Ticker.CapIQ,"IQ_LASTSALEPRICE",INDEX(MO_SNA_FPStartDate,0,COLUMN()),INDEX(MO_Common_QEndDate,0,COLUMN())),"N/A")</f>
        <v>N/A</v>
      </c>
      <c r="BG1066" s="220" t="str">
        <f ca="1">IFERROR(CIQLO(MO.Ticker.CapIQ,"IQ_LASTSALEPRICE",INDEX(MO_SNA_FPStartDate,0,COLUMN()),INDEX(MO_Common_QEndDate,0,COLUMN())),"N/A")</f>
        <v>N/A</v>
      </c>
      <c r="BH1066" s="378" t="str">
        <f ca="1">IFERROR(CIQLO(MO.Ticker.CapIQ,"IQ_LASTSALEPRICE",INDEX(MO_SNA_FPStartDate,0,COLUMN()),INDEX(MO_Common_QEndDate,0,COLUMN())),"N/A")</f>
        <v>N/A</v>
      </c>
      <c r="BI1066" s="175" t="str">
        <f ca="1">IFERROR(CIQLO(MO.Ticker.CapIQ,"IQ_LASTSALEPRICE",INDEX(MO_SNA_FPStartDate,0,COLUMN()),INDEX(MO_Common_QEndDate,0,COLUMN())),"N/A")</f>
        <v>N/A</v>
      </c>
      <c r="BJ1066" s="175" t="str">
        <f ca="1">IFERROR(CIQLO(MO.Ticker.CapIQ,"IQ_LASTSALEPRICE",INDEX(MO_SNA_FPStartDate,0,COLUMN()),INDEX(MO_Common_QEndDate,0,COLUMN())),"N/A")</f>
        <v>N/A</v>
      </c>
      <c r="BK1066" s="175" t="str">
        <f ca="1">IFERROR(CIQLO(MO.Ticker.CapIQ,"IQ_LASTSALEPRICE",INDEX(MO_SNA_FPStartDate,0,COLUMN()),INDEX(MO_Common_QEndDate,0,COLUMN())),"N/A")</f>
        <v>N/A</v>
      </c>
      <c r="BL1066" s="175" t="str">
        <f ca="1">IFERROR(CIQLO(MO.Ticker.CapIQ,"IQ_LASTSALEPRICE",INDEX(MO_SNA_FPStartDate,0,COLUMN()),INDEX(MO_Common_QEndDate,0,COLUMN())),"N/A")</f>
        <v>N/A</v>
      </c>
      <c r="BM1066" s="175" t="str">
        <f ca="1">IFERROR(CIQLO(MO.Ticker.CapIQ,"IQ_LASTSALEPRICE",INDEX(MO_SNA_FPStartDate,0,COLUMN()),INDEX(MO_Common_QEndDate,0,COLUMN())),"N/A")</f>
        <v>N/A</v>
      </c>
      <c r="BN1066" s="175" t="str">
        <f ca="1">IFERROR(CIQLO(MO.Ticker.CapIQ,"IQ_LASTSALEPRICE",INDEX(MO_SNA_FPStartDate,0,COLUMN()),INDEX(MO_Common_QEndDate,0,COLUMN())),"N/A")</f>
        <v>N/A</v>
      </c>
      <c r="BO1066" s="175" t="str">
        <f ca="1">IFERROR(CIQLO(MO.Ticker.CapIQ,"IQ_LASTSALEPRICE",INDEX(MO_SNA_FPStartDate,0,COLUMN()),INDEX(MO_Common_QEndDate,0,COLUMN())),"N/A")</f>
        <v>N/A</v>
      </c>
      <c r="BP1066" s="220" t="str">
        <f ca="1">IFERROR(CIQLO(MO.Ticker.CapIQ,"IQ_LASTSALEPRICE",INDEX(MO_SNA_FPStartDate,0,COLUMN()),INDEX(MO_Common_QEndDate,0,COLUMN())),"N/A")</f>
        <v>N/A</v>
      </c>
      <c r="BQ1066" s="220" t="str">
        <f ca="1">IFERROR(CIQLO(MO.Ticker.CapIQ,"IQ_LASTSALEPRICE",INDEX(MO_SNA_FPStartDate,0,COLUMN()),INDEX(MO_Common_QEndDate,0,COLUMN())),"N/A")</f>
        <v>N/A</v>
      </c>
      <c r="BR1066" s="176" t="str">
        <f ca="1">IFERROR(CIQLO(MO.Ticker.CapIQ,"IQ_LASTSALEPRICE",INDEX(MO_SNA_FPStartDate,0,COLUMN()),INDEX(MO_Common_QEndDate,0,COLUMN())),"N/A")</f>
        <v>N/A</v>
      </c>
      <c r="BS1066" s="268"/>
    </row>
    <row r="1067" spans="1:71" s="694" customFormat="1" ht="15" hidden="1" outlineLevel="1">
      <c r="A1067" s="177" t="s">
        <v>264</v>
      </c>
      <c r="B1067" s="175"/>
      <c r="C1067" s="303" t="str">
        <f ca="1">IFERROR(FDS(MO.Ticker.FactSet,"P_PRICE_LOW"&amp;"("&amp;INDEX(MO_SNA_FPStartDate,0,COLUMN())&amp;","&amp;INDEX(MO_Common_QEndDate,0,COLUMN())&amp;",,,,""PRICE"",""CLOSE"")"),"N/A")</f>
        <v>N/A</v>
      </c>
      <c r="D1067" s="303" t="str">
        <f ca="1">IFERROR(FDS(MO.Ticker.FactSet,"P_PRICE_LOW"&amp;"("&amp;INDEX(MO_SNA_FPStartDate,0,COLUMN())&amp;","&amp;INDEX(MO_Common_QEndDate,0,COLUMN())&amp;",,,,""PRICE"",""CLOSE"")"),"N/A")</f>
        <v>N/A</v>
      </c>
      <c r="E1067" s="220" t="str">
        <f ca="1">IFERROR(FDS(MO.Ticker.FactSet,"P_PRICE_LOW"&amp;"("&amp;INDEX(MO_SNA_FPStartDate,0,COLUMN())&amp;","&amp;INDEX(MO_Common_QEndDate,0,COLUMN())&amp;",,,,""PRICE"",""CLOSE"")"),"N/A")</f>
        <v>N/A</v>
      </c>
      <c r="F1067" s="220" t="str">
        <f ca="1">IFERROR(FDS(MO.Ticker.FactSet,"P_PRICE_LOW"&amp;"("&amp;INDEX(MO_SNA_FPStartDate,0,COLUMN())&amp;","&amp;INDEX(MO_Common_QEndDate,0,COLUMN())&amp;",,,,""PRICE"",""CLOSE"")"),"N/A")</f>
        <v>N/A</v>
      </c>
      <c r="G1067" s="220" t="str">
        <f ca="1">IFERROR(FDS(MO.Ticker.FactSet,"P_PRICE_LOW"&amp;"("&amp;INDEX(MO_SNA_FPStartDate,0,COLUMN())&amp;","&amp;INDEX(MO_Common_QEndDate,0,COLUMN())&amp;",,,,""PRICE"",""CLOSE"")"),"N/A")</f>
        <v>N/A</v>
      </c>
      <c r="H1067" s="220" t="str">
        <f ca="1">IFERROR(FDS(MO.Ticker.FactSet,"P_PRICE_LOW"&amp;"("&amp;INDEX(MO_SNA_FPStartDate,0,COLUMN())&amp;","&amp;INDEX(MO_Common_QEndDate,0,COLUMN())&amp;",,,,""PRICE"",""CLOSE"")"),"N/A")</f>
        <v>N/A</v>
      </c>
      <c r="I1067" s="220" t="str">
        <f ca="1">IFERROR(FDS(MO.Ticker.FactSet,"P_PRICE_LOW"&amp;"("&amp;INDEX(MO_SNA_FPStartDate,0,COLUMN())&amp;","&amp;INDEX(MO_Common_QEndDate,0,COLUMN())&amp;",,,,""PRICE"",""CLOSE"")"),"N/A")</f>
        <v>N/A</v>
      </c>
      <c r="J1067" s="220" t="str">
        <f ca="1">IFERROR(FDS(MO.Ticker.FactSet,"P_PRICE_LOW"&amp;"("&amp;INDEX(MO_SNA_FPStartDate,0,COLUMN())&amp;","&amp;INDEX(MO_Common_QEndDate,0,COLUMN())&amp;",,,,""PRICE"",""CLOSE"")"),"N/A")</f>
        <v>N/A</v>
      </c>
      <c r="K1067" s="220" t="str">
        <f ca="1">IFERROR(FDS(MO.Ticker.FactSet,"P_PRICE_LOW"&amp;"("&amp;INDEX(MO_SNA_FPStartDate,0,COLUMN())&amp;","&amp;INDEX(MO_Common_QEndDate,0,COLUMN())&amp;",,,,""PRICE"",""CLOSE"")"),"N/A")</f>
        <v>N/A</v>
      </c>
      <c r="L1067" s="220" t="str">
        <f ca="1">IFERROR(FDS(MO.Ticker.FactSet,"P_PRICE_LOW"&amp;"("&amp;INDEX(MO_SNA_FPStartDate,0,COLUMN())&amp;","&amp;INDEX(MO_Common_QEndDate,0,COLUMN())&amp;",,,,""PRICE"",""CLOSE"")"),"N/A")</f>
        <v>N/A</v>
      </c>
      <c r="M1067" s="220" t="str">
        <f ca="1">IFERROR(FDS(MO.Ticker.FactSet,"P_PRICE_LOW"&amp;"("&amp;INDEX(MO_SNA_FPStartDate,0,COLUMN())&amp;","&amp;INDEX(MO_Common_QEndDate,0,COLUMN())&amp;",,,,""PRICE"",""CLOSE"")"),"N/A")</f>
        <v>N/A</v>
      </c>
      <c r="N1067" s="220" t="str">
        <f ca="1">IFERROR(FDS(MO.Ticker.FactSet,"P_PRICE_LOW"&amp;"("&amp;INDEX(MO_SNA_FPStartDate,0,COLUMN())&amp;","&amp;INDEX(MO_Common_QEndDate,0,COLUMN())&amp;",,,,""PRICE"",""CLOSE"")"),"N/A")</f>
        <v>N/A</v>
      </c>
      <c r="O1067" s="220" t="str">
        <f ca="1">IFERROR(FDS(MO.Ticker.FactSet,"P_PRICE_LOW"&amp;"("&amp;INDEX(MO_SNA_FPStartDate,0,COLUMN())&amp;","&amp;INDEX(MO_Common_QEndDate,0,COLUMN())&amp;",,,,""PRICE"",""CLOSE"")"),"N/A")</f>
        <v>N/A</v>
      </c>
      <c r="P1067" s="220" t="str">
        <f ca="1">IFERROR(FDS(MO.Ticker.FactSet,"P_PRICE_LOW"&amp;"("&amp;INDEX(MO_SNA_FPStartDate,0,COLUMN())&amp;","&amp;INDEX(MO_Common_QEndDate,0,COLUMN())&amp;",,,,""PRICE"",""CLOSE"")"),"N/A")</f>
        <v>N/A</v>
      </c>
      <c r="Q1067" s="220" t="str">
        <f ca="1">IFERROR(FDS(MO.Ticker.FactSet,"P_PRICE_LOW"&amp;"("&amp;INDEX(MO_SNA_FPStartDate,0,COLUMN())&amp;","&amp;INDEX(MO_Common_QEndDate,0,COLUMN())&amp;",,,,""PRICE"",""CLOSE"")"),"N/A")</f>
        <v>N/A</v>
      </c>
      <c r="R1067" s="220" t="str">
        <f ca="1">IFERROR(FDS(MO.Ticker.FactSet,"P_PRICE_LOW"&amp;"("&amp;INDEX(MO_SNA_FPStartDate,0,COLUMN())&amp;","&amp;INDEX(MO_Common_QEndDate,0,COLUMN())&amp;",,,,""PRICE"",""CLOSE"")"),"N/A")</f>
        <v>N/A</v>
      </c>
      <c r="S1067" s="220" t="str">
        <f ca="1">IFERROR(FDS(MO.Ticker.FactSet,"P_PRICE_LOW"&amp;"("&amp;INDEX(MO_SNA_FPStartDate,0,COLUMN())&amp;","&amp;INDEX(MO_Common_QEndDate,0,COLUMN())&amp;",,,,""PRICE"",""CLOSE"")"),"N/A")</f>
        <v>N/A</v>
      </c>
      <c r="T1067" s="220" t="str">
        <f ca="1">IFERROR(FDS(MO.Ticker.FactSet,"P_PRICE_LOW"&amp;"("&amp;INDEX(MO_SNA_FPStartDate,0,COLUMN())&amp;","&amp;INDEX(MO_Common_QEndDate,0,COLUMN())&amp;",,,,""PRICE"",""CLOSE"")"),"N/A")</f>
        <v>N/A</v>
      </c>
      <c r="U1067" s="220" t="str">
        <f ca="1">IFERROR(FDS(MO.Ticker.FactSet,"P_PRICE_LOW"&amp;"("&amp;INDEX(MO_SNA_FPStartDate,0,COLUMN())&amp;","&amp;INDEX(MO_Common_QEndDate,0,COLUMN())&amp;",,,,""PRICE"",""CLOSE"")"),"N/A")</f>
        <v>N/A</v>
      </c>
      <c r="V1067" s="220" t="str">
        <f ca="1">IFERROR(FDS(MO.Ticker.FactSet,"P_PRICE_LOW"&amp;"("&amp;INDEX(MO_SNA_FPStartDate,0,COLUMN())&amp;","&amp;INDEX(MO_Common_QEndDate,0,COLUMN())&amp;",,,,""PRICE"",""CLOSE"")"),"N/A")</f>
        <v>N/A</v>
      </c>
      <c r="W1067" s="220" t="str">
        <f ca="1">IFERROR(FDS(MO.Ticker.FactSet,"P_PRICE_LOW"&amp;"("&amp;INDEX(MO_SNA_FPStartDate,0,COLUMN())&amp;","&amp;INDEX(MO_Common_QEndDate,0,COLUMN())&amp;",,,,""PRICE"",""CLOSE"")"),"N/A")</f>
        <v>N/A</v>
      </c>
      <c r="X1067" s="220" t="str">
        <f ca="1">IFERROR(FDS(MO.Ticker.FactSet,"P_PRICE_LOW"&amp;"("&amp;INDEX(MO_SNA_FPStartDate,0,COLUMN())&amp;","&amp;INDEX(MO_Common_QEndDate,0,COLUMN())&amp;",,,,""PRICE"",""CLOSE"")"),"N/A")</f>
        <v>N/A</v>
      </c>
      <c r="Y1067" s="220" t="str">
        <f ca="1">IFERROR(FDS(MO.Ticker.FactSet,"P_PRICE_LOW"&amp;"("&amp;INDEX(MO_SNA_FPStartDate,0,COLUMN())&amp;","&amp;INDEX(MO_Common_QEndDate,0,COLUMN())&amp;",,,,""PRICE"",""CLOSE"")"),"N/A")</f>
        <v>N/A</v>
      </c>
      <c r="Z1067" s="220" t="str">
        <f ca="1">IFERROR(FDS(MO.Ticker.FactSet,"P_PRICE_LOW"&amp;"("&amp;INDEX(MO_SNA_FPStartDate,0,COLUMN())&amp;","&amp;INDEX(MO_Common_QEndDate,0,COLUMN())&amp;",,,,""PRICE"",""CLOSE"")"),"N/A")</f>
        <v>N/A</v>
      </c>
      <c r="AA1067" s="220" t="str">
        <f ca="1">IFERROR(FDS(MO.Ticker.FactSet,"P_PRICE_LOW"&amp;"("&amp;INDEX(MO_SNA_FPStartDate,0,COLUMN())&amp;","&amp;INDEX(MO_Common_QEndDate,0,COLUMN())&amp;",,,,""PRICE"",""CLOSE"")"),"N/A")</f>
        <v>N/A</v>
      </c>
      <c r="AB1067" s="220" t="str">
        <f ca="1">IFERROR(FDS(MO.Ticker.FactSet,"P_PRICE_LOW"&amp;"("&amp;INDEX(MO_SNA_FPStartDate,0,COLUMN())&amp;","&amp;INDEX(MO_Common_QEndDate,0,COLUMN())&amp;",,,,""PRICE"",""CLOSE"")"),"N/A")</f>
        <v>N/A</v>
      </c>
      <c r="AC1067" s="220" t="str">
        <f ca="1">IFERROR(FDS(MO.Ticker.FactSet,"P_PRICE_LOW"&amp;"("&amp;INDEX(MO_SNA_FPStartDate,0,COLUMN())&amp;","&amp;INDEX(MO_Common_QEndDate,0,COLUMN())&amp;",,,,""PRICE"",""CLOSE"")"),"N/A")</f>
        <v>N/A</v>
      </c>
      <c r="AD1067" s="220" t="str">
        <f ca="1">IFERROR(FDS(MO.Ticker.FactSet,"P_PRICE_LOW"&amp;"("&amp;INDEX(MO_SNA_FPStartDate,0,COLUMN())&amp;","&amp;INDEX(MO_Common_QEndDate,0,COLUMN())&amp;",,,,""PRICE"",""CLOSE"")"),"N/A")</f>
        <v>N/A</v>
      </c>
      <c r="AE1067" s="220" t="str">
        <f ca="1">IFERROR(FDS(MO.Ticker.FactSet,"P_PRICE_LOW"&amp;"("&amp;INDEX(MO_SNA_FPStartDate,0,COLUMN())&amp;","&amp;INDEX(MO_Common_QEndDate,0,COLUMN())&amp;",,,,""PRICE"",""CLOSE"")"),"N/A")</f>
        <v>N/A</v>
      </c>
      <c r="AF1067" s="220" t="str">
        <f ca="1">IFERROR(FDS(MO.Ticker.FactSet,"P_PRICE_LOW"&amp;"("&amp;INDEX(MO_SNA_FPStartDate,0,COLUMN())&amp;","&amp;INDEX(MO_Common_QEndDate,0,COLUMN())&amp;",,,,""PRICE"",""CLOSE"")"),"N/A")</f>
        <v>N/A</v>
      </c>
      <c r="AG1067" s="220" t="str">
        <f ca="1">IFERROR(FDS(MO.Ticker.FactSet,"P_PRICE_LOW"&amp;"("&amp;INDEX(MO_SNA_FPStartDate,0,COLUMN())&amp;","&amp;INDEX(MO_Common_QEndDate,0,COLUMN())&amp;",,,,""PRICE"",""CLOSE"")"),"N/A")</f>
        <v>N/A</v>
      </c>
      <c r="AH1067" s="220" t="str">
        <f ca="1">IFERROR(FDS(MO.Ticker.FactSet,"P_PRICE_LOW"&amp;"("&amp;INDEX(MO_SNA_FPStartDate,0,COLUMN())&amp;","&amp;INDEX(MO_Common_QEndDate,0,COLUMN())&amp;",,,,""PRICE"",""CLOSE"")"),"N/A")</f>
        <v>N/A</v>
      </c>
      <c r="AI1067" s="220" t="str">
        <f ca="1">IFERROR(FDS(MO.Ticker.FactSet,"P_PRICE_LOW"&amp;"("&amp;INDEX(MO_SNA_FPStartDate,0,COLUMN())&amp;","&amp;INDEX(MO_Common_QEndDate,0,COLUMN())&amp;",,,,""PRICE"",""CLOSE"")"),"N/A")</f>
        <v>N/A</v>
      </c>
      <c r="AJ1067" s="220" t="str">
        <f ca="1">IFERROR(FDS(MO.Ticker.FactSet,"P_PRICE_LOW"&amp;"("&amp;INDEX(MO_SNA_FPStartDate,0,COLUMN())&amp;","&amp;INDEX(MO_Common_QEndDate,0,COLUMN())&amp;",,,,""PRICE"",""CLOSE"")"),"N/A")</f>
        <v>N/A</v>
      </c>
      <c r="AK1067" s="220" t="str">
        <f ca="1">IFERROR(FDS(MO.Ticker.FactSet,"P_PRICE_LOW"&amp;"("&amp;INDEX(MO_SNA_FPStartDate,0,COLUMN())&amp;","&amp;INDEX(MO_Common_QEndDate,0,COLUMN())&amp;",,,,""PRICE"",""CLOSE"")"),"N/A")</f>
        <v>N/A</v>
      </c>
      <c r="AL1067" s="220" t="str">
        <f ca="1">IFERROR(FDS(MO.Ticker.FactSet,"P_PRICE_LOW"&amp;"("&amp;INDEX(MO_SNA_FPStartDate,0,COLUMN())&amp;","&amp;INDEX(MO_Common_QEndDate,0,COLUMN())&amp;",,,,""PRICE"",""CLOSE"")"),"N/A")</f>
        <v>N/A</v>
      </c>
      <c r="AM1067" s="220" t="str">
        <f ca="1">IFERROR(FDS(MO.Ticker.FactSet,"P_PRICE_LOW"&amp;"("&amp;INDEX(MO_SNA_FPStartDate,0,COLUMN())&amp;","&amp;INDEX(MO_Common_QEndDate,0,COLUMN())&amp;",,,,""PRICE"",""CLOSE"")"),"N/A")</f>
        <v>N/A</v>
      </c>
      <c r="AN1067" s="220" t="str">
        <f ca="1">IFERROR(FDS(MO.Ticker.FactSet,"P_PRICE_LOW"&amp;"("&amp;INDEX(MO_SNA_FPStartDate,0,COLUMN())&amp;","&amp;INDEX(MO_Common_QEndDate,0,COLUMN())&amp;",,,,""PRICE"",""CLOSE"")"),"N/A")</f>
        <v>N/A</v>
      </c>
      <c r="AO1067" s="220" t="str">
        <f ca="1">IFERROR(FDS(MO.Ticker.FactSet,"P_PRICE_LOW"&amp;"("&amp;INDEX(MO_SNA_FPStartDate,0,COLUMN())&amp;","&amp;INDEX(MO_Common_QEndDate,0,COLUMN())&amp;",,,,""PRICE"",""CLOSE"")"),"N/A")</f>
        <v>N/A</v>
      </c>
      <c r="AP1067" s="220" t="str">
        <f ca="1">IFERROR(FDS(MO.Ticker.FactSet,"P_PRICE_LOW"&amp;"("&amp;INDEX(MO_SNA_FPStartDate,0,COLUMN())&amp;","&amp;INDEX(MO_Common_QEndDate,0,COLUMN())&amp;",,,,""PRICE"",""CLOSE"")"),"N/A")</f>
        <v>N/A</v>
      </c>
      <c r="AQ1067" s="220" t="str">
        <f ca="1">IFERROR(FDS(MO.Ticker.FactSet,"P_PRICE_LOW"&amp;"("&amp;INDEX(MO_SNA_FPStartDate,0,COLUMN())&amp;","&amp;INDEX(MO_Common_QEndDate,0,COLUMN())&amp;",,,,""PRICE"",""CLOSE"")"),"N/A")</f>
        <v>N/A</v>
      </c>
      <c r="AR1067" s="220" t="str">
        <f ca="1">IFERROR(FDS(MO.Ticker.FactSet,"P_PRICE_LOW"&amp;"("&amp;INDEX(MO_SNA_FPStartDate,0,COLUMN())&amp;","&amp;INDEX(MO_Common_QEndDate,0,COLUMN())&amp;",,,,""PRICE"",""CLOSE"")"),"N/A")</f>
        <v>N/A</v>
      </c>
      <c r="AS1067" s="220" t="str">
        <f ca="1">IFERROR(FDS(MO.Ticker.FactSet,"P_PRICE_LOW"&amp;"("&amp;INDEX(MO_SNA_FPStartDate,0,COLUMN())&amp;","&amp;INDEX(MO_Common_QEndDate,0,COLUMN())&amp;",,,,""PRICE"",""CLOSE"")"),"N/A")</f>
        <v>N/A</v>
      </c>
      <c r="AT1067" s="220" t="str">
        <f ca="1">IFERROR(FDS(MO.Ticker.FactSet,"P_PRICE_LOW"&amp;"("&amp;INDEX(MO_SNA_FPStartDate,0,COLUMN())&amp;","&amp;INDEX(MO_Common_QEndDate,0,COLUMN())&amp;",,,,""PRICE"",""CLOSE"")"),"N/A")</f>
        <v>N/A</v>
      </c>
      <c r="AU1067" s="220" t="str">
        <f ca="1">IFERROR(FDS(MO.Ticker.FactSet,"P_PRICE_LOW"&amp;"("&amp;INDEX(MO_SNA_FPStartDate,0,COLUMN())&amp;","&amp;INDEX(MO_Common_QEndDate,0,COLUMN())&amp;",,,,""PRICE"",""CLOSE"")"),"N/A")</f>
        <v>N/A</v>
      </c>
      <c r="AV1067" s="220" t="str">
        <f ca="1">IFERROR(FDS(MO.Ticker.FactSet,"P_PRICE_LOW"&amp;"("&amp;INDEX(MO_SNA_FPStartDate,0,COLUMN())&amp;","&amp;INDEX(MO_Common_QEndDate,0,COLUMN())&amp;",,,,""PRICE"",""CLOSE"")"),"N/A")</f>
        <v>N/A</v>
      </c>
      <c r="AW1067" s="220" t="str">
        <f ca="1">IFERROR(FDS(MO.Ticker.FactSet,"P_PRICE_LOW"&amp;"("&amp;INDEX(MO_SNA_FPStartDate,0,COLUMN())&amp;","&amp;INDEX(MO_Common_QEndDate,0,COLUMN())&amp;",,,,""PRICE"",""CLOSE"")"),"N/A")</f>
        <v>N/A</v>
      </c>
      <c r="AX1067" s="220" t="str">
        <f ca="1">IFERROR(FDS(MO.Ticker.FactSet,"P_PRICE_LOW"&amp;"("&amp;INDEX(MO_SNA_FPStartDate,0,COLUMN())&amp;","&amp;INDEX(MO_Common_QEndDate,0,COLUMN())&amp;",,,,""PRICE"",""CLOSE"")"),"N/A")</f>
        <v>N/A</v>
      </c>
      <c r="AY1067" s="220" t="str">
        <f ca="1">IFERROR(FDS(MO.Ticker.FactSet,"P_PRICE_LOW"&amp;"("&amp;INDEX(MO_SNA_FPStartDate,0,COLUMN())&amp;","&amp;INDEX(MO_Common_QEndDate,0,COLUMN())&amp;",,,,""PRICE"",""CLOSE"")"),"N/A")</f>
        <v>N/A</v>
      </c>
      <c r="AZ1067" s="220" t="str">
        <f ca="1">IFERROR(FDS(MO.Ticker.FactSet,"P_PRICE_LOW"&amp;"("&amp;INDEX(MO_SNA_FPStartDate,0,COLUMN())&amp;","&amp;INDEX(MO_Common_QEndDate,0,COLUMN())&amp;",,,,""PRICE"",""CLOSE"")"),"N/A")</f>
        <v>N/A</v>
      </c>
      <c r="BA1067" s="220" t="str">
        <f ca="1">IFERROR(FDS(MO.Ticker.FactSet,"P_PRICE_LOW"&amp;"("&amp;INDEX(MO_SNA_FPStartDate,0,COLUMN())&amp;","&amp;INDEX(MO_Common_QEndDate,0,COLUMN())&amp;",,,,""PRICE"",""CLOSE"")"),"N/A")</f>
        <v>N/A</v>
      </c>
      <c r="BB1067" s="220" t="str">
        <f ca="1">IFERROR(FDS(MO.Ticker.FactSet,"P_PRICE_LOW"&amp;"("&amp;INDEX(MO_SNA_FPStartDate,0,COLUMN())&amp;","&amp;INDEX(MO_Common_QEndDate,0,COLUMN())&amp;",,,,""PRICE"",""CLOSE"")"),"N/A")</f>
        <v>N/A</v>
      </c>
      <c r="BC1067" s="220" t="str">
        <f ca="1">IFERROR(FDS(MO.Ticker.FactSet,"P_PRICE_LOW"&amp;"("&amp;INDEX(MO_SNA_FPStartDate,0,COLUMN())&amp;","&amp;INDEX(MO_Common_QEndDate,0,COLUMN())&amp;",,,,""PRICE"",""CLOSE"")"),"N/A")</f>
        <v>N/A</v>
      </c>
      <c r="BD1067" s="220" t="str">
        <f ca="1">IFERROR(FDS(MO.Ticker.FactSet,"P_PRICE_LOW"&amp;"("&amp;INDEX(MO_SNA_FPStartDate,0,COLUMN())&amp;","&amp;INDEX(MO_Common_QEndDate,0,COLUMN())&amp;",,,,""PRICE"",""CLOSE"")"),"N/A")</f>
        <v>N/A</v>
      </c>
      <c r="BE1067" s="220" t="str">
        <f ca="1">IFERROR(FDS(MO.Ticker.FactSet,"P_PRICE_LOW"&amp;"("&amp;INDEX(MO_SNA_FPStartDate,0,COLUMN())&amp;","&amp;INDEX(MO_Common_QEndDate,0,COLUMN())&amp;",,,,""PRICE"",""CLOSE"")"),"N/A")</f>
        <v>N/A</v>
      </c>
      <c r="BF1067" s="220" t="str">
        <f ca="1">IFERROR(FDS(MO.Ticker.FactSet,"P_PRICE_LOW"&amp;"("&amp;INDEX(MO_SNA_FPStartDate,0,COLUMN())&amp;","&amp;INDEX(MO_Common_QEndDate,0,COLUMN())&amp;",,,,""PRICE"",""CLOSE"")"),"N/A")</f>
        <v>N/A</v>
      </c>
      <c r="BG1067" s="220" t="str">
        <f ca="1">IFERROR(FDS(MO.Ticker.FactSet,"P_PRICE_LOW"&amp;"("&amp;INDEX(MO_SNA_FPStartDate,0,COLUMN())&amp;","&amp;INDEX(MO_Common_QEndDate,0,COLUMN())&amp;",,,,""PRICE"",""CLOSE"")"),"N/A")</f>
        <v>N/A</v>
      </c>
      <c r="BH1067" s="378" t="str">
        <f ca="1">IFERROR(FDS(MO.Ticker.FactSet,"P_PRICE_LOW"&amp;"("&amp;INDEX(MO_SNA_FPStartDate,0,COLUMN())&amp;","&amp;INDEX(MO_Common_QEndDate,0,COLUMN())&amp;",,,,""PRICE"",""CLOSE"")"),"N/A")</f>
        <v>N/A</v>
      </c>
      <c r="BI1067" s="175" t="str">
        <f ca="1">IFERROR(FDS(MO.Ticker.FactSet,"P_PRICE_LOW"&amp;"("&amp;INDEX(MO_SNA_FPStartDate,0,COLUMN())&amp;","&amp;INDEX(MO_Common_QEndDate,0,COLUMN())&amp;",,,,""PRICE"",""CLOSE"")"),"N/A")</f>
        <v>N/A</v>
      </c>
      <c r="BJ1067" s="175" t="str">
        <f ca="1">IFERROR(FDS(MO.Ticker.FactSet,"P_PRICE_LOW"&amp;"("&amp;INDEX(MO_SNA_FPStartDate,0,COLUMN())&amp;","&amp;INDEX(MO_Common_QEndDate,0,COLUMN())&amp;",,,,""PRICE"",""CLOSE"")"),"N/A")</f>
        <v>N/A</v>
      </c>
      <c r="BK1067" s="175" t="str">
        <f ca="1">IFERROR(FDS(MO.Ticker.FactSet,"P_PRICE_LOW"&amp;"("&amp;INDEX(MO_SNA_FPStartDate,0,COLUMN())&amp;","&amp;INDEX(MO_Common_QEndDate,0,COLUMN())&amp;",,,,""PRICE"",""CLOSE"")"),"N/A")</f>
        <v>N/A</v>
      </c>
      <c r="BL1067" s="175" t="str">
        <f ca="1">IFERROR(FDS(MO.Ticker.FactSet,"P_PRICE_LOW"&amp;"("&amp;INDEX(MO_SNA_FPStartDate,0,COLUMN())&amp;","&amp;INDEX(MO_Common_QEndDate,0,COLUMN())&amp;",,,,""PRICE"",""CLOSE"")"),"N/A")</f>
        <v>N/A</v>
      </c>
      <c r="BM1067" s="175" t="str">
        <f ca="1">IFERROR(FDS(MO.Ticker.FactSet,"P_PRICE_LOW"&amp;"("&amp;INDEX(MO_SNA_FPStartDate,0,COLUMN())&amp;","&amp;INDEX(MO_Common_QEndDate,0,COLUMN())&amp;",,,,""PRICE"",""CLOSE"")"),"N/A")</f>
        <v>N/A</v>
      </c>
      <c r="BN1067" s="175" t="str">
        <f ca="1">IFERROR(FDS(MO.Ticker.FactSet,"P_PRICE_LOW"&amp;"("&amp;INDEX(MO_SNA_FPStartDate,0,COLUMN())&amp;","&amp;INDEX(MO_Common_QEndDate,0,COLUMN())&amp;",,,,""PRICE"",""CLOSE"")"),"N/A")</f>
        <v>N/A</v>
      </c>
      <c r="BO1067" s="175" t="str">
        <f ca="1">IFERROR(FDS(MO.Ticker.FactSet,"P_PRICE_LOW"&amp;"("&amp;INDEX(MO_SNA_FPStartDate,0,COLUMN())&amp;","&amp;INDEX(MO_Common_QEndDate,0,COLUMN())&amp;",,,,""PRICE"",""CLOSE"")"),"N/A")</f>
        <v>N/A</v>
      </c>
      <c r="BP1067" s="220" t="str">
        <f ca="1">IFERROR(FDS(MO.Ticker.FactSet,"P_PRICE_LOW"&amp;"("&amp;INDEX(MO_SNA_FPStartDate,0,COLUMN())&amp;","&amp;INDEX(MO_Common_QEndDate,0,COLUMN())&amp;",,,,""PRICE"",""CLOSE"")"),"N/A")</f>
        <v>N/A</v>
      </c>
      <c r="BQ1067" s="220" t="str">
        <f ca="1">IFERROR(FDS(MO.Ticker.FactSet,"P_PRICE_LOW"&amp;"("&amp;INDEX(MO_SNA_FPStartDate,0,COLUMN())&amp;","&amp;INDEX(MO_Common_QEndDate,0,COLUMN())&amp;",,,,""PRICE"",""CLOSE"")"),"N/A")</f>
        <v>N/A</v>
      </c>
      <c r="BR1067" s="176" t="str">
        <f ca="1">IFERROR(FDS(MO.Ticker.FactSet,"P_PRICE_LOW"&amp;"("&amp;INDEX(MO_SNA_FPStartDate,0,COLUMN())&amp;","&amp;INDEX(MO_Common_QEndDate,0,COLUMN())&amp;",,,,""PRICE"",""CLOSE"")"),"N/A")</f>
        <v>N/A</v>
      </c>
      <c r="BS1067" s="268"/>
    </row>
    <row r="1068" spans="1:71" s="694" customFormat="1" ht="15" hidden="1" outlineLevel="1">
      <c r="A1068" s="177" t="s">
        <v>381</v>
      </c>
      <c r="B1068" s="175"/>
      <c r="C1068" s="303" t="str">
        <f ca="1">IFERROR(_xll.TR(MO.Ticker.Thomson,"Min(TR.PriceLow)","sdate:#1 edate:#2",,INDEX(MO_SNA_FPStartDate,0,COLUMN()),INDEX(MO_Common_QEndDate,0,COLUMN())),"N/A")</f>
        <v>N/A</v>
      </c>
      <c r="D1068" s="303" t="str">
        <f ca="1">IFERROR(_xll.TR(MO.Ticker.Thomson,"Min(TR.PriceLow)","sdate:#1 edate:#2",,INDEX(MO_SNA_FPStartDate,0,COLUMN()),INDEX(MO_Common_QEndDate,0,COLUMN())),"N/A")</f>
        <v>N/A</v>
      </c>
      <c r="E1068" s="220" t="str">
        <f ca="1">IFERROR(_xll.TR(MO.Ticker.Thomson,"Min(TR.PriceLow)","sdate:#1 edate:#2",,INDEX(MO_SNA_FPStartDate,0,COLUMN()),INDEX(MO_Common_QEndDate,0,COLUMN())),"N/A")</f>
        <v>N/A</v>
      </c>
      <c r="F1068" s="220" t="str">
        <f ca="1">IFERROR(_xll.TR(MO.Ticker.Thomson,"Min(TR.PriceLow)","sdate:#1 edate:#2",,INDEX(MO_SNA_FPStartDate,0,COLUMN()),INDEX(MO_Common_QEndDate,0,COLUMN())),"N/A")</f>
        <v>N/A</v>
      </c>
      <c r="G1068" s="220" t="str">
        <f ca="1">IFERROR(_xll.TR(MO.Ticker.Thomson,"Min(TR.PriceLow)","sdate:#1 edate:#2",,INDEX(MO_SNA_FPStartDate,0,COLUMN()),INDEX(MO_Common_QEndDate,0,COLUMN())),"N/A")</f>
        <v>N/A</v>
      </c>
      <c r="H1068" s="220" t="str">
        <f ca="1">IFERROR(_xll.TR(MO.Ticker.Thomson,"Min(TR.PriceLow)","sdate:#1 edate:#2",,INDEX(MO_SNA_FPStartDate,0,COLUMN()),INDEX(MO_Common_QEndDate,0,COLUMN())),"N/A")</f>
        <v>N/A</v>
      </c>
      <c r="I1068" s="220" t="str">
        <f ca="1">IFERROR(_xll.TR(MO.Ticker.Thomson,"Min(TR.PriceLow)","sdate:#1 edate:#2",,INDEX(MO_SNA_FPStartDate,0,COLUMN()),INDEX(MO_Common_QEndDate,0,COLUMN())),"N/A")</f>
        <v>N/A</v>
      </c>
      <c r="J1068" s="220" t="str">
        <f ca="1">IFERROR(_xll.TR(MO.Ticker.Thomson,"Min(TR.PriceLow)","sdate:#1 edate:#2",,INDEX(MO_SNA_FPStartDate,0,COLUMN()),INDEX(MO_Common_QEndDate,0,COLUMN())),"N/A")</f>
        <v>N/A</v>
      </c>
      <c r="K1068" s="220" t="str">
        <f ca="1">IFERROR(_xll.TR(MO.Ticker.Thomson,"Min(TR.PriceLow)","sdate:#1 edate:#2",,INDEX(MO_SNA_FPStartDate,0,COLUMN()),INDEX(MO_Common_QEndDate,0,COLUMN())),"N/A")</f>
        <v>N/A</v>
      </c>
      <c r="L1068" s="220" t="str">
        <f ca="1">IFERROR(_xll.TR(MO.Ticker.Thomson,"Min(TR.PriceLow)","sdate:#1 edate:#2",,INDEX(MO_SNA_FPStartDate,0,COLUMN()),INDEX(MO_Common_QEndDate,0,COLUMN())),"N/A")</f>
        <v>N/A</v>
      </c>
      <c r="M1068" s="220" t="str">
        <f ca="1">IFERROR(_xll.TR(MO.Ticker.Thomson,"Min(TR.PriceLow)","sdate:#1 edate:#2",,INDEX(MO_SNA_FPStartDate,0,COLUMN()),INDEX(MO_Common_QEndDate,0,COLUMN())),"N/A")</f>
        <v>N/A</v>
      </c>
      <c r="N1068" s="220" t="str">
        <f ca="1">IFERROR(_xll.TR(MO.Ticker.Thomson,"Min(TR.PriceLow)","sdate:#1 edate:#2",,INDEX(MO_SNA_FPStartDate,0,COLUMN()),INDEX(MO_Common_QEndDate,0,COLUMN())),"N/A")</f>
        <v>N/A</v>
      </c>
      <c r="O1068" s="220" t="str">
        <f ca="1">IFERROR(_xll.TR(MO.Ticker.Thomson,"Min(TR.PriceLow)","sdate:#1 edate:#2",,INDEX(MO_SNA_FPStartDate,0,COLUMN()),INDEX(MO_Common_QEndDate,0,COLUMN())),"N/A")</f>
        <v>N/A</v>
      </c>
      <c r="P1068" s="220" t="str">
        <f ca="1">IFERROR(_xll.TR(MO.Ticker.Thomson,"Min(TR.PriceLow)","sdate:#1 edate:#2",,INDEX(MO_SNA_FPStartDate,0,COLUMN()),INDEX(MO_Common_QEndDate,0,COLUMN())),"N/A")</f>
        <v>N/A</v>
      </c>
      <c r="Q1068" s="220" t="str">
        <f ca="1">IFERROR(_xll.TR(MO.Ticker.Thomson,"Min(TR.PriceLow)","sdate:#1 edate:#2",,INDEX(MO_SNA_FPStartDate,0,COLUMN()),INDEX(MO_Common_QEndDate,0,COLUMN())),"N/A")</f>
        <v>N/A</v>
      </c>
      <c r="R1068" s="220" t="str">
        <f ca="1">IFERROR(_xll.TR(MO.Ticker.Thomson,"Min(TR.PriceLow)","sdate:#1 edate:#2",,INDEX(MO_SNA_FPStartDate,0,COLUMN()),INDEX(MO_Common_QEndDate,0,COLUMN())),"N/A")</f>
        <v>N/A</v>
      </c>
      <c r="S1068" s="220" t="str">
        <f ca="1">IFERROR(_xll.TR(MO.Ticker.Thomson,"Min(TR.PriceLow)","sdate:#1 edate:#2",,INDEX(MO_SNA_FPStartDate,0,COLUMN()),INDEX(MO_Common_QEndDate,0,COLUMN())),"N/A")</f>
        <v>N/A</v>
      </c>
      <c r="T1068" s="220" t="str">
        <f ca="1">IFERROR(_xll.TR(MO.Ticker.Thomson,"Min(TR.PriceLow)","sdate:#1 edate:#2",,INDEX(MO_SNA_FPStartDate,0,COLUMN()),INDEX(MO_Common_QEndDate,0,COLUMN())),"N/A")</f>
        <v>N/A</v>
      </c>
      <c r="U1068" s="220" t="str">
        <f ca="1">IFERROR(_xll.TR(MO.Ticker.Thomson,"Min(TR.PriceLow)","sdate:#1 edate:#2",,INDEX(MO_SNA_FPStartDate,0,COLUMN()),INDEX(MO_Common_QEndDate,0,COLUMN())),"N/A")</f>
        <v>N/A</v>
      </c>
      <c r="V1068" s="220" t="str">
        <f ca="1">IFERROR(_xll.TR(MO.Ticker.Thomson,"Min(TR.PriceLow)","sdate:#1 edate:#2",,INDEX(MO_SNA_FPStartDate,0,COLUMN()),INDEX(MO_Common_QEndDate,0,COLUMN())),"N/A")</f>
        <v>N/A</v>
      </c>
      <c r="W1068" s="220" t="str">
        <f ca="1">IFERROR(_xll.TR(MO.Ticker.Thomson,"Min(TR.PriceLow)","sdate:#1 edate:#2",,INDEX(MO_SNA_FPStartDate,0,COLUMN()),INDEX(MO_Common_QEndDate,0,COLUMN())),"N/A")</f>
        <v>N/A</v>
      </c>
      <c r="X1068" s="220" t="str">
        <f ca="1">IFERROR(_xll.TR(MO.Ticker.Thomson,"Min(TR.PriceLow)","sdate:#1 edate:#2",,INDEX(MO_SNA_FPStartDate,0,COLUMN()),INDEX(MO_Common_QEndDate,0,COLUMN())),"N/A")</f>
        <v>N/A</v>
      </c>
      <c r="Y1068" s="220" t="str">
        <f ca="1">IFERROR(_xll.TR(MO.Ticker.Thomson,"Min(TR.PriceLow)","sdate:#1 edate:#2",,INDEX(MO_SNA_FPStartDate,0,COLUMN()),INDEX(MO_Common_QEndDate,0,COLUMN())),"N/A")</f>
        <v>N/A</v>
      </c>
      <c r="Z1068" s="220" t="str">
        <f ca="1">IFERROR(_xll.TR(MO.Ticker.Thomson,"Min(TR.PriceLow)","sdate:#1 edate:#2",,INDEX(MO_SNA_FPStartDate,0,COLUMN()),INDEX(MO_Common_QEndDate,0,COLUMN())),"N/A")</f>
        <v>N/A</v>
      </c>
      <c r="AA1068" s="220" t="str">
        <f ca="1">IFERROR(_xll.TR(MO.Ticker.Thomson,"Min(TR.PriceLow)","sdate:#1 edate:#2",,INDEX(MO_SNA_FPStartDate,0,COLUMN()),INDEX(MO_Common_QEndDate,0,COLUMN())),"N/A")</f>
        <v>N/A</v>
      </c>
      <c r="AB1068" s="220" t="str">
        <f ca="1">IFERROR(_xll.TR(MO.Ticker.Thomson,"Min(TR.PriceLow)","sdate:#1 edate:#2",,INDEX(MO_SNA_FPStartDate,0,COLUMN()),INDEX(MO_Common_QEndDate,0,COLUMN())),"N/A")</f>
        <v>N/A</v>
      </c>
      <c r="AC1068" s="220" t="str">
        <f ca="1">IFERROR(_xll.TR(MO.Ticker.Thomson,"Min(TR.PriceLow)","sdate:#1 edate:#2",,INDEX(MO_SNA_FPStartDate,0,COLUMN()),INDEX(MO_Common_QEndDate,0,COLUMN())),"N/A")</f>
        <v>N/A</v>
      </c>
      <c r="AD1068" s="220" t="str">
        <f ca="1">IFERROR(_xll.TR(MO.Ticker.Thomson,"Min(TR.PriceLow)","sdate:#1 edate:#2",,INDEX(MO_SNA_FPStartDate,0,COLUMN()),INDEX(MO_Common_QEndDate,0,COLUMN())),"N/A")</f>
        <v>N/A</v>
      </c>
      <c r="AE1068" s="220" t="str">
        <f ca="1">IFERROR(_xll.TR(MO.Ticker.Thomson,"Min(TR.PriceLow)","sdate:#1 edate:#2",,INDEX(MO_SNA_FPStartDate,0,COLUMN()),INDEX(MO_Common_QEndDate,0,COLUMN())),"N/A")</f>
        <v>N/A</v>
      </c>
      <c r="AF1068" s="220" t="str">
        <f ca="1">IFERROR(_xll.TR(MO.Ticker.Thomson,"Min(TR.PriceLow)","sdate:#1 edate:#2",,INDEX(MO_SNA_FPStartDate,0,COLUMN()),INDEX(MO_Common_QEndDate,0,COLUMN())),"N/A")</f>
        <v>N/A</v>
      </c>
      <c r="AG1068" s="220" t="str">
        <f ca="1">IFERROR(_xll.TR(MO.Ticker.Thomson,"Min(TR.PriceLow)","sdate:#1 edate:#2",,INDEX(MO_SNA_FPStartDate,0,COLUMN()),INDEX(MO_Common_QEndDate,0,COLUMN())),"N/A")</f>
        <v>N/A</v>
      </c>
      <c r="AH1068" s="220" t="str">
        <f ca="1">IFERROR(_xll.TR(MO.Ticker.Thomson,"Min(TR.PriceLow)","sdate:#1 edate:#2",,INDEX(MO_SNA_FPStartDate,0,COLUMN()),INDEX(MO_Common_QEndDate,0,COLUMN())),"N/A")</f>
        <v>N/A</v>
      </c>
      <c r="AI1068" s="220" t="str">
        <f ca="1">IFERROR(_xll.TR(MO.Ticker.Thomson,"Min(TR.PriceLow)","sdate:#1 edate:#2",,INDEX(MO_SNA_FPStartDate,0,COLUMN()),INDEX(MO_Common_QEndDate,0,COLUMN())),"N/A")</f>
        <v>N/A</v>
      </c>
      <c r="AJ1068" s="220" t="str">
        <f ca="1">IFERROR(_xll.TR(MO.Ticker.Thomson,"Min(TR.PriceLow)","sdate:#1 edate:#2",,INDEX(MO_SNA_FPStartDate,0,COLUMN()),INDEX(MO_Common_QEndDate,0,COLUMN())),"N/A")</f>
        <v>N/A</v>
      </c>
      <c r="AK1068" s="220" t="str">
        <f ca="1">IFERROR(_xll.TR(MO.Ticker.Thomson,"Min(TR.PriceLow)","sdate:#1 edate:#2",,INDEX(MO_SNA_FPStartDate,0,COLUMN()),INDEX(MO_Common_QEndDate,0,COLUMN())),"N/A")</f>
        <v>N/A</v>
      </c>
      <c r="AL1068" s="220" t="str">
        <f ca="1">IFERROR(_xll.TR(MO.Ticker.Thomson,"Min(TR.PriceLow)","sdate:#1 edate:#2",,INDEX(MO_SNA_FPStartDate,0,COLUMN()),INDEX(MO_Common_QEndDate,0,COLUMN())),"N/A")</f>
        <v>N/A</v>
      </c>
      <c r="AM1068" s="220" t="str">
        <f ca="1">IFERROR(_xll.TR(MO.Ticker.Thomson,"Min(TR.PriceLow)","sdate:#1 edate:#2",,INDEX(MO_SNA_FPStartDate,0,COLUMN()),INDEX(MO_Common_QEndDate,0,COLUMN())),"N/A")</f>
        <v>N/A</v>
      </c>
      <c r="AN1068" s="220" t="str">
        <f ca="1">IFERROR(_xll.TR(MO.Ticker.Thomson,"Min(TR.PriceLow)","sdate:#1 edate:#2",,INDEX(MO_SNA_FPStartDate,0,COLUMN()),INDEX(MO_Common_QEndDate,0,COLUMN())),"N/A")</f>
        <v>N/A</v>
      </c>
      <c r="AO1068" s="220" t="str">
        <f ca="1">IFERROR(_xll.TR(MO.Ticker.Thomson,"Min(TR.PriceLow)","sdate:#1 edate:#2",,INDEX(MO_SNA_FPStartDate,0,COLUMN()),INDEX(MO_Common_QEndDate,0,COLUMN())),"N/A")</f>
        <v>N/A</v>
      </c>
      <c r="AP1068" s="220" t="str">
        <f ca="1">IFERROR(_xll.TR(MO.Ticker.Thomson,"Min(TR.PriceLow)","sdate:#1 edate:#2",,INDEX(MO_SNA_FPStartDate,0,COLUMN()),INDEX(MO_Common_QEndDate,0,COLUMN())),"N/A")</f>
        <v>N/A</v>
      </c>
      <c r="AQ1068" s="220" t="str">
        <f ca="1">IFERROR(_xll.TR(MO.Ticker.Thomson,"Min(TR.PriceLow)","sdate:#1 edate:#2",,INDEX(MO_SNA_FPStartDate,0,COLUMN()),INDEX(MO_Common_QEndDate,0,COLUMN())),"N/A")</f>
        <v>N/A</v>
      </c>
      <c r="AR1068" s="220" t="str">
        <f ca="1">IFERROR(_xll.TR(MO.Ticker.Thomson,"Min(TR.PriceLow)","sdate:#1 edate:#2",,INDEX(MO_SNA_FPStartDate,0,COLUMN()),INDEX(MO_Common_QEndDate,0,COLUMN())),"N/A")</f>
        <v>N/A</v>
      </c>
      <c r="AS1068" s="220" t="str">
        <f ca="1">IFERROR(_xll.TR(MO.Ticker.Thomson,"Min(TR.PriceLow)","sdate:#1 edate:#2",,INDEX(MO_SNA_FPStartDate,0,COLUMN()),INDEX(MO_Common_QEndDate,0,COLUMN())),"N/A")</f>
        <v>N/A</v>
      </c>
      <c r="AT1068" s="220" t="str">
        <f ca="1">IFERROR(_xll.TR(MO.Ticker.Thomson,"Min(TR.PriceLow)","sdate:#1 edate:#2",,INDEX(MO_SNA_FPStartDate,0,COLUMN()),INDEX(MO_Common_QEndDate,0,COLUMN())),"N/A")</f>
        <v>N/A</v>
      </c>
      <c r="AU1068" s="220" t="str">
        <f ca="1">IFERROR(_xll.TR(MO.Ticker.Thomson,"Min(TR.PriceLow)","sdate:#1 edate:#2",,INDEX(MO_SNA_FPStartDate,0,COLUMN()),INDEX(MO_Common_QEndDate,0,COLUMN())),"N/A")</f>
        <v>N/A</v>
      </c>
      <c r="AV1068" s="220" t="str">
        <f ca="1">IFERROR(_xll.TR(MO.Ticker.Thomson,"Min(TR.PriceLow)","sdate:#1 edate:#2",,INDEX(MO_SNA_FPStartDate,0,COLUMN()),INDEX(MO_Common_QEndDate,0,COLUMN())),"N/A")</f>
        <v>N/A</v>
      </c>
      <c r="AW1068" s="220" t="str">
        <f ca="1">IFERROR(_xll.TR(MO.Ticker.Thomson,"Min(TR.PriceLow)","sdate:#1 edate:#2",,INDEX(MO_SNA_FPStartDate,0,COLUMN()),INDEX(MO_Common_QEndDate,0,COLUMN())),"N/A")</f>
        <v>N/A</v>
      </c>
      <c r="AX1068" s="220" t="str">
        <f ca="1">IFERROR(_xll.TR(MO.Ticker.Thomson,"Min(TR.PriceLow)","sdate:#1 edate:#2",,INDEX(MO_SNA_FPStartDate,0,COLUMN()),INDEX(MO_Common_QEndDate,0,COLUMN())),"N/A")</f>
        <v>N/A</v>
      </c>
      <c r="AY1068" s="220" t="str">
        <f ca="1">IFERROR(_xll.TR(MO.Ticker.Thomson,"Min(TR.PriceLow)","sdate:#1 edate:#2",,INDEX(MO_SNA_FPStartDate,0,COLUMN()),INDEX(MO_Common_QEndDate,0,COLUMN())),"N/A")</f>
        <v>N/A</v>
      </c>
      <c r="AZ1068" s="220" t="str">
        <f ca="1">IFERROR(_xll.TR(MO.Ticker.Thomson,"Min(TR.PriceLow)","sdate:#1 edate:#2",,INDEX(MO_SNA_FPStartDate,0,COLUMN()),INDEX(MO_Common_QEndDate,0,COLUMN())),"N/A")</f>
        <v>N/A</v>
      </c>
      <c r="BA1068" s="220" t="str">
        <f ca="1">IFERROR(_xll.TR(MO.Ticker.Thomson,"Min(TR.PriceLow)","sdate:#1 edate:#2",,INDEX(MO_SNA_FPStartDate,0,COLUMN()),INDEX(MO_Common_QEndDate,0,COLUMN())),"N/A")</f>
        <v>N/A</v>
      </c>
      <c r="BB1068" s="220" t="str">
        <f ca="1">IFERROR(_xll.TR(MO.Ticker.Thomson,"Min(TR.PriceLow)","sdate:#1 edate:#2",,INDEX(MO_SNA_FPStartDate,0,COLUMN()),INDEX(MO_Common_QEndDate,0,COLUMN())),"N/A")</f>
        <v>N/A</v>
      </c>
      <c r="BC1068" s="220" t="str">
        <f ca="1">IFERROR(_xll.TR(MO.Ticker.Thomson,"Min(TR.PriceLow)","sdate:#1 edate:#2",,INDEX(MO_SNA_FPStartDate,0,COLUMN()),INDEX(MO_Common_QEndDate,0,COLUMN())),"N/A")</f>
        <v>N/A</v>
      </c>
      <c r="BD1068" s="220" t="str">
        <f ca="1">IFERROR(_xll.TR(MO.Ticker.Thomson,"Min(TR.PriceLow)","sdate:#1 edate:#2",,INDEX(MO_SNA_FPStartDate,0,COLUMN()),INDEX(MO_Common_QEndDate,0,COLUMN())),"N/A")</f>
        <v>N/A</v>
      </c>
      <c r="BE1068" s="220" t="str">
        <f ca="1">IFERROR(_xll.TR(MO.Ticker.Thomson,"Min(TR.PriceLow)","sdate:#1 edate:#2",,INDEX(MO_SNA_FPStartDate,0,COLUMN()),INDEX(MO_Common_QEndDate,0,COLUMN())),"N/A")</f>
        <v>N/A</v>
      </c>
      <c r="BF1068" s="220" t="str">
        <f ca="1">IFERROR(_xll.TR(MO.Ticker.Thomson,"Min(TR.PriceLow)","sdate:#1 edate:#2",,INDEX(MO_SNA_FPStartDate,0,COLUMN()),INDEX(MO_Common_QEndDate,0,COLUMN())),"N/A")</f>
        <v>N/A</v>
      </c>
      <c r="BG1068" s="220" t="str">
        <f ca="1">IFERROR(_xll.TR(MO.Ticker.Thomson,"Min(TR.PriceLow)","sdate:#1 edate:#2",,INDEX(MO_SNA_FPStartDate,0,COLUMN()),INDEX(MO_Common_QEndDate,0,COLUMN())),"N/A")</f>
        <v>N/A</v>
      </c>
      <c r="BH1068" s="378" t="str">
        <f ca="1">IFERROR(_xll.TR(MO.Ticker.Thomson,"Min(TR.PriceLow)","sdate:#1 edate:#2",,INDEX(MO_SNA_FPStartDate,0,COLUMN()),INDEX(MO_Common_QEndDate,0,COLUMN())),"N/A")</f>
        <v>N/A</v>
      </c>
      <c r="BI1068" s="175" t="str">
        <f ca="1">IFERROR(_xll.TR(MO.Ticker.Thomson,"Min(TR.PriceLow)","sdate:#1 edate:#2",,INDEX(MO_SNA_FPStartDate,0,COLUMN()),INDEX(MO_Common_QEndDate,0,COLUMN())),"N/A")</f>
        <v>N/A</v>
      </c>
      <c r="BJ1068" s="175" t="str">
        <f ca="1">IFERROR(_xll.TR(MO.Ticker.Thomson,"Min(TR.PriceLow)","sdate:#1 edate:#2",,INDEX(MO_SNA_FPStartDate,0,COLUMN()),INDEX(MO_Common_QEndDate,0,COLUMN())),"N/A")</f>
        <v>N/A</v>
      </c>
      <c r="BK1068" s="175" t="str">
        <f ca="1">IFERROR(_xll.TR(MO.Ticker.Thomson,"Min(TR.PriceLow)","sdate:#1 edate:#2",,INDEX(MO_SNA_FPStartDate,0,COLUMN()),INDEX(MO_Common_QEndDate,0,COLUMN())),"N/A")</f>
        <v>N/A</v>
      </c>
      <c r="BL1068" s="175" t="str">
        <f ca="1">IFERROR(_xll.TR(MO.Ticker.Thomson,"Min(TR.PriceLow)","sdate:#1 edate:#2",,INDEX(MO_SNA_FPStartDate,0,COLUMN()),INDEX(MO_Common_QEndDate,0,COLUMN())),"N/A")</f>
        <v>N/A</v>
      </c>
      <c r="BM1068" s="175" t="str">
        <f ca="1">IFERROR(_xll.TR(MO.Ticker.Thomson,"Min(TR.PriceLow)","sdate:#1 edate:#2",,INDEX(MO_SNA_FPStartDate,0,COLUMN()),INDEX(MO_Common_QEndDate,0,COLUMN())),"N/A")</f>
        <v>N/A</v>
      </c>
      <c r="BN1068" s="175" t="str">
        <f ca="1">IFERROR(_xll.TR(MO.Ticker.Thomson,"Min(TR.PriceLow)","sdate:#1 edate:#2",,INDEX(MO_SNA_FPStartDate,0,COLUMN()),INDEX(MO_Common_QEndDate,0,COLUMN())),"N/A")</f>
        <v>N/A</v>
      </c>
      <c r="BO1068" s="175" t="str">
        <f ca="1">IFERROR(_xll.TR(MO.Ticker.Thomson,"Min(TR.PriceLow)","sdate:#1 edate:#2",,INDEX(MO_SNA_FPStartDate,0,COLUMN()),INDEX(MO_Common_QEndDate,0,COLUMN())),"N/A")</f>
        <v>N/A</v>
      </c>
      <c r="BP1068" s="220" t="str">
        <f ca="1">IFERROR(_xll.TR(MO.Ticker.Thomson,"Min(TR.PriceLow)","sdate:#1 edate:#2",,INDEX(MO_SNA_FPStartDate,0,COLUMN()),INDEX(MO_Common_QEndDate,0,COLUMN())),"N/A")</f>
        <v>N/A</v>
      </c>
      <c r="BQ1068" s="220" t="str">
        <f ca="1">IFERROR(_xll.TR(MO.Ticker.Thomson,"Min(TR.PriceLow)","sdate:#1 edate:#2",,INDEX(MO_SNA_FPStartDate,0,COLUMN()),INDEX(MO_Common_QEndDate,0,COLUMN())),"N/A")</f>
        <v>N/A</v>
      </c>
      <c r="BR1068" s="176" t="str">
        <f ca="1">IFERROR(_xll.TR(MO.Ticker.Thomson,"Min(TR.PriceLow)","sdate:#1 edate:#2",,INDEX(MO_SNA_FPStartDate,0,COLUMN()),INDEX(MO_Common_QEndDate,0,COLUMN())),"N/A")</f>
        <v>N/A</v>
      </c>
      <c r="BS1068" s="268"/>
    </row>
    <row r="1069" spans="1:71" s="698" customFormat="1" ht="15" hidden="1" outlineLevel="1">
      <c r="A1069" s="152"/>
      <c r="B1069" s="992"/>
      <c r="C1069" s="304"/>
      <c r="D1069" s="304"/>
      <c r="E1069" s="993"/>
      <c r="F1069" s="993"/>
      <c r="G1069" s="993"/>
      <c r="H1069" s="993"/>
      <c r="I1069" s="993"/>
      <c r="J1069" s="993"/>
      <c r="K1069" s="993"/>
      <c r="L1069" s="993"/>
      <c r="M1069" s="993"/>
      <c r="N1069" s="993"/>
      <c r="O1069" s="993"/>
      <c r="P1069" s="993"/>
      <c r="Q1069" s="993"/>
      <c r="R1069" s="993"/>
      <c r="S1069" s="993"/>
      <c r="T1069" s="993"/>
      <c r="U1069" s="993"/>
      <c r="V1069" s="993"/>
      <c r="W1069" s="993"/>
      <c r="X1069" s="993"/>
      <c r="Y1069" s="993"/>
      <c r="Z1069" s="993"/>
      <c r="AA1069" s="993"/>
      <c r="AB1069" s="993"/>
      <c r="AC1069" s="993"/>
      <c r="AD1069" s="993"/>
      <c r="AE1069" s="993"/>
      <c r="AF1069" s="993"/>
      <c r="AG1069" s="993"/>
      <c r="AH1069" s="993"/>
      <c r="AI1069" s="993"/>
      <c r="AJ1069" s="993"/>
      <c r="AK1069" s="993"/>
      <c r="AL1069" s="993"/>
      <c r="AM1069" s="993"/>
      <c r="AN1069" s="993"/>
      <c r="AO1069" s="993"/>
      <c r="AP1069" s="993"/>
      <c r="AQ1069" s="993"/>
      <c r="AR1069" s="993"/>
      <c r="AS1069" s="993"/>
      <c r="AT1069" s="993"/>
      <c r="AU1069" s="993"/>
      <c r="AV1069" s="993"/>
      <c r="AW1069" s="993"/>
      <c r="AX1069" s="993"/>
      <c r="AY1069" s="993"/>
      <c r="AZ1069" s="993"/>
      <c r="BA1069" s="993"/>
      <c r="BB1069" s="993"/>
      <c r="BC1069" s="993"/>
      <c r="BD1069" s="993"/>
      <c r="BE1069" s="993"/>
      <c r="BF1069" s="993"/>
      <c r="BG1069" s="993"/>
      <c r="BH1069" s="994"/>
      <c r="BI1069" s="992"/>
      <c r="BJ1069" s="992"/>
      <c r="BK1069" s="992"/>
      <c r="BL1069" s="992"/>
      <c r="BM1069" s="992"/>
      <c r="BN1069" s="992"/>
      <c r="BO1069" s="992"/>
      <c r="BP1069" s="993"/>
      <c r="BQ1069" s="993"/>
      <c r="BR1069" s="151"/>
      <c r="BS1069" s="264"/>
    </row>
    <row r="1070" spans="1:71" s="694" customFormat="1" ht="15" collapsed="1">
      <c r="A1070" s="174" t="str">
        <f ca="1">"Stock Average: "&amp;IF(OR(MO.RealTimeStockPriceToggle=FALSE,VLOOKUP(MO.DataSourceName,MO_SPT_StockAverage_Sources,COLUMN()+2,FALSE)="N/A"),"Real-Time Off Source",MO.DataSourceName)</f>
        <v>Stock Average: Real-Time Off Source</v>
      </c>
      <c r="B1070" s="175"/>
      <c r="C1070" s="303">
        <f ca="1" t="shared" si="1983" ref="C1070:AQ1070">IF(OR(MO.RealTimeStockPriceToggle=FALSE,VLOOKUP(MO.DataSourceName,MO_SPT_StockAverage_Sources,COLUMN(),FALSE)="N/A"),VLOOKUP("Real-Time Off Source",MO_SPT_StockAverage_Sources,COLUMN(),FALSE),VLOOKUP(MO.DataSourceName,MO_SPT_StockAverage_Sources,COLUMN(),FALSE))</f>
        <v>13.93</v>
      </c>
      <c r="D1070" s="303">
        <f t="shared" ca="1" si="1983"/>
        <v>19.155</v>
      </c>
      <c r="E1070" s="220">
        <f t="shared" ca="1" si="1983"/>
        <v>19.48</v>
      </c>
      <c r="F1070" s="220">
        <f t="shared" ca="1" si="1983"/>
        <v>21.21</v>
      </c>
      <c r="G1070" s="220">
        <f t="shared" ca="1" si="1983"/>
        <v>24.95</v>
      </c>
      <c r="H1070" s="220">
        <f t="shared" ca="1" si="1983"/>
        <v>24.915</v>
      </c>
      <c r="I1070" s="220">
        <f t="shared" ca="1" si="1983"/>
        <v>24.715</v>
      </c>
      <c r="J1070" s="220">
        <f t="shared" ca="1" si="1983"/>
        <v>24.415</v>
      </c>
      <c r="K1070" s="220">
        <f t="shared" ca="1" si="1983"/>
        <v>25.84</v>
      </c>
      <c r="L1070" s="220">
        <f t="shared" ca="1" si="1983"/>
        <v>24.97125</v>
      </c>
      <c r="M1070" s="220">
        <f t="shared" ca="1" si="1983"/>
        <v>26.565</v>
      </c>
      <c r="N1070" s="220">
        <f t="shared" ca="1" si="1983"/>
        <v>27.47</v>
      </c>
      <c r="O1070" s="220">
        <f t="shared" ca="1" si="1983"/>
        <v>29.465</v>
      </c>
      <c r="P1070" s="220">
        <f t="shared" ca="1" si="1983"/>
        <v>32.020000000000003</v>
      </c>
      <c r="Q1070" s="220">
        <f t="shared" ca="1" si="1983"/>
        <v>28.88</v>
      </c>
      <c r="R1070" s="220">
        <f t="shared" ca="1" si="1983"/>
        <v>32.295</v>
      </c>
      <c r="S1070" s="220">
        <f t="shared" ca="1" si="1983"/>
        <v>33.340000000000003</v>
      </c>
      <c r="T1070" s="220">
        <f t="shared" ca="1" si="1983"/>
        <v>32.415</v>
      </c>
      <c r="U1070" s="220">
        <f t="shared" ca="1" si="1983"/>
        <v>33.305</v>
      </c>
      <c r="V1070" s="220">
        <f t="shared" ca="1" si="1983"/>
        <v>32.838749999999997</v>
      </c>
      <c r="W1070" s="220">
        <f t="shared" ca="1" si="1983"/>
        <v>37.985</v>
      </c>
      <c r="X1070" s="220">
        <f t="shared" ca="1" si="1983"/>
        <v>41.82</v>
      </c>
      <c r="Y1070" s="220">
        <f t="shared" ca="1" si="1983"/>
        <v>46.30</v>
      </c>
      <c r="Z1070" s="220">
        <f t="shared" ca="1" si="1983"/>
        <v>52.535</v>
      </c>
      <c r="AA1070" s="220">
        <f t="shared" ca="1" si="1983"/>
        <v>44.66</v>
      </c>
      <c r="AB1070" s="220">
        <f t="shared" ca="1" si="1983"/>
        <v>56.700247540983597</v>
      </c>
      <c r="AC1070" s="220">
        <f t="shared" ca="1" si="1983"/>
        <v>61.215625</v>
      </c>
      <c r="AD1070" s="220">
        <f t="shared" ca="1" si="1983"/>
        <v>64.326984126984101</v>
      </c>
      <c r="AE1070" s="220">
        <f t="shared" ca="1" si="1983"/>
        <v>66.530476190476193</v>
      </c>
      <c r="AF1070" s="220">
        <f t="shared" ca="1" si="1983"/>
        <v>62.233207569721102</v>
      </c>
      <c r="AG1070" s="220">
        <f t="shared" ca="1" si="1983"/>
        <v>68.514918032786895</v>
      </c>
      <c r="AH1070" s="220">
        <f t="shared" ca="1" si="1983"/>
        <v>77.352222222222196</v>
      </c>
      <c r="AI1070" s="220">
        <f t="shared" ca="1" si="1983"/>
        <v>78.6621875</v>
      </c>
      <c r="AJ1070" s="220">
        <f t="shared" ca="1" si="1983"/>
        <v>72.09</v>
      </c>
      <c r="AK1070" s="220">
        <f t="shared" ca="1" si="1983"/>
        <v>74.209285714285699</v>
      </c>
      <c r="AL1070" s="220">
        <f t="shared" ca="1" si="1983"/>
        <v>77.076935483870997</v>
      </c>
      <c r="AM1070" s="220">
        <f t="shared" ca="1" si="1983"/>
        <v>78.059206349206406</v>
      </c>
      <c r="AN1070" s="220">
        <f t="shared" ca="1" si="1983"/>
        <v>89.875468749999996</v>
      </c>
      <c r="AO1070" s="220">
        <f ca="1">IF(OR(MO.RealTimeStockPriceToggle=FALSE,VLOOKUP(MO.DataSourceName,MO_SPT_StockAverage_Sources,COLUMN(),FALSE)="N/A"),VLOOKUP("Real-Time Off Source",MO_SPT_StockAverage_Sources,COLUMN(),FALSE),VLOOKUP(MO.DataSourceName,MO_SPT_StockAverage_Sources,COLUMN(),FALSE))</f>
        <v>94.600781249999997</v>
      </c>
      <c r="AP1070" s="220">
        <f ca="1">IF(OR(MO.RealTimeStockPriceToggle=FALSE,VLOOKUP(MO.DataSourceName,MO_SPT_StockAverage_Sources,COLUMN(),FALSE)="N/A"),VLOOKUP("Real-Time Off Source",MO_SPT_StockAverage_Sources,COLUMN(),FALSE),VLOOKUP(MO.DataSourceName,MO_SPT_StockAverage_Sources,COLUMN(),FALSE))</f>
        <v>84.992015810276698</v>
      </c>
      <c r="AQ1070" s="220">
        <f t="shared" ca="1" si="1983"/>
        <v>90.860491803278705</v>
      </c>
      <c r="AR1070" s="220">
        <f ca="1" t="shared" si="1984" ref="AR1070:AU1070">IF(OR(MO.RealTimeStockPriceToggle=FALSE,VLOOKUP(MO.DataSourceName,MO_SPT_StockAverage_Sources,COLUMN(),FALSE)="N/A"),VLOOKUP("Real-Time Off Source",MO_SPT_StockAverage_Sources,COLUMN(),FALSE),VLOOKUP(MO.DataSourceName,MO_SPT_StockAverage_Sources,COLUMN(),FALSE))</f>
        <v>98.916190476190494</v>
      </c>
      <c r="AS1070" s="220">
        <f t="shared" ca="1" si="1984"/>
        <v>95.3071875</v>
      </c>
      <c r="AT1070" s="220">
        <f t="shared" ca="1" si="1984"/>
        <v>95.455156250000002</v>
      </c>
      <c r="AU1070" s="220">
        <f t="shared" ca="1" si="1984"/>
        <v>95.170634920634996</v>
      </c>
      <c r="AV1070" s="220">
        <f ca="1" t="shared" si="1985" ref="AV1070:BJ1070">IF(OR(MO.RealTimeStockPriceToggle=FALSE,VLOOKUP(MO.DataSourceName,MO_SPT_StockAverage_Sources,COLUMN(),FALSE)="N/A"),VLOOKUP("Real-Time Off Source",MO_SPT_StockAverage_Sources,COLUMN(),FALSE),VLOOKUP(MO.DataSourceName,MO_SPT_StockAverage_Sources,COLUMN(),FALSE))</f>
        <v>108.15564516129</v>
      </c>
      <c r="AW1070" s="220">
        <f t="shared" ca="1" si="1985"/>
        <v>113.384193548387</v>
      </c>
      <c r="AX1070" s="220">
        <f t="shared" ca="1" si="1985"/>
        <v>120.41374999999999</v>
      </c>
      <c r="AY1070" s="220">
        <f t="shared" ca="1" si="1985"/>
        <v>126.716825396825</v>
      </c>
      <c r="AZ1070" s="220">
        <f t="shared" ca="1" si="1985"/>
        <v>117.231513944223</v>
      </c>
      <c r="BA1070" s="220">
        <f ca="1" t="shared" si="1986" ref="BA1070:BI1070">IF(OR(MO.RealTimeStockPriceToggle=FALSE,VLOOKUP(MO.DataSourceName,MO_SPT_StockAverage_Sources,COLUMN(),FALSE)="N/A"),VLOOKUP("Real-Time Off Source",MO_SPT_StockAverage_Sources,COLUMN(),FALSE),VLOOKUP(MO.DataSourceName,MO_SPT_StockAverage_Sources,COLUMN(),FALSE))</f>
        <v>137.88580645161301</v>
      </c>
      <c r="BB1070" s="220">
        <f t="shared" ca="1" si="1986"/>
        <v>131.20476190476199</v>
      </c>
      <c r="BC1070" s="220">
        <f t="shared" ca="1" si="1986"/>
        <v>131.536507936508</v>
      </c>
      <c r="BD1070" s="220">
        <f t="shared" ca="1" si="1986"/>
        <v>156.55936507936499</v>
      </c>
      <c r="BE1070" s="220">
        <f t="shared" ca="1" si="1986"/>
        <v>140.04292000000001</v>
      </c>
      <c r="BF1070" s="220">
        <f ca="1">IF(OR(MO.RealTimeStockPriceToggle=FALSE,VLOOKUP(MO.DataSourceName,MO_SPT_StockAverage_Sources,COLUMN(),FALSE)="N/A"),VLOOKUP("Real-Time Off Source",MO_SPT_StockAverage_Sources,COLUMN(),FALSE),VLOOKUP(MO.DataSourceName,MO_SPT_StockAverage_Sources,COLUMN(),FALSE))</f>
        <v>185.54442622950799</v>
      </c>
      <c r="BG1070" s="220">
        <f ca="1">IF(OR(MO.RealTimeStockPriceToggle=FALSE,VLOOKUP(MO.DataSourceName,MO_SPT_StockAverage_Sources,COLUMN(),FALSE)="N/A"),VLOOKUP("Real-Time Off Source",MO_SPT_StockAverage_Sources,COLUMN(),FALSE),VLOOKUP(MO.DataSourceName,MO_SPT_StockAverage_Sources,COLUMN(),FALSE))</f>
        <v>209.31079365079401</v>
      </c>
      <c r="BH1070" s="378">
        <f ca="1">IF(OR(MO.RealTimeStockPriceToggle=FALSE,VLOOKUP(MO.DataSourceName,MO_SPT_StockAverage_Sources,COLUMN(),FALSE)="N/A"),VLOOKUP("Real-Time Off Source",MO_SPT_StockAverage_Sources,COLUMN(),FALSE),VLOOKUP(MO.DataSourceName,MO_SPT_StockAverage_Sources,COLUMN(),FALSE))</f>
        <v>232.495</v>
      </c>
      <c r="BI1070" s="175">
        <f t="shared" ca="1" si="1986"/>
        <v>0</v>
      </c>
      <c r="BJ1070" s="175">
        <f t="shared" ca="1" si="1985"/>
        <v>0</v>
      </c>
      <c r="BK1070" s="175">
        <f ca="1" t="shared" si="1987" ref="BK1070:BR1070">IF(OR(MO.RealTimeStockPriceToggle=FALSE,VLOOKUP(MO.DataSourceName,MO_SPT_StockAverage_Sources,COLUMN(),FALSE)="N/A"),VLOOKUP("Real-Time Off Source",MO_SPT_StockAverage_Sources,COLUMN(),FALSE),VLOOKUP(MO.DataSourceName,MO_SPT_StockAverage_Sources,COLUMN(),FALSE))</f>
        <v>0</v>
      </c>
      <c r="BL1070" s="175">
        <f t="shared" ca="1" si="1987"/>
        <v>0</v>
      </c>
      <c r="BM1070" s="175">
        <f t="shared" ca="1" si="1987"/>
        <v>0</v>
      </c>
      <c r="BN1070" s="175">
        <f t="shared" ca="1" si="1987"/>
        <v>0</v>
      </c>
      <c r="BO1070" s="175">
        <f t="shared" ca="1" si="1987"/>
        <v>0</v>
      </c>
      <c r="BP1070" s="220">
        <f t="shared" ca="1" si="1987"/>
        <v>0</v>
      </c>
      <c r="BQ1070" s="220">
        <f t="shared" ca="1" si="1987"/>
        <v>0</v>
      </c>
      <c r="BR1070" s="176">
        <f t="shared" ca="1" si="1987"/>
        <v>0</v>
      </c>
      <c r="BS1070" s="268"/>
    </row>
    <row r="1071" spans="1:71" s="694" customFormat="1" ht="15" hidden="1" outlineLevel="1">
      <c r="A1071" s="177" t="s">
        <v>262</v>
      </c>
      <c r="B1071" s="175"/>
      <c r="C1071" s="1299">
        <v>13.93</v>
      </c>
      <c r="D1071" s="1299">
        <v>19.155</v>
      </c>
      <c r="E1071" s="1300">
        <v>19.48</v>
      </c>
      <c r="F1071" s="1300">
        <v>21.21</v>
      </c>
      <c r="G1071" s="1300">
        <v>24.95</v>
      </c>
      <c r="H1071" s="1300">
        <v>24.915</v>
      </c>
      <c r="I1071" s="1300">
        <v>24.715</v>
      </c>
      <c r="J1071" s="1300">
        <v>24.415</v>
      </c>
      <c r="K1071" s="1300">
        <v>25.84</v>
      </c>
      <c r="L1071" s="1300">
        <v>24.97125</v>
      </c>
      <c r="M1071" s="1300">
        <v>26.565</v>
      </c>
      <c r="N1071" s="1300">
        <v>27.47</v>
      </c>
      <c r="O1071" s="1300">
        <v>29.465</v>
      </c>
      <c r="P1071" s="1300">
        <v>32.020000000000003</v>
      </c>
      <c r="Q1071" s="1300">
        <v>28.88</v>
      </c>
      <c r="R1071" s="1300">
        <v>32.295</v>
      </c>
      <c r="S1071" s="1300">
        <v>33.340000000000003</v>
      </c>
      <c r="T1071" s="1300">
        <v>32.415</v>
      </c>
      <c r="U1071" s="1300">
        <v>33.305</v>
      </c>
      <c r="V1071" s="1300">
        <v>32.838749999999997</v>
      </c>
      <c r="W1071" s="1300">
        <v>37.985</v>
      </c>
      <c r="X1071" s="1300">
        <v>41.82</v>
      </c>
      <c r="Y1071" s="1300">
        <v>46.30</v>
      </c>
      <c r="Z1071" s="1300">
        <v>52.535</v>
      </c>
      <c r="AA1071" s="1300">
        <v>44.66</v>
      </c>
      <c r="AB1071" s="1300">
        <v>56.700247540983597</v>
      </c>
      <c r="AC1071" s="1300">
        <v>61.215625</v>
      </c>
      <c r="AD1071" s="1300">
        <v>64.326984126984101</v>
      </c>
      <c r="AE1071" s="1300">
        <v>66.530476190476193</v>
      </c>
      <c r="AF1071" s="1300">
        <v>62.233207569721102</v>
      </c>
      <c r="AG1071" s="1300">
        <v>68.514918032786895</v>
      </c>
      <c r="AH1071" s="1300">
        <v>77.352222222222196</v>
      </c>
      <c r="AI1071" s="1300">
        <v>78.6621875</v>
      </c>
      <c r="AJ1071" s="1300">
        <v>72.09</v>
      </c>
      <c r="AK1071" s="1300">
        <v>74.209285714285699</v>
      </c>
      <c r="AL1071" s="1300">
        <v>77.076935483870997</v>
      </c>
      <c r="AM1071" s="1300">
        <v>78.059206349206406</v>
      </c>
      <c r="AN1071" s="1300">
        <v>89.875468749999996</v>
      </c>
      <c r="AO1071" s="1300">
        <v>94.600781249999997</v>
      </c>
      <c r="AP1071" s="1300">
        <v>84.992015810276698</v>
      </c>
      <c r="AQ1071" s="1300">
        <v>90.860491803278705</v>
      </c>
      <c r="AR1071" s="1300">
        <v>98.916190476190494</v>
      </c>
      <c r="AS1071" s="1300">
        <v>95.3071875</v>
      </c>
      <c r="AT1071" s="1300">
        <v>95.455156250000002</v>
      </c>
      <c r="AU1071" s="1300">
        <v>95.170634920634996</v>
      </c>
      <c r="AV1071" s="1300">
        <v>108.15564516129</v>
      </c>
      <c r="AW1071" s="1300">
        <v>113.384193548387</v>
      </c>
      <c r="AX1071" s="1300">
        <v>120.41374999999999</v>
      </c>
      <c r="AY1071" s="1300">
        <v>126.716825396825</v>
      </c>
      <c r="AZ1071" s="1300">
        <v>117.231513944223</v>
      </c>
      <c r="BA1071" s="1300">
        <v>137.88580645161301</v>
      </c>
      <c r="BB1071" s="1300">
        <v>131.20476190476199</v>
      </c>
      <c r="BC1071" s="1300">
        <v>131.536507936508</v>
      </c>
      <c r="BD1071" s="1300">
        <v>156.55936507936499</v>
      </c>
      <c r="BE1071" s="1300">
        <v>140.04292000000001</v>
      </c>
      <c r="BF1071" s="1300">
        <v>185.54442622950799</v>
      </c>
      <c r="BG1071" s="1300">
        <v>209.31079365079401</v>
      </c>
      <c r="BH1071" s="1301">
        <v>232.495</v>
      </c>
      <c r="BI1071" s="175"/>
      <c r="BJ1071" s="175"/>
      <c r="BK1071" s="175"/>
      <c r="BL1071" s="175"/>
      <c r="BM1071" s="175"/>
      <c r="BN1071" s="175"/>
      <c r="BO1071" s="175"/>
      <c r="BP1071" s="220"/>
      <c r="BQ1071" s="220"/>
      <c r="BR1071" s="176"/>
      <c r="BS1071" s="268"/>
    </row>
    <row r="1072" spans="1:71" s="694" customFormat="1" ht="15" hidden="1" outlineLevel="1">
      <c r="A1072" s="177" t="s">
        <v>7</v>
      </c>
      <c r="B1072" s="175"/>
      <c r="C1072" s="303" t="str">
        <f ca="1">IFERROR(BDP(MO.Ticker.Bloomberg&amp;" Equity","INTERVAL_AVG","MARKET_DATA_OVERRIDE=PX_LAST","START_DATE_OVERRIDE",TEXT(INDEX(MO_SNA_FPStartDate,0,COLUMN()),"YYYYMMDD"),"END_DATE_OVERRIDE",TEXT(INDEX(MO_Common_QEndDate,0,COLUMN()),"YYYYMMDD")),"N/A")</f>
        <v>N/A</v>
      </c>
      <c r="D1072" s="303" t="str">
        <f ca="1">IFERROR(BDP(MO.Ticker.Bloomberg&amp;" Equity","INTERVAL_AVG","MARKET_DATA_OVERRIDE=PX_LAST","START_DATE_OVERRIDE",TEXT(INDEX(MO_SNA_FPStartDate,0,COLUMN()),"YYYYMMDD"),"END_DATE_OVERRIDE",TEXT(INDEX(MO_Common_QEndDate,0,COLUMN()),"YYYYMMDD")),"N/A")</f>
        <v>N/A</v>
      </c>
      <c r="E1072" s="220" t="str">
        <f ca="1">IFERROR(BDP(MO.Ticker.Bloomberg&amp;" Equity","INTERVAL_AVG","MARKET_DATA_OVERRIDE=PX_LAST","START_DATE_OVERRIDE",TEXT(INDEX(MO_SNA_FPStartDate,0,COLUMN()),"YYYYMMDD"),"END_DATE_OVERRIDE",TEXT(INDEX(MO_Common_QEndDate,0,COLUMN()),"YYYYMMDD")),"N/A")</f>
        <v>N/A</v>
      </c>
      <c r="F1072" s="220" t="str">
        <f ca="1">IFERROR(BDP(MO.Ticker.Bloomberg&amp;" Equity","INTERVAL_AVG","MARKET_DATA_OVERRIDE=PX_LAST","START_DATE_OVERRIDE",TEXT(INDEX(MO_SNA_FPStartDate,0,COLUMN()),"YYYYMMDD"),"END_DATE_OVERRIDE",TEXT(INDEX(MO_Common_QEndDate,0,COLUMN()),"YYYYMMDD")),"N/A")</f>
        <v>N/A</v>
      </c>
      <c r="G1072" s="220" t="str">
        <f ca="1">IFERROR(BDP(MO.Ticker.Bloomberg&amp;" Equity","INTERVAL_AVG","MARKET_DATA_OVERRIDE=PX_LAST","START_DATE_OVERRIDE",TEXT(INDEX(MO_SNA_FPStartDate,0,COLUMN()),"YYYYMMDD"),"END_DATE_OVERRIDE",TEXT(INDEX(MO_Common_QEndDate,0,COLUMN()),"YYYYMMDD")),"N/A")</f>
        <v>N/A</v>
      </c>
      <c r="H1072" s="220" t="str">
        <f ca="1">IFERROR(BDP(MO.Ticker.Bloomberg&amp;" Equity","INTERVAL_AVG","MARKET_DATA_OVERRIDE=PX_LAST","START_DATE_OVERRIDE",TEXT(INDEX(MO_SNA_FPStartDate,0,COLUMN()),"YYYYMMDD"),"END_DATE_OVERRIDE",TEXT(INDEX(MO_Common_QEndDate,0,COLUMN()),"YYYYMMDD")),"N/A")</f>
        <v>N/A</v>
      </c>
      <c r="I1072" s="220" t="str">
        <f ca="1">IFERROR(BDP(MO.Ticker.Bloomberg&amp;" Equity","INTERVAL_AVG","MARKET_DATA_OVERRIDE=PX_LAST","START_DATE_OVERRIDE",TEXT(INDEX(MO_SNA_FPStartDate,0,COLUMN()),"YYYYMMDD"),"END_DATE_OVERRIDE",TEXT(INDEX(MO_Common_QEndDate,0,COLUMN()),"YYYYMMDD")),"N/A")</f>
        <v>N/A</v>
      </c>
      <c r="J1072" s="220" t="str">
        <f ca="1">IFERROR(BDP(MO.Ticker.Bloomberg&amp;" Equity","INTERVAL_AVG","MARKET_DATA_OVERRIDE=PX_LAST","START_DATE_OVERRIDE",TEXT(INDEX(MO_SNA_FPStartDate,0,COLUMN()),"YYYYMMDD"),"END_DATE_OVERRIDE",TEXT(INDEX(MO_Common_QEndDate,0,COLUMN()),"YYYYMMDD")),"N/A")</f>
        <v>N/A</v>
      </c>
      <c r="K1072" s="220" t="str">
        <f ca="1">IFERROR(BDP(MO.Ticker.Bloomberg&amp;" Equity","INTERVAL_AVG","MARKET_DATA_OVERRIDE=PX_LAST","START_DATE_OVERRIDE",TEXT(INDEX(MO_SNA_FPStartDate,0,COLUMN()),"YYYYMMDD"),"END_DATE_OVERRIDE",TEXT(INDEX(MO_Common_QEndDate,0,COLUMN()),"YYYYMMDD")),"N/A")</f>
        <v>N/A</v>
      </c>
      <c r="L1072" s="220" t="str">
        <f ca="1">IFERROR(BDP(MO.Ticker.Bloomberg&amp;" Equity","INTERVAL_AVG","MARKET_DATA_OVERRIDE=PX_LAST","START_DATE_OVERRIDE",TEXT(INDEX(MO_SNA_FPStartDate,0,COLUMN()),"YYYYMMDD"),"END_DATE_OVERRIDE",TEXT(INDEX(MO_Common_QEndDate,0,COLUMN()),"YYYYMMDD")),"N/A")</f>
        <v>N/A</v>
      </c>
      <c r="M1072" s="220" t="str">
        <f ca="1">IFERROR(BDP(MO.Ticker.Bloomberg&amp;" Equity","INTERVAL_AVG","MARKET_DATA_OVERRIDE=PX_LAST","START_DATE_OVERRIDE",TEXT(INDEX(MO_SNA_FPStartDate,0,COLUMN()),"YYYYMMDD"),"END_DATE_OVERRIDE",TEXT(INDEX(MO_Common_QEndDate,0,COLUMN()),"YYYYMMDD")),"N/A")</f>
        <v>N/A</v>
      </c>
      <c r="N1072" s="220" t="str">
        <f ca="1">IFERROR(BDP(MO.Ticker.Bloomberg&amp;" Equity","INTERVAL_AVG","MARKET_DATA_OVERRIDE=PX_LAST","START_DATE_OVERRIDE",TEXT(INDEX(MO_SNA_FPStartDate,0,COLUMN()),"YYYYMMDD"),"END_DATE_OVERRIDE",TEXT(INDEX(MO_Common_QEndDate,0,COLUMN()),"YYYYMMDD")),"N/A")</f>
        <v>N/A</v>
      </c>
      <c r="O1072" s="220" t="str">
        <f ca="1">IFERROR(BDP(MO.Ticker.Bloomberg&amp;" Equity","INTERVAL_AVG","MARKET_DATA_OVERRIDE=PX_LAST","START_DATE_OVERRIDE",TEXT(INDEX(MO_SNA_FPStartDate,0,COLUMN()),"YYYYMMDD"),"END_DATE_OVERRIDE",TEXT(INDEX(MO_Common_QEndDate,0,COLUMN()),"YYYYMMDD")),"N/A")</f>
        <v>N/A</v>
      </c>
      <c r="P1072" s="220" t="str">
        <f ca="1">IFERROR(BDP(MO.Ticker.Bloomberg&amp;" Equity","INTERVAL_AVG","MARKET_DATA_OVERRIDE=PX_LAST","START_DATE_OVERRIDE",TEXT(INDEX(MO_SNA_FPStartDate,0,COLUMN()),"YYYYMMDD"),"END_DATE_OVERRIDE",TEXT(INDEX(MO_Common_QEndDate,0,COLUMN()),"YYYYMMDD")),"N/A")</f>
        <v>N/A</v>
      </c>
      <c r="Q1072" s="220" t="str">
        <f ca="1">IFERROR(BDP(MO.Ticker.Bloomberg&amp;" Equity","INTERVAL_AVG","MARKET_DATA_OVERRIDE=PX_LAST","START_DATE_OVERRIDE",TEXT(INDEX(MO_SNA_FPStartDate,0,COLUMN()),"YYYYMMDD"),"END_DATE_OVERRIDE",TEXT(INDEX(MO_Common_QEndDate,0,COLUMN()),"YYYYMMDD")),"N/A")</f>
        <v>N/A</v>
      </c>
      <c r="R1072" s="220" t="str">
        <f ca="1">IFERROR(BDP(MO.Ticker.Bloomberg&amp;" Equity","INTERVAL_AVG","MARKET_DATA_OVERRIDE=PX_LAST","START_DATE_OVERRIDE",TEXT(INDEX(MO_SNA_FPStartDate,0,COLUMN()),"YYYYMMDD"),"END_DATE_OVERRIDE",TEXT(INDEX(MO_Common_QEndDate,0,COLUMN()),"YYYYMMDD")),"N/A")</f>
        <v>N/A</v>
      </c>
      <c r="S1072" s="220" t="str">
        <f ca="1">IFERROR(BDP(MO.Ticker.Bloomberg&amp;" Equity","INTERVAL_AVG","MARKET_DATA_OVERRIDE=PX_LAST","START_DATE_OVERRIDE",TEXT(INDEX(MO_SNA_FPStartDate,0,COLUMN()),"YYYYMMDD"),"END_DATE_OVERRIDE",TEXT(INDEX(MO_Common_QEndDate,0,COLUMN()),"YYYYMMDD")),"N/A")</f>
        <v>N/A</v>
      </c>
      <c r="T1072" s="220" t="str">
        <f ca="1">IFERROR(BDP(MO.Ticker.Bloomberg&amp;" Equity","INTERVAL_AVG","MARKET_DATA_OVERRIDE=PX_LAST","START_DATE_OVERRIDE",TEXT(INDEX(MO_SNA_FPStartDate,0,COLUMN()),"YYYYMMDD"),"END_DATE_OVERRIDE",TEXT(INDEX(MO_Common_QEndDate,0,COLUMN()),"YYYYMMDD")),"N/A")</f>
        <v>N/A</v>
      </c>
      <c r="U1072" s="220" t="str">
        <f ca="1">IFERROR(BDP(MO.Ticker.Bloomberg&amp;" Equity","INTERVAL_AVG","MARKET_DATA_OVERRIDE=PX_LAST","START_DATE_OVERRIDE",TEXT(INDEX(MO_SNA_FPStartDate,0,COLUMN()),"YYYYMMDD"),"END_DATE_OVERRIDE",TEXT(INDEX(MO_Common_QEndDate,0,COLUMN()),"YYYYMMDD")),"N/A")</f>
        <v>N/A</v>
      </c>
      <c r="V1072" s="220" t="str">
        <f ca="1">IFERROR(BDP(MO.Ticker.Bloomberg&amp;" Equity","INTERVAL_AVG","MARKET_DATA_OVERRIDE=PX_LAST","START_DATE_OVERRIDE",TEXT(INDEX(MO_SNA_FPStartDate,0,COLUMN()),"YYYYMMDD"),"END_DATE_OVERRIDE",TEXT(INDEX(MO_Common_QEndDate,0,COLUMN()),"YYYYMMDD")),"N/A")</f>
        <v>N/A</v>
      </c>
      <c r="W1072" s="220" t="str">
        <f ca="1">IFERROR(BDP(MO.Ticker.Bloomberg&amp;" Equity","INTERVAL_AVG","MARKET_DATA_OVERRIDE=PX_LAST","START_DATE_OVERRIDE",TEXT(INDEX(MO_SNA_FPStartDate,0,COLUMN()),"YYYYMMDD"),"END_DATE_OVERRIDE",TEXT(INDEX(MO_Common_QEndDate,0,COLUMN()),"YYYYMMDD")),"N/A")</f>
        <v>N/A</v>
      </c>
      <c r="X1072" s="220" t="str">
        <f ca="1">IFERROR(BDP(MO.Ticker.Bloomberg&amp;" Equity","INTERVAL_AVG","MARKET_DATA_OVERRIDE=PX_LAST","START_DATE_OVERRIDE",TEXT(INDEX(MO_SNA_FPStartDate,0,COLUMN()),"YYYYMMDD"),"END_DATE_OVERRIDE",TEXT(INDEX(MO_Common_QEndDate,0,COLUMN()),"YYYYMMDD")),"N/A")</f>
        <v>N/A</v>
      </c>
      <c r="Y1072" s="220" t="str">
        <f ca="1">IFERROR(BDP(MO.Ticker.Bloomberg&amp;" Equity","INTERVAL_AVG","MARKET_DATA_OVERRIDE=PX_LAST","START_DATE_OVERRIDE",TEXT(INDEX(MO_SNA_FPStartDate,0,COLUMN()),"YYYYMMDD"),"END_DATE_OVERRIDE",TEXT(INDEX(MO_Common_QEndDate,0,COLUMN()),"YYYYMMDD")),"N/A")</f>
        <v>N/A</v>
      </c>
      <c r="Z1072" s="220" t="str">
        <f ca="1">IFERROR(BDP(MO.Ticker.Bloomberg&amp;" Equity","INTERVAL_AVG","MARKET_DATA_OVERRIDE=PX_LAST","START_DATE_OVERRIDE",TEXT(INDEX(MO_SNA_FPStartDate,0,COLUMN()),"YYYYMMDD"),"END_DATE_OVERRIDE",TEXT(INDEX(MO_Common_QEndDate,0,COLUMN()),"YYYYMMDD")),"N/A")</f>
        <v>N/A</v>
      </c>
      <c r="AA1072" s="220" t="str">
        <f ca="1">IFERROR(BDP(MO.Ticker.Bloomberg&amp;" Equity","INTERVAL_AVG","MARKET_DATA_OVERRIDE=PX_LAST","START_DATE_OVERRIDE",TEXT(INDEX(MO_SNA_FPStartDate,0,COLUMN()),"YYYYMMDD"),"END_DATE_OVERRIDE",TEXT(INDEX(MO_Common_QEndDate,0,COLUMN()),"YYYYMMDD")),"N/A")</f>
        <v>N/A</v>
      </c>
      <c r="AB1072" s="220" t="str">
        <f ca="1">IFERROR(BDP(MO.Ticker.Bloomberg&amp;" Equity","INTERVAL_AVG","MARKET_DATA_OVERRIDE=PX_LAST","START_DATE_OVERRIDE",TEXT(INDEX(MO_SNA_FPStartDate,0,COLUMN()),"YYYYMMDD"),"END_DATE_OVERRIDE",TEXT(INDEX(MO_Common_QEndDate,0,COLUMN()),"YYYYMMDD")),"N/A")</f>
        <v>N/A</v>
      </c>
      <c r="AC1072" s="220" t="str">
        <f ca="1">IFERROR(BDP(MO.Ticker.Bloomberg&amp;" Equity","INTERVAL_AVG","MARKET_DATA_OVERRIDE=PX_LAST","START_DATE_OVERRIDE",TEXT(INDEX(MO_SNA_FPStartDate,0,COLUMN()),"YYYYMMDD"),"END_DATE_OVERRIDE",TEXT(INDEX(MO_Common_QEndDate,0,COLUMN()),"YYYYMMDD")),"N/A")</f>
        <v>N/A</v>
      </c>
      <c r="AD1072" s="220" t="str">
        <f ca="1">IFERROR(BDP(MO.Ticker.Bloomberg&amp;" Equity","INTERVAL_AVG","MARKET_DATA_OVERRIDE=PX_LAST","START_DATE_OVERRIDE",TEXT(INDEX(MO_SNA_FPStartDate,0,COLUMN()),"YYYYMMDD"),"END_DATE_OVERRIDE",TEXT(INDEX(MO_Common_QEndDate,0,COLUMN()),"YYYYMMDD")),"N/A")</f>
        <v>N/A</v>
      </c>
      <c r="AE1072" s="220" t="str">
        <f ca="1">IFERROR(BDP(MO.Ticker.Bloomberg&amp;" Equity","INTERVAL_AVG","MARKET_DATA_OVERRIDE=PX_LAST","START_DATE_OVERRIDE",TEXT(INDEX(MO_SNA_FPStartDate,0,COLUMN()),"YYYYMMDD"),"END_DATE_OVERRIDE",TEXT(INDEX(MO_Common_QEndDate,0,COLUMN()),"YYYYMMDD")),"N/A")</f>
        <v>N/A</v>
      </c>
      <c r="AF1072" s="220" t="str">
        <f ca="1">IFERROR(BDP(MO.Ticker.Bloomberg&amp;" Equity","INTERVAL_AVG","MARKET_DATA_OVERRIDE=PX_LAST","START_DATE_OVERRIDE",TEXT(INDEX(MO_SNA_FPStartDate,0,COLUMN()),"YYYYMMDD"),"END_DATE_OVERRIDE",TEXT(INDEX(MO_Common_QEndDate,0,COLUMN()),"YYYYMMDD")),"N/A")</f>
        <v>N/A</v>
      </c>
      <c r="AG1072" s="220" t="str">
        <f ca="1">IFERROR(BDP(MO.Ticker.Bloomberg&amp;" Equity","INTERVAL_AVG","MARKET_DATA_OVERRIDE=PX_LAST","START_DATE_OVERRIDE",TEXT(INDEX(MO_SNA_FPStartDate,0,COLUMN()),"YYYYMMDD"),"END_DATE_OVERRIDE",TEXT(INDEX(MO_Common_QEndDate,0,COLUMN()),"YYYYMMDD")),"N/A")</f>
        <v>N/A</v>
      </c>
      <c r="AH1072" s="220" t="str">
        <f ca="1">IFERROR(BDP(MO.Ticker.Bloomberg&amp;" Equity","INTERVAL_AVG","MARKET_DATA_OVERRIDE=PX_LAST","START_DATE_OVERRIDE",TEXT(INDEX(MO_SNA_FPStartDate,0,COLUMN()),"YYYYMMDD"),"END_DATE_OVERRIDE",TEXT(INDEX(MO_Common_QEndDate,0,COLUMN()),"YYYYMMDD")),"N/A")</f>
        <v>N/A</v>
      </c>
      <c r="AI1072" s="220" t="str">
        <f ca="1">IFERROR(BDP(MO.Ticker.Bloomberg&amp;" Equity","INTERVAL_AVG","MARKET_DATA_OVERRIDE=PX_LAST","START_DATE_OVERRIDE",TEXT(INDEX(MO_SNA_FPStartDate,0,COLUMN()),"YYYYMMDD"),"END_DATE_OVERRIDE",TEXT(INDEX(MO_Common_QEndDate,0,COLUMN()),"YYYYMMDD")),"N/A")</f>
        <v>N/A</v>
      </c>
      <c r="AJ1072" s="220" t="str">
        <f ca="1">IFERROR(BDP(MO.Ticker.Bloomberg&amp;" Equity","INTERVAL_AVG","MARKET_DATA_OVERRIDE=PX_LAST","START_DATE_OVERRIDE",TEXT(INDEX(MO_SNA_FPStartDate,0,COLUMN()),"YYYYMMDD"),"END_DATE_OVERRIDE",TEXT(INDEX(MO_Common_QEndDate,0,COLUMN()),"YYYYMMDD")),"N/A")</f>
        <v>N/A</v>
      </c>
      <c r="AK1072" s="220" t="str">
        <f ca="1">IFERROR(BDP(MO.Ticker.Bloomberg&amp;" Equity","INTERVAL_AVG","MARKET_DATA_OVERRIDE=PX_LAST","START_DATE_OVERRIDE",TEXT(INDEX(MO_SNA_FPStartDate,0,COLUMN()),"YYYYMMDD"),"END_DATE_OVERRIDE",TEXT(INDEX(MO_Common_QEndDate,0,COLUMN()),"YYYYMMDD")),"N/A")</f>
        <v>N/A</v>
      </c>
      <c r="AL1072" s="220" t="str">
        <f ca="1">IFERROR(BDP(MO.Ticker.Bloomberg&amp;" Equity","INTERVAL_AVG","MARKET_DATA_OVERRIDE=PX_LAST","START_DATE_OVERRIDE",TEXT(INDEX(MO_SNA_FPStartDate,0,COLUMN()),"YYYYMMDD"),"END_DATE_OVERRIDE",TEXT(INDEX(MO_Common_QEndDate,0,COLUMN()),"YYYYMMDD")),"N/A")</f>
        <v>N/A</v>
      </c>
      <c r="AM1072" s="220" t="str">
        <f ca="1">IFERROR(BDP(MO.Ticker.Bloomberg&amp;" Equity","INTERVAL_AVG","MARKET_DATA_OVERRIDE=PX_LAST","START_DATE_OVERRIDE",TEXT(INDEX(MO_SNA_FPStartDate,0,COLUMN()),"YYYYMMDD"),"END_DATE_OVERRIDE",TEXT(INDEX(MO_Common_QEndDate,0,COLUMN()),"YYYYMMDD")),"N/A")</f>
        <v>N/A</v>
      </c>
      <c r="AN1072" s="220" t="str">
        <f ca="1">IFERROR(BDP(MO.Ticker.Bloomberg&amp;" Equity","INTERVAL_AVG","MARKET_DATA_OVERRIDE=PX_LAST","START_DATE_OVERRIDE",TEXT(INDEX(MO_SNA_FPStartDate,0,COLUMN()),"YYYYMMDD"),"END_DATE_OVERRIDE",TEXT(INDEX(MO_Common_QEndDate,0,COLUMN()),"YYYYMMDD")),"N/A")</f>
        <v>N/A</v>
      </c>
      <c r="AO1072" s="220" t="str">
        <f ca="1">IFERROR(BDP(MO.Ticker.Bloomberg&amp;" Equity","INTERVAL_AVG","MARKET_DATA_OVERRIDE=PX_LAST","START_DATE_OVERRIDE",TEXT(INDEX(MO_SNA_FPStartDate,0,COLUMN()),"YYYYMMDD"),"END_DATE_OVERRIDE",TEXT(INDEX(MO_Common_QEndDate,0,COLUMN()),"YYYYMMDD")),"N/A")</f>
        <v>N/A</v>
      </c>
      <c r="AP1072" s="220" t="str">
        <f ca="1">IFERROR(BDP(MO.Ticker.Bloomberg&amp;" Equity","INTERVAL_AVG","MARKET_DATA_OVERRIDE=PX_LAST","START_DATE_OVERRIDE",TEXT(INDEX(MO_SNA_FPStartDate,0,COLUMN()),"YYYYMMDD"),"END_DATE_OVERRIDE",TEXT(INDEX(MO_Common_QEndDate,0,COLUMN()),"YYYYMMDD")),"N/A")</f>
        <v>N/A</v>
      </c>
      <c r="AQ1072" s="220" t="str">
        <f ca="1">IFERROR(BDP(MO.Ticker.Bloomberg&amp;" Equity","INTERVAL_AVG","MARKET_DATA_OVERRIDE=PX_LAST","START_DATE_OVERRIDE",TEXT(INDEX(MO_SNA_FPStartDate,0,COLUMN()),"YYYYMMDD"),"END_DATE_OVERRIDE",TEXT(INDEX(MO_Common_QEndDate,0,COLUMN()),"YYYYMMDD")),"N/A")</f>
        <v>N/A</v>
      </c>
      <c r="AR1072" s="220" t="str">
        <f ca="1">IFERROR(BDP(MO.Ticker.Bloomberg&amp;" Equity","INTERVAL_AVG","MARKET_DATA_OVERRIDE=PX_LAST","START_DATE_OVERRIDE",TEXT(INDEX(MO_SNA_FPStartDate,0,COLUMN()),"YYYYMMDD"),"END_DATE_OVERRIDE",TEXT(INDEX(MO_Common_QEndDate,0,COLUMN()),"YYYYMMDD")),"N/A")</f>
        <v>N/A</v>
      </c>
      <c r="AS1072" s="220" t="str">
        <f ca="1">IFERROR(BDP(MO.Ticker.Bloomberg&amp;" Equity","INTERVAL_AVG","MARKET_DATA_OVERRIDE=PX_LAST","START_DATE_OVERRIDE",TEXT(INDEX(MO_SNA_FPStartDate,0,COLUMN()),"YYYYMMDD"),"END_DATE_OVERRIDE",TEXT(INDEX(MO_Common_QEndDate,0,COLUMN()),"YYYYMMDD")),"N/A")</f>
        <v>N/A</v>
      </c>
      <c r="AT1072" s="220" t="str">
        <f ca="1">IFERROR(BDP(MO.Ticker.Bloomberg&amp;" Equity","INTERVAL_AVG","MARKET_DATA_OVERRIDE=PX_LAST","START_DATE_OVERRIDE",TEXT(INDEX(MO_SNA_FPStartDate,0,COLUMN()),"YYYYMMDD"),"END_DATE_OVERRIDE",TEXT(INDEX(MO_Common_QEndDate,0,COLUMN()),"YYYYMMDD")),"N/A")</f>
        <v>N/A</v>
      </c>
      <c r="AU1072" s="220" t="str">
        <f ca="1">IFERROR(BDP(MO.Ticker.Bloomberg&amp;" Equity","INTERVAL_AVG","MARKET_DATA_OVERRIDE=PX_LAST","START_DATE_OVERRIDE",TEXT(INDEX(MO_SNA_FPStartDate,0,COLUMN()),"YYYYMMDD"),"END_DATE_OVERRIDE",TEXT(INDEX(MO_Common_QEndDate,0,COLUMN()),"YYYYMMDD")),"N/A")</f>
        <v>N/A</v>
      </c>
      <c r="AV1072" s="220" t="str">
        <f ca="1">IFERROR(BDP(MO.Ticker.Bloomberg&amp;" Equity","INTERVAL_AVG","MARKET_DATA_OVERRIDE=PX_LAST","START_DATE_OVERRIDE",TEXT(INDEX(MO_SNA_FPStartDate,0,COLUMN()),"YYYYMMDD"),"END_DATE_OVERRIDE",TEXT(INDEX(MO_Common_QEndDate,0,COLUMN()),"YYYYMMDD")),"N/A")</f>
        <v>N/A</v>
      </c>
      <c r="AW1072" s="220" t="str">
        <f ca="1">IFERROR(BDP(MO.Ticker.Bloomberg&amp;" Equity","INTERVAL_AVG","MARKET_DATA_OVERRIDE=PX_LAST","START_DATE_OVERRIDE",TEXT(INDEX(MO_SNA_FPStartDate,0,COLUMN()),"YYYYMMDD"),"END_DATE_OVERRIDE",TEXT(INDEX(MO_Common_QEndDate,0,COLUMN()),"YYYYMMDD")),"N/A")</f>
        <v>N/A</v>
      </c>
      <c r="AX1072" s="220" t="str">
        <f ca="1">IFERROR(BDP(MO.Ticker.Bloomberg&amp;" Equity","INTERVAL_AVG","MARKET_DATA_OVERRIDE=PX_LAST","START_DATE_OVERRIDE",TEXT(INDEX(MO_SNA_FPStartDate,0,COLUMN()),"YYYYMMDD"),"END_DATE_OVERRIDE",TEXT(INDEX(MO_Common_QEndDate,0,COLUMN()),"YYYYMMDD")),"N/A")</f>
        <v>N/A</v>
      </c>
      <c r="AY1072" s="220" t="str">
        <f ca="1">IFERROR(BDP(MO.Ticker.Bloomberg&amp;" Equity","INTERVAL_AVG","MARKET_DATA_OVERRIDE=PX_LAST","START_DATE_OVERRIDE",TEXT(INDEX(MO_SNA_FPStartDate,0,COLUMN()),"YYYYMMDD"),"END_DATE_OVERRIDE",TEXT(INDEX(MO_Common_QEndDate,0,COLUMN()),"YYYYMMDD")),"N/A")</f>
        <v>N/A</v>
      </c>
      <c r="AZ1072" s="220" t="str">
        <f ca="1">IFERROR(BDP(MO.Ticker.Bloomberg&amp;" Equity","INTERVAL_AVG","MARKET_DATA_OVERRIDE=PX_LAST","START_DATE_OVERRIDE",TEXT(INDEX(MO_SNA_FPStartDate,0,COLUMN()),"YYYYMMDD"),"END_DATE_OVERRIDE",TEXT(INDEX(MO_Common_QEndDate,0,COLUMN()),"YYYYMMDD")),"N/A")</f>
        <v>N/A</v>
      </c>
      <c r="BA1072" s="220" t="str">
        <f ca="1">IFERROR(BDP(MO.Ticker.Bloomberg&amp;" Equity","INTERVAL_AVG","MARKET_DATA_OVERRIDE=PX_LAST","START_DATE_OVERRIDE",TEXT(INDEX(MO_SNA_FPStartDate,0,COLUMN()),"YYYYMMDD"),"END_DATE_OVERRIDE",TEXT(INDEX(MO_Common_QEndDate,0,COLUMN()),"YYYYMMDD")),"N/A")</f>
        <v>N/A</v>
      </c>
      <c r="BB1072" s="220" t="str">
        <f ca="1">IFERROR(BDP(MO.Ticker.Bloomberg&amp;" Equity","INTERVAL_AVG","MARKET_DATA_OVERRIDE=PX_LAST","START_DATE_OVERRIDE",TEXT(INDEX(MO_SNA_FPStartDate,0,COLUMN()),"YYYYMMDD"),"END_DATE_OVERRIDE",TEXT(INDEX(MO_Common_QEndDate,0,COLUMN()),"YYYYMMDD")),"N/A")</f>
        <v>N/A</v>
      </c>
      <c r="BC1072" s="220" t="str">
        <f ca="1">IFERROR(BDP(MO.Ticker.Bloomberg&amp;" Equity","INTERVAL_AVG","MARKET_DATA_OVERRIDE=PX_LAST","START_DATE_OVERRIDE",TEXT(INDEX(MO_SNA_FPStartDate,0,COLUMN()),"YYYYMMDD"),"END_DATE_OVERRIDE",TEXT(INDEX(MO_Common_QEndDate,0,COLUMN()),"YYYYMMDD")),"N/A")</f>
        <v>N/A</v>
      </c>
      <c r="BD1072" s="220" t="str">
        <f ca="1">IFERROR(BDP(MO.Ticker.Bloomberg&amp;" Equity","INTERVAL_AVG","MARKET_DATA_OVERRIDE=PX_LAST","START_DATE_OVERRIDE",TEXT(INDEX(MO_SNA_FPStartDate,0,COLUMN()),"YYYYMMDD"),"END_DATE_OVERRIDE",TEXT(INDEX(MO_Common_QEndDate,0,COLUMN()),"YYYYMMDD")),"N/A")</f>
        <v>N/A</v>
      </c>
      <c r="BE1072" s="220" t="str">
        <f ca="1">IFERROR(BDP(MO.Ticker.Bloomberg&amp;" Equity","INTERVAL_AVG","MARKET_DATA_OVERRIDE=PX_LAST","START_DATE_OVERRIDE",TEXT(INDEX(MO_SNA_FPStartDate,0,COLUMN()),"YYYYMMDD"),"END_DATE_OVERRIDE",TEXT(INDEX(MO_Common_QEndDate,0,COLUMN()),"YYYYMMDD")),"N/A")</f>
        <v>N/A</v>
      </c>
      <c r="BF1072" s="220" t="str">
        <f ca="1">IFERROR(BDP(MO.Ticker.Bloomberg&amp;" Equity","INTERVAL_AVG","MARKET_DATA_OVERRIDE=PX_LAST","START_DATE_OVERRIDE",TEXT(INDEX(MO_SNA_FPStartDate,0,COLUMN()),"YYYYMMDD"),"END_DATE_OVERRIDE",TEXT(INDEX(MO_Common_QEndDate,0,COLUMN()),"YYYYMMDD")),"N/A")</f>
        <v>N/A</v>
      </c>
      <c r="BG1072" s="220" t="str">
        <f ca="1">IFERROR(BDP(MO.Ticker.Bloomberg&amp;" Equity","INTERVAL_AVG","MARKET_DATA_OVERRIDE=PX_LAST","START_DATE_OVERRIDE",TEXT(INDEX(MO_SNA_FPStartDate,0,COLUMN()),"YYYYMMDD"),"END_DATE_OVERRIDE",TEXT(INDEX(MO_Common_QEndDate,0,COLUMN()),"YYYYMMDD")),"N/A")</f>
        <v>N/A</v>
      </c>
      <c r="BH1072" s="378" t="str">
        <f ca="1">IFERROR(BDP(MO.Ticker.Bloomberg&amp;" Equity","INTERVAL_AVG","MARKET_DATA_OVERRIDE=PX_LAST","START_DATE_OVERRIDE",TEXT(INDEX(MO_SNA_FPStartDate,0,COLUMN()),"YYYYMMDD"),"END_DATE_OVERRIDE",TEXT(INDEX(MO_Common_QEndDate,0,COLUMN()),"YYYYMMDD")),"N/A")</f>
        <v>N/A</v>
      </c>
      <c r="BI1072" s="175" t="str">
        <f ca="1">IFERROR(BDP(MO.Ticker.Bloomberg&amp;" Equity","INTERVAL_AVG","MARKET_DATA_OVERRIDE=PX_LAST","START_DATE_OVERRIDE",TEXT(INDEX(MO_SNA_FPStartDate,0,COLUMN()),"YYYYMMDD"),"END_DATE_OVERRIDE",TEXT(INDEX(MO_Common_QEndDate,0,COLUMN()),"YYYYMMDD")),"N/A")</f>
        <v>N/A</v>
      </c>
      <c r="BJ1072" s="175" t="str">
        <f ca="1">IFERROR(BDP(MO.Ticker.Bloomberg&amp;" Equity","INTERVAL_AVG","MARKET_DATA_OVERRIDE=PX_LAST","START_DATE_OVERRIDE",TEXT(INDEX(MO_SNA_FPStartDate,0,COLUMN()),"YYYYMMDD"),"END_DATE_OVERRIDE",TEXT(INDEX(MO_Common_QEndDate,0,COLUMN()),"YYYYMMDD")),"N/A")</f>
        <v>N/A</v>
      </c>
      <c r="BK1072" s="175" t="str">
        <f ca="1">IFERROR(BDP(MO.Ticker.Bloomberg&amp;" Equity","INTERVAL_AVG","MARKET_DATA_OVERRIDE=PX_LAST","START_DATE_OVERRIDE",TEXT(INDEX(MO_SNA_FPStartDate,0,COLUMN()),"YYYYMMDD"),"END_DATE_OVERRIDE",TEXT(INDEX(MO_Common_QEndDate,0,COLUMN()),"YYYYMMDD")),"N/A")</f>
        <v>N/A</v>
      </c>
      <c r="BL1072" s="175" t="str">
        <f ca="1">IFERROR(BDP(MO.Ticker.Bloomberg&amp;" Equity","INTERVAL_AVG","MARKET_DATA_OVERRIDE=PX_LAST","START_DATE_OVERRIDE",TEXT(INDEX(MO_SNA_FPStartDate,0,COLUMN()),"YYYYMMDD"),"END_DATE_OVERRIDE",TEXT(INDEX(MO_Common_QEndDate,0,COLUMN()),"YYYYMMDD")),"N/A")</f>
        <v>N/A</v>
      </c>
      <c r="BM1072" s="175" t="str">
        <f ca="1">IFERROR(BDP(MO.Ticker.Bloomberg&amp;" Equity","INTERVAL_AVG","MARKET_DATA_OVERRIDE=PX_LAST","START_DATE_OVERRIDE",TEXT(INDEX(MO_SNA_FPStartDate,0,COLUMN()),"YYYYMMDD"),"END_DATE_OVERRIDE",TEXT(INDEX(MO_Common_QEndDate,0,COLUMN()),"YYYYMMDD")),"N/A")</f>
        <v>N/A</v>
      </c>
      <c r="BN1072" s="175" t="str">
        <f ca="1">IFERROR(BDP(MO.Ticker.Bloomberg&amp;" Equity","INTERVAL_AVG","MARKET_DATA_OVERRIDE=PX_LAST","START_DATE_OVERRIDE",TEXT(INDEX(MO_SNA_FPStartDate,0,COLUMN()),"YYYYMMDD"),"END_DATE_OVERRIDE",TEXT(INDEX(MO_Common_QEndDate,0,COLUMN()),"YYYYMMDD")),"N/A")</f>
        <v>N/A</v>
      </c>
      <c r="BO1072" s="175" t="str">
        <f ca="1">IFERROR(BDP(MO.Ticker.Bloomberg&amp;" Equity","INTERVAL_AVG","MARKET_DATA_OVERRIDE=PX_LAST","START_DATE_OVERRIDE",TEXT(INDEX(MO_SNA_FPStartDate,0,COLUMN()),"YYYYMMDD"),"END_DATE_OVERRIDE",TEXT(INDEX(MO_Common_QEndDate,0,COLUMN()),"YYYYMMDD")),"N/A")</f>
        <v>N/A</v>
      </c>
      <c r="BP1072" s="220" t="str">
        <f ca="1">IFERROR(BDP(MO.Ticker.Bloomberg&amp;" Equity","INTERVAL_AVG","MARKET_DATA_OVERRIDE=PX_LAST","START_DATE_OVERRIDE",TEXT(INDEX(MO_SNA_FPStartDate,0,COLUMN()),"YYYYMMDD"),"END_DATE_OVERRIDE",TEXT(INDEX(MO_Common_QEndDate,0,COLUMN()),"YYYYMMDD")),"N/A")</f>
        <v>N/A</v>
      </c>
      <c r="BQ1072" s="220" t="str">
        <f ca="1">IFERROR(BDP(MO.Ticker.Bloomberg&amp;" Equity","INTERVAL_AVG","MARKET_DATA_OVERRIDE=PX_LAST","START_DATE_OVERRIDE",TEXT(INDEX(MO_SNA_FPStartDate,0,COLUMN()),"YYYYMMDD"),"END_DATE_OVERRIDE",TEXT(INDEX(MO_Common_QEndDate,0,COLUMN()),"YYYYMMDD")),"N/A")</f>
        <v>N/A</v>
      </c>
      <c r="BR1072" s="176" t="str">
        <f ca="1">IFERROR(BDP(MO.Ticker.Bloomberg&amp;" Equity","INTERVAL_AVG","MARKET_DATA_OVERRIDE=PX_LAST","START_DATE_OVERRIDE",TEXT(INDEX(MO_SNA_FPStartDate,0,COLUMN()),"YYYYMMDD"),"END_DATE_OVERRIDE",TEXT(INDEX(MO_Common_QEndDate,0,COLUMN()),"YYYYMMDD")),"N/A")</f>
        <v>N/A</v>
      </c>
      <c r="BS1072" s="268"/>
    </row>
    <row r="1073" spans="1:71" s="694" customFormat="1" ht="15" hidden="1" outlineLevel="1">
      <c r="A1073" s="177" t="s">
        <v>263</v>
      </c>
      <c r="B1073" s="175"/>
      <c r="C1073" s="303" t="str">
        <f ca="1">IFERROR(CIQAVG(MO.Ticker.CapIQ,"IQ_LASTSALEPRICE",INDEX(MO_SNA_FPStartDate,0,COLUMN()),INDEX(MO_Common_QEndDate,0,COLUMN())),"N/A")</f>
        <v>N/A</v>
      </c>
      <c r="D1073" s="303" t="str">
        <f ca="1">IFERROR(CIQAVG(MO.Ticker.CapIQ,"IQ_LASTSALEPRICE",INDEX(MO_SNA_FPStartDate,0,COLUMN()),INDEX(MO_Common_QEndDate,0,COLUMN())),"N/A")</f>
        <v>N/A</v>
      </c>
      <c r="E1073" s="220" t="str">
        <f ca="1">IFERROR(CIQAVG(MO.Ticker.CapIQ,"IQ_LASTSALEPRICE",INDEX(MO_SNA_FPStartDate,0,COLUMN()),INDEX(MO_Common_QEndDate,0,COLUMN())),"N/A")</f>
        <v>N/A</v>
      </c>
      <c r="F1073" s="220" t="str">
        <f ca="1">IFERROR(CIQAVG(MO.Ticker.CapIQ,"IQ_LASTSALEPRICE",INDEX(MO_SNA_FPStartDate,0,COLUMN()),INDEX(MO_Common_QEndDate,0,COLUMN())),"N/A")</f>
        <v>N/A</v>
      </c>
      <c r="G1073" s="220" t="str">
        <f ca="1">IFERROR(CIQAVG(MO.Ticker.CapIQ,"IQ_LASTSALEPRICE",INDEX(MO_SNA_FPStartDate,0,COLUMN()),INDEX(MO_Common_QEndDate,0,COLUMN())),"N/A")</f>
        <v>N/A</v>
      </c>
      <c r="H1073" s="220" t="str">
        <f ca="1">IFERROR(CIQAVG(MO.Ticker.CapIQ,"IQ_LASTSALEPRICE",INDEX(MO_SNA_FPStartDate,0,COLUMN()),INDEX(MO_Common_QEndDate,0,COLUMN())),"N/A")</f>
        <v>N/A</v>
      </c>
      <c r="I1073" s="220" t="str">
        <f ca="1">IFERROR(CIQAVG(MO.Ticker.CapIQ,"IQ_LASTSALEPRICE",INDEX(MO_SNA_FPStartDate,0,COLUMN()),INDEX(MO_Common_QEndDate,0,COLUMN())),"N/A")</f>
        <v>N/A</v>
      </c>
      <c r="J1073" s="220" t="str">
        <f ca="1">IFERROR(CIQAVG(MO.Ticker.CapIQ,"IQ_LASTSALEPRICE",INDEX(MO_SNA_FPStartDate,0,COLUMN()),INDEX(MO_Common_QEndDate,0,COLUMN())),"N/A")</f>
        <v>N/A</v>
      </c>
      <c r="K1073" s="220" t="str">
        <f ca="1">IFERROR(CIQAVG(MO.Ticker.CapIQ,"IQ_LASTSALEPRICE",INDEX(MO_SNA_FPStartDate,0,COLUMN()),INDEX(MO_Common_QEndDate,0,COLUMN())),"N/A")</f>
        <v>N/A</v>
      </c>
      <c r="L1073" s="220" t="str">
        <f ca="1">IFERROR(CIQAVG(MO.Ticker.CapIQ,"IQ_LASTSALEPRICE",INDEX(MO_SNA_FPStartDate,0,COLUMN()),INDEX(MO_Common_QEndDate,0,COLUMN())),"N/A")</f>
        <v>N/A</v>
      </c>
      <c r="M1073" s="220" t="str">
        <f ca="1">IFERROR(CIQAVG(MO.Ticker.CapIQ,"IQ_LASTSALEPRICE",INDEX(MO_SNA_FPStartDate,0,COLUMN()),INDEX(MO_Common_QEndDate,0,COLUMN())),"N/A")</f>
        <v>N/A</v>
      </c>
      <c r="N1073" s="220" t="str">
        <f ca="1">IFERROR(CIQAVG(MO.Ticker.CapIQ,"IQ_LASTSALEPRICE",INDEX(MO_SNA_FPStartDate,0,COLUMN()),INDEX(MO_Common_QEndDate,0,COLUMN())),"N/A")</f>
        <v>N/A</v>
      </c>
      <c r="O1073" s="220" t="str">
        <f ca="1">IFERROR(CIQAVG(MO.Ticker.CapIQ,"IQ_LASTSALEPRICE",INDEX(MO_SNA_FPStartDate,0,COLUMN()),INDEX(MO_Common_QEndDate,0,COLUMN())),"N/A")</f>
        <v>N/A</v>
      </c>
      <c r="P1073" s="220" t="str">
        <f ca="1">IFERROR(CIQAVG(MO.Ticker.CapIQ,"IQ_LASTSALEPRICE",INDEX(MO_SNA_FPStartDate,0,COLUMN()),INDEX(MO_Common_QEndDate,0,COLUMN())),"N/A")</f>
        <v>N/A</v>
      </c>
      <c r="Q1073" s="220" t="str">
        <f ca="1">IFERROR(CIQAVG(MO.Ticker.CapIQ,"IQ_LASTSALEPRICE",INDEX(MO_SNA_FPStartDate,0,COLUMN()),INDEX(MO_Common_QEndDate,0,COLUMN())),"N/A")</f>
        <v>N/A</v>
      </c>
      <c r="R1073" s="220" t="str">
        <f ca="1">IFERROR(CIQAVG(MO.Ticker.CapIQ,"IQ_LASTSALEPRICE",INDEX(MO_SNA_FPStartDate,0,COLUMN()),INDEX(MO_Common_QEndDate,0,COLUMN())),"N/A")</f>
        <v>N/A</v>
      </c>
      <c r="S1073" s="220" t="str">
        <f ca="1">IFERROR(CIQAVG(MO.Ticker.CapIQ,"IQ_LASTSALEPRICE",INDEX(MO_SNA_FPStartDate,0,COLUMN()),INDEX(MO_Common_QEndDate,0,COLUMN())),"N/A")</f>
        <v>N/A</v>
      </c>
      <c r="T1073" s="220" t="str">
        <f ca="1">IFERROR(CIQAVG(MO.Ticker.CapIQ,"IQ_LASTSALEPRICE",INDEX(MO_SNA_FPStartDate,0,COLUMN()),INDEX(MO_Common_QEndDate,0,COLUMN())),"N/A")</f>
        <v>N/A</v>
      </c>
      <c r="U1073" s="220" t="str">
        <f ca="1">IFERROR(CIQAVG(MO.Ticker.CapIQ,"IQ_LASTSALEPRICE",INDEX(MO_SNA_FPStartDate,0,COLUMN()),INDEX(MO_Common_QEndDate,0,COLUMN())),"N/A")</f>
        <v>N/A</v>
      </c>
      <c r="V1073" s="220" t="str">
        <f ca="1">IFERROR(CIQAVG(MO.Ticker.CapIQ,"IQ_LASTSALEPRICE",INDEX(MO_SNA_FPStartDate,0,COLUMN()),INDEX(MO_Common_QEndDate,0,COLUMN())),"N/A")</f>
        <v>N/A</v>
      </c>
      <c r="W1073" s="220" t="str">
        <f ca="1">IFERROR(CIQAVG(MO.Ticker.CapIQ,"IQ_LASTSALEPRICE",INDEX(MO_SNA_FPStartDate,0,COLUMN()),INDEX(MO_Common_QEndDate,0,COLUMN())),"N/A")</f>
        <v>N/A</v>
      </c>
      <c r="X1073" s="220" t="str">
        <f ca="1">IFERROR(CIQAVG(MO.Ticker.CapIQ,"IQ_LASTSALEPRICE",INDEX(MO_SNA_FPStartDate,0,COLUMN()),INDEX(MO_Common_QEndDate,0,COLUMN())),"N/A")</f>
        <v>N/A</v>
      </c>
      <c r="Y1073" s="220" t="str">
        <f ca="1">IFERROR(CIQAVG(MO.Ticker.CapIQ,"IQ_LASTSALEPRICE",INDEX(MO_SNA_FPStartDate,0,COLUMN()),INDEX(MO_Common_QEndDate,0,COLUMN())),"N/A")</f>
        <v>N/A</v>
      </c>
      <c r="Z1073" s="220" t="str">
        <f ca="1">IFERROR(CIQAVG(MO.Ticker.CapIQ,"IQ_LASTSALEPRICE",INDEX(MO_SNA_FPStartDate,0,COLUMN()),INDEX(MO_Common_QEndDate,0,COLUMN())),"N/A")</f>
        <v>N/A</v>
      </c>
      <c r="AA1073" s="220" t="str">
        <f ca="1">IFERROR(CIQAVG(MO.Ticker.CapIQ,"IQ_LASTSALEPRICE",INDEX(MO_SNA_FPStartDate,0,COLUMN()),INDEX(MO_Common_QEndDate,0,COLUMN())),"N/A")</f>
        <v>N/A</v>
      </c>
      <c r="AB1073" s="220" t="str">
        <f ca="1">IFERROR(CIQAVG(MO.Ticker.CapIQ,"IQ_LASTSALEPRICE",INDEX(MO_SNA_FPStartDate,0,COLUMN()),INDEX(MO_Common_QEndDate,0,COLUMN())),"N/A")</f>
        <v>N/A</v>
      </c>
      <c r="AC1073" s="220" t="str">
        <f ca="1">IFERROR(CIQAVG(MO.Ticker.CapIQ,"IQ_LASTSALEPRICE",INDEX(MO_SNA_FPStartDate,0,COLUMN()),INDEX(MO_Common_QEndDate,0,COLUMN())),"N/A")</f>
        <v>N/A</v>
      </c>
      <c r="AD1073" s="220" t="str">
        <f ca="1">IFERROR(CIQAVG(MO.Ticker.CapIQ,"IQ_LASTSALEPRICE",INDEX(MO_SNA_FPStartDate,0,COLUMN()),INDEX(MO_Common_QEndDate,0,COLUMN())),"N/A")</f>
        <v>N/A</v>
      </c>
      <c r="AE1073" s="220" t="str">
        <f ca="1">IFERROR(CIQAVG(MO.Ticker.CapIQ,"IQ_LASTSALEPRICE",INDEX(MO_SNA_FPStartDate,0,COLUMN()),INDEX(MO_Common_QEndDate,0,COLUMN())),"N/A")</f>
        <v>N/A</v>
      </c>
      <c r="AF1073" s="220" t="str">
        <f ca="1">IFERROR(CIQAVG(MO.Ticker.CapIQ,"IQ_LASTSALEPRICE",INDEX(MO_SNA_FPStartDate,0,COLUMN()),INDEX(MO_Common_QEndDate,0,COLUMN())),"N/A")</f>
        <v>N/A</v>
      </c>
      <c r="AG1073" s="220" t="str">
        <f ca="1">IFERROR(CIQAVG(MO.Ticker.CapIQ,"IQ_LASTSALEPRICE",INDEX(MO_SNA_FPStartDate,0,COLUMN()),INDEX(MO_Common_QEndDate,0,COLUMN())),"N/A")</f>
        <v>N/A</v>
      </c>
      <c r="AH1073" s="220" t="str">
        <f ca="1">IFERROR(CIQAVG(MO.Ticker.CapIQ,"IQ_LASTSALEPRICE",INDEX(MO_SNA_FPStartDate,0,COLUMN()),INDEX(MO_Common_QEndDate,0,COLUMN())),"N/A")</f>
        <v>N/A</v>
      </c>
      <c r="AI1073" s="220" t="str">
        <f ca="1">IFERROR(CIQAVG(MO.Ticker.CapIQ,"IQ_LASTSALEPRICE",INDEX(MO_SNA_FPStartDate,0,COLUMN()),INDEX(MO_Common_QEndDate,0,COLUMN())),"N/A")</f>
        <v>N/A</v>
      </c>
      <c r="AJ1073" s="220" t="str">
        <f ca="1">IFERROR(CIQAVG(MO.Ticker.CapIQ,"IQ_LASTSALEPRICE",INDEX(MO_SNA_FPStartDate,0,COLUMN()),INDEX(MO_Common_QEndDate,0,COLUMN())),"N/A")</f>
        <v>N/A</v>
      </c>
      <c r="AK1073" s="220" t="str">
        <f ca="1">IFERROR(CIQAVG(MO.Ticker.CapIQ,"IQ_LASTSALEPRICE",INDEX(MO_SNA_FPStartDate,0,COLUMN()),INDEX(MO_Common_QEndDate,0,COLUMN())),"N/A")</f>
        <v>N/A</v>
      </c>
      <c r="AL1073" s="220" t="str">
        <f ca="1">IFERROR(CIQAVG(MO.Ticker.CapIQ,"IQ_LASTSALEPRICE",INDEX(MO_SNA_FPStartDate,0,COLUMN()),INDEX(MO_Common_QEndDate,0,COLUMN())),"N/A")</f>
        <v>N/A</v>
      </c>
      <c r="AM1073" s="220" t="str">
        <f ca="1">IFERROR(CIQAVG(MO.Ticker.CapIQ,"IQ_LASTSALEPRICE",INDEX(MO_SNA_FPStartDate,0,COLUMN()),INDEX(MO_Common_QEndDate,0,COLUMN())),"N/A")</f>
        <v>N/A</v>
      </c>
      <c r="AN1073" s="220" t="str">
        <f ca="1">IFERROR(CIQAVG(MO.Ticker.CapIQ,"IQ_LASTSALEPRICE",INDEX(MO_SNA_FPStartDate,0,COLUMN()),INDEX(MO_Common_QEndDate,0,COLUMN())),"N/A")</f>
        <v>N/A</v>
      </c>
      <c r="AO1073" s="220" t="str">
        <f ca="1">IFERROR(CIQAVG(MO.Ticker.CapIQ,"IQ_LASTSALEPRICE",INDEX(MO_SNA_FPStartDate,0,COLUMN()),INDEX(MO_Common_QEndDate,0,COLUMN())),"N/A")</f>
        <v>N/A</v>
      </c>
      <c r="AP1073" s="220" t="str">
        <f ca="1">IFERROR(CIQAVG(MO.Ticker.CapIQ,"IQ_LASTSALEPRICE",INDEX(MO_SNA_FPStartDate,0,COLUMN()),INDEX(MO_Common_QEndDate,0,COLUMN())),"N/A")</f>
        <v>N/A</v>
      </c>
      <c r="AQ1073" s="220" t="str">
        <f ca="1">IFERROR(CIQAVG(MO.Ticker.CapIQ,"IQ_LASTSALEPRICE",INDEX(MO_SNA_FPStartDate,0,COLUMN()),INDEX(MO_Common_QEndDate,0,COLUMN())),"N/A")</f>
        <v>N/A</v>
      </c>
      <c r="AR1073" s="220" t="str">
        <f ca="1">IFERROR(CIQAVG(MO.Ticker.CapIQ,"IQ_LASTSALEPRICE",INDEX(MO_SNA_FPStartDate,0,COLUMN()),INDEX(MO_Common_QEndDate,0,COLUMN())),"N/A")</f>
        <v>N/A</v>
      </c>
      <c r="AS1073" s="220" t="str">
        <f ca="1">IFERROR(CIQAVG(MO.Ticker.CapIQ,"IQ_LASTSALEPRICE",INDEX(MO_SNA_FPStartDate,0,COLUMN()),INDEX(MO_Common_QEndDate,0,COLUMN())),"N/A")</f>
        <v>N/A</v>
      </c>
      <c r="AT1073" s="220" t="str">
        <f ca="1">IFERROR(CIQAVG(MO.Ticker.CapIQ,"IQ_LASTSALEPRICE",INDEX(MO_SNA_FPStartDate,0,COLUMN()),INDEX(MO_Common_QEndDate,0,COLUMN())),"N/A")</f>
        <v>N/A</v>
      </c>
      <c r="AU1073" s="220" t="str">
        <f ca="1">IFERROR(CIQAVG(MO.Ticker.CapIQ,"IQ_LASTSALEPRICE",INDEX(MO_SNA_FPStartDate,0,COLUMN()),INDEX(MO_Common_QEndDate,0,COLUMN())),"N/A")</f>
        <v>N/A</v>
      </c>
      <c r="AV1073" s="220" t="str">
        <f ca="1">IFERROR(CIQAVG(MO.Ticker.CapIQ,"IQ_LASTSALEPRICE",INDEX(MO_SNA_FPStartDate,0,COLUMN()),INDEX(MO_Common_QEndDate,0,COLUMN())),"N/A")</f>
        <v>N/A</v>
      </c>
      <c r="AW1073" s="220" t="str">
        <f ca="1">IFERROR(CIQAVG(MO.Ticker.CapIQ,"IQ_LASTSALEPRICE",INDEX(MO_SNA_FPStartDate,0,COLUMN()),INDEX(MO_Common_QEndDate,0,COLUMN())),"N/A")</f>
        <v>N/A</v>
      </c>
      <c r="AX1073" s="220" t="str">
        <f ca="1">IFERROR(CIQAVG(MO.Ticker.CapIQ,"IQ_LASTSALEPRICE",INDEX(MO_SNA_FPStartDate,0,COLUMN()),INDEX(MO_Common_QEndDate,0,COLUMN())),"N/A")</f>
        <v>N/A</v>
      </c>
      <c r="AY1073" s="220" t="str">
        <f ca="1">IFERROR(CIQAVG(MO.Ticker.CapIQ,"IQ_LASTSALEPRICE",INDEX(MO_SNA_FPStartDate,0,COLUMN()),INDEX(MO_Common_QEndDate,0,COLUMN())),"N/A")</f>
        <v>N/A</v>
      </c>
      <c r="AZ1073" s="220" t="str">
        <f ca="1">IFERROR(CIQAVG(MO.Ticker.CapIQ,"IQ_LASTSALEPRICE",INDEX(MO_SNA_FPStartDate,0,COLUMN()),INDEX(MO_Common_QEndDate,0,COLUMN())),"N/A")</f>
        <v>N/A</v>
      </c>
      <c r="BA1073" s="220" t="str">
        <f ca="1">IFERROR(CIQAVG(MO.Ticker.CapIQ,"IQ_LASTSALEPRICE",INDEX(MO_SNA_FPStartDate,0,COLUMN()),INDEX(MO_Common_QEndDate,0,COLUMN())),"N/A")</f>
        <v>N/A</v>
      </c>
      <c r="BB1073" s="220" t="str">
        <f ca="1">IFERROR(CIQAVG(MO.Ticker.CapIQ,"IQ_LASTSALEPRICE",INDEX(MO_SNA_FPStartDate,0,COLUMN()),INDEX(MO_Common_QEndDate,0,COLUMN())),"N/A")</f>
        <v>N/A</v>
      </c>
      <c r="BC1073" s="220" t="str">
        <f ca="1">IFERROR(CIQAVG(MO.Ticker.CapIQ,"IQ_LASTSALEPRICE",INDEX(MO_SNA_FPStartDate,0,COLUMN()),INDEX(MO_Common_QEndDate,0,COLUMN())),"N/A")</f>
        <v>N/A</v>
      </c>
      <c r="BD1073" s="220" t="str">
        <f ca="1">IFERROR(CIQAVG(MO.Ticker.CapIQ,"IQ_LASTSALEPRICE",INDEX(MO_SNA_FPStartDate,0,COLUMN()),INDEX(MO_Common_QEndDate,0,COLUMN())),"N/A")</f>
        <v>N/A</v>
      </c>
      <c r="BE1073" s="220" t="str">
        <f ca="1">IFERROR(CIQAVG(MO.Ticker.CapIQ,"IQ_LASTSALEPRICE",INDEX(MO_SNA_FPStartDate,0,COLUMN()),INDEX(MO_Common_QEndDate,0,COLUMN())),"N/A")</f>
        <v>N/A</v>
      </c>
      <c r="BF1073" s="220" t="str">
        <f ca="1">IFERROR(CIQAVG(MO.Ticker.CapIQ,"IQ_LASTSALEPRICE",INDEX(MO_SNA_FPStartDate,0,COLUMN()),INDEX(MO_Common_QEndDate,0,COLUMN())),"N/A")</f>
        <v>N/A</v>
      </c>
      <c r="BG1073" s="220" t="str">
        <f ca="1">IFERROR(CIQAVG(MO.Ticker.CapIQ,"IQ_LASTSALEPRICE",INDEX(MO_SNA_FPStartDate,0,COLUMN()),INDEX(MO_Common_QEndDate,0,COLUMN())),"N/A")</f>
        <v>N/A</v>
      </c>
      <c r="BH1073" s="378" t="str">
        <f ca="1">IFERROR(CIQAVG(MO.Ticker.CapIQ,"IQ_LASTSALEPRICE",INDEX(MO_SNA_FPStartDate,0,COLUMN()),INDEX(MO_Common_QEndDate,0,COLUMN())),"N/A")</f>
        <v>N/A</v>
      </c>
      <c r="BI1073" s="175" t="str">
        <f ca="1">IFERROR(CIQAVG(MO.Ticker.CapIQ,"IQ_LASTSALEPRICE",INDEX(MO_SNA_FPStartDate,0,COLUMN()),INDEX(MO_Common_QEndDate,0,COLUMN())),"N/A")</f>
        <v>N/A</v>
      </c>
      <c r="BJ1073" s="175" t="str">
        <f ca="1">IFERROR(CIQAVG(MO.Ticker.CapIQ,"IQ_LASTSALEPRICE",INDEX(MO_SNA_FPStartDate,0,COLUMN()),INDEX(MO_Common_QEndDate,0,COLUMN())),"N/A")</f>
        <v>N/A</v>
      </c>
      <c r="BK1073" s="175" t="str">
        <f ca="1">IFERROR(CIQAVG(MO.Ticker.CapIQ,"IQ_LASTSALEPRICE",INDEX(MO_SNA_FPStartDate,0,COLUMN()),INDEX(MO_Common_QEndDate,0,COLUMN())),"N/A")</f>
        <v>N/A</v>
      </c>
      <c r="BL1073" s="175" t="str">
        <f ca="1">IFERROR(CIQAVG(MO.Ticker.CapIQ,"IQ_LASTSALEPRICE",INDEX(MO_SNA_FPStartDate,0,COLUMN()),INDEX(MO_Common_QEndDate,0,COLUMN())),"N/A")</f>
        <v>N/A</v>
      </c>
      <c r="BM1073" s="175" t="str">
        <f ca="1">IFERROR(CIQAVG(MO.Ticker.CapIQ,"IQ_LASTSALEPRICE",INDEX(MO_SNA_FPStartDate,0,COLUMN()),INDEX(MO_Common_QEndDate,0,COLUMN())),"N/A")</f>
        <v>N/A</v>
      </c>
      <c r="BN1073" s="175" t="str">
        <f ca="1">IFERROR(CIQAVG(MO.Ticker.CapIQ,"IQ_LASTSALEPRICE",INDEX(MO_SNA_FPStartDate,0,COLUMN()),INDEX(MO_Common_QEndDate,0,COLUMN())),"N/A")</f>
        <v>N/A</v>
      </c>
      <c r="BO1073" s="175" t="str">
        <f ca="1">IFERROR(CIQAVG(MO.Ticker.CapIQ,"IQ_LASTSALEPRICE",INDEX(MO_SNA_FPStartDate,0,COLUMN()),INDEX(MO_Common_QEndDate,0,COLUMN())),"N/A")</f>
        <v>N/A</v>
      </c>
      <c r="BP1073" s="220" t="str">
        <f ca="1">IFERROR(CIQAVG(MO.Ticker.CapIQ,"IQ_LASTSALEPRICE",INDEX(MO_SNA_FPStartDate,0,COLUMN()),INDEX(MO_Common_QEndDate,0,COLUMN())),"N/A")</f>
        <v>N/A</v>
      </c>
      <c r="BQ1073" s="220" t="str">
        <f ca="1">IFERROR(CIQAVG(MO.Ticker.CapIQ,"IQ_LASTSALEPRICE",INDEX(MO_SNA_FPStartDate,0,COLUMN()),INDEX(MO_Common_QEndDate,0,COLUMN())),"N/A")</f>
        <v>N/A</v>
      </c>
      <c r="BR1073" s="176" t="str">
        <f ca="1">IFERROR(CIQAVG(MO.Ticker.CapIQ,"IQ_LASTSALEPRICE",INDEX(MO_SNA_FPStartDate,0,COLUMN()),INDEX(MO_Common_QEndDate,0,COLUMN())),"N/A")</f>
        <v>N/A</v>
      </c>
      <c r="BS1073" s="268"/>
    </row>
    <row r="1074" spans="1:71" s="694" customFormat="1" ht="15" hidden="1" outlineLevel="1">
      <c r="A1074" s="177" t="s">
        <v>264</v>
      </c>
      <c r="B1074" s="175"/>
      <c r="C1074" s="303" t="str">
        <f ca="1">IFERROR(FDS(MO.Ticker.FactSet,"P_PRICE_AVG"&amp;"("&amp;INDEX(MO_SNA_FPStartDate,0,COLUMN())&amp;","&amp;INDEX(MO_Common_QEndDate,0,COLUMN())&amp;",,,,""PRICE"",""CLOSE"")"),"N/A")</f>
        <v>N/A</v>
      </c>
      <c r="D1074" s="303" t="str">
        <f ca="1">IFERROR(FDS(MO.Ticker.FactSet,"P_PRICE_AVG"&amp;"("&amp;INDEX(MO_SNA_FPStartDate,0,COLUMN())&amp;","&amp;INDEX(MO_Common_QEndDate,0,COLUMN())&amp;",,,,""PRICE"",""CLOSE"")"),"N/A")</f>
        <v>N/A</v>
      </c>
      <c r="E1074" s="220" t="str">
        <f ca="1">IFERROR(FDS(MO.Ticker.FactSet,"P_PRICE_AVG"&amp;"("&amp;INDEX(MO_SNA_FPStartDate,0,COLUMN())&amp;","&amp;INDEX(MO_Common_QEndDate,0,COLUMN())&amp;",,,,""PRICE"",""CLOSE"")"),"N/A")</f>
        <v>N/A</v>
      </c>
      <c r="F1074" s="220" t="str">
        <f ca="1">IFERROR(FDS(MO.Ticker.FactSet,"P_PRICE_AVG"&amp;"("&amp;INDEX(MO_SNA_FPStartDate,0,COLUMN())&amp;","&amp;INDEX(MO_Common_QEndDate,0,COLUMN())&amp;",,,,""PRICE"",""CLOSE"")"),"N/A")</f>
        <v>N/A</v>
      </c>
      <c r="G1074" s="220" t="str">
        <f ca="1">IFERROR(FDS(MO.Ticker.FactSet,"P_PRICE_AVG"&amp;"("&amp;INDEX(MO_SNA_FPStartDate,0,COLUMN())&amp;","&amp;INDEX(MO_Common_QEndDate,0,COLUMN())&amp;",,,,""PRICE"",""CLOSE"")"),"N/A")</f>
        <v>N/A</v>
      </c>
      <c r="H1074" s="220" t="str">
        <f ca="1">IFERROR(FDS(MO.Ticker.FactSet,"P_PRICE_AVG"&amp;"("&amp;INDEX(MO_SNA_FPStartDate,0,COLUMN())&amp;","&amp;INDEX(MO_Common_QEndDate,0,COLUMN())&amp;",,,,""PRICE"",""CLOSE"")"),"N/A")</f>
        <v>N/A</v>
      </c>
      <c r="I1074" s="220" t="str">
        <f ca="1">IFERROR(FDS(MO.Ticker.FactSet,"P_PRICE_AVG"&amp;"("&amp;INDEX(MO_SNA_FPStartDate,0,COLUMN())&amp;","&amp;INDEX(MO_Common_QEndDate,0,COLUMN())&amp;",,,,""PRICE"",""CLOSE"")"),"N/A")</f>
        <v>N/A</v>
      </c>
      <c r="J1074" s="220" t="str">
        <f ca="1">IFERROR(FDS(MO.Ticker.FactSet,"P_PRICE_AVG"&amp;"("&amp;INDEX(MO_SNA_FPStartDate,0,COLUMN())&amp;","&amp;INDEX(MO_Common_QEndDate,0,COLUMN())&amp;",,,,""PRICE"",""CLOSE"")"),"N/A")</f>
        <v>N/A</v>
      </c>
      <c r="K1074" s="220" t="str">
        <f ca="1">IFERROR(FDS(MO.Ticker.FactSet,"P_PRICE_AVG"&amp;"("&amp;INDEX(MO_SNA_FPStartDate,0,COLUMN())&amp;","&amp;INDEX(MO_Common_QEndDate,0,COLUMN())&amp;",,,,""PRICE"",""CLOSE"")"),"N/A")</f>
        <v>N/A</v>
      </c>
      <c r="L1074" s="220" t="str">
        <f ca="1">IFERROR(FDS(MO.Ticker.FactSet,"P_PRICE_AVG"&amp;"("&amp;INDEX(MO_SNA_FPStartDate,0,COLUMN())&amp;","&amp;INDEX(MO_Common_QEndDate,0,COLUMN())&amp;",,,,""PRICE"",""CLOSE"")"),"N/A")</f>
        <v>N/A</v>
      </c>
      <c r="M1074" s="220" t="str">
        <f ca="1">IFERROR(FDS(MO.Ticker.FactSet,"P_PRICE_AVG"&amp;"("&amp;INDEX(MO_SNA_FPStartDate,0,COLUMN())&amp;","&amp;INDEX(MO_Common_QEndDate,0,COLUMN())&amp;",,,,""PRICE"",""CLOSE"")"),"N/A")</f>
        <v>N/A</v>
      </c>
      <c r="N1074" s="220" t="str">
        <f ca="1">IFERROR(FDS(MO.Ticker.FactSet,"P_PRICE_AVG"&amp;"("&amp;INDEX(MO_SNA_FPStartDate,0,COLUMN())&amp;","&amp;INDEX(MO_Common_QEndDate,0,COLUMN())&amp;",,,,""PRICE"",""CLOSE"")"),"N/A")</f>
        <v>N/A</v>
      </c>
      <c r="O1074" s="220" t="str">
        <f ca="1">IFERROR(FDS(MO.Ticker.FactSet,"P_PRICE_AVG"&amp;"("&amp;INDEX(MO_SNA_FPStartDate,0,COLUMN())&amp;","&amp;INDEX(MO_Common_QEndDate,0,COLUMN())&amp;",,,,""PRICE"",""CLOSE"")"),"N/A")</f>
        <v>N/A</v>
      </c>
      <c r="P1074" s="220" t="str">
        <f ca="1">IFERROR(FDS(MO.Ticker.FactSet,"P_PRICE_AVG"&amp;"("&amp;INDEX(MO_SNA_FPStartDate,0,COLUMN())&amp;","&amp;INDEX(MO_Common_QEndDate,0,COLUMN())&amp;",,,,""PRICE"",""CLOSE"")"),"N/A")</f>
        <v>N/A</v>
      </c>
      <c r="Q1074" s="220" t="str">
        <f ca="1">IFERROR(FDS(MO.Ticker.FactSet,"P_PRICE_AVG"&amp;"("&amp;INDEX(MO_SNA_FPStartDate,0,COLUMN())&amp;","&amp;INDEX(MO_Common_QEndDate,0,COLUMN())&amp;",,,,""PRICE"",""CLOSE"")"),"N/A")</f>
        <v>N/A</v>
      </c>
      <c r="R1074" s="220" t="str">
        <f ca="1">IFERROR(FDS(MO.Ticker.FactSet,"P_PRICE_AVG"&amp;"("&amp;INDEX(MO_SNA_FPStartDate,0,COLUMN())&amp;","&amp;INDEX(MO_Common_QEndDate,0,COLUMN())&amp;",,,,""PRICE"",""CLOSE"")"),"N/A")</f>
        <v>N/A</v>
      </c>
      <c r="S1074" s="220" t="str">
        <f ca="1">IFERROR(FDS(MO.Ticker.FactSet,"P_PRICE_AVG"&amp;"("&amp;INDEX(MO_SNA_FPStartDate,0,COLUMN())&amp;","&amp;INDEX(MO_Common_QEndDate,0,COLUMN())&amp;",,,,""PRICE"",""CLOSE"")"),"N/A")</f>
        <v>N/A</v>
      </c>
      <c r="T1074" s="220" t="str">
        <f ca="1">IFERROR(FDS(MO.Ticker.FactSet,"P_PRICE_AVG"&amp;"("&amp;INDEX(MO_SNA_FPStartDate,0,COLUMN())&amp;","&amp;INDEX(MO_Common_QEndDate,0,COLUMN())&amp;",,,,""PRICE"",""CLOSE"")"),"N/A")</f>
        <v>N/A</v>
      </c>
      <c r="U1074" s="220" t="str">
        <f ca="1">IFERROR(FDS(MO.Ticker.FactSet,"P_PRICE_AVG"&amp;"("&amp;INDEX(MO_SNA_FPStartDate,0,COLUMN())&amp;","&amp;INDEX(MO_Common_QEndDate,0,COLUMN())&amp;",,,,""PRICE"",""CLOSE"")"),"N/A")</f>
        <v>N/A</v>
      </c>
      <c r="V1074" s="220" t="str">
        <f ca="1">IFERROR(FDS(MO.Ticker.FactSet,"P_PRICE_AVG"&amp;"("&amp;INDEX(MO_SNA_FPStartDate,0,COLUMN())&amp;","&amp;INDEX(MO_Common_QEndDate,0,COLUMN())&amp;",,,,""PRICE"",""CLOSE"")"),"N/A")</f>
        <v>N/A</v>
      </c>
      <c r="W1074" s="220" t="str">
        <f ca="1">IFERROR(FDS(MO.Ticker.FactSet,"P_PRICE_AVG"&amp;"("&amp;INDEX(MO_SNA_FPStartDate,0,COLUMN())&amp;","&amp;INDEX(MO_Common_QEndDate,0,COLUMN())&amp;",,,,""PRICE"",""CLOSE"")"),"N/A")</f>
        <v>N/A</v>
      </c>
      <c r="X1074" s="220" t="str">
        <f ca="1">IFERROR(FDS(MO.Ticker.FactSet,"P_PRICE_AVG"&amp;"("&amp;INDEX(MO_SNA_FPStartDate,0,COLUMN())&amp;","&amp;INDEX(MO_Common_QEndDate,0,COLUMN())&amp;",,,,""PRICE"",""CLOSE"")"),"N/A")</f>
        <v>N/A</v>
      </c>
      <c r="Y1074" s="220" t="str">
        <f ca="1">IFERROR(FDS(MO.Ticker.FactSet,"P_PRICE_AVG"&amp;"("&amp;INDEX(MO_SNA_FPStartDate,0,COLUMN())&amp;","&amp;INDEX(MO_Common_QEndDate,0,COLUMN())&amp;",,,,""PRICE"",""CLOSE"")"),"N/A")</f>
        <v>N/A</v>
      </c>
      <c r="Z1074" s="220" t="str">
        <f ca="1">IFERROR(FDS(MO.Ticker.FactSet,"P_PRICE_AVG"&amp;"("&amp;INDEX(MO_SNA_FPStartDate,0,COLUMN())&amp;","&amp;INDEX(MO_Common_QEndDate,0,COLUMN())&amp;",,,,""PRICE"",""CLOSE"")"),"N/A")</f>
        <v>N/A</v>
      </c>
      <c r="AA1074" s="220" t="str">
        <f ca="1">IFERROR(FDS(MO.Ticker.FactSet,"P_PRICE_AVG"&amp;"("&amp;INDEX(MO_SNA_FPStartDate,0,COLUMN())&amp;","&amp;INDEX(MO_Common_QEndDate,0,COLUMN())&amp;",,,,""PRICE"",""CLOSE"")"),"N/A")</f>
        <v>N/A</v>
      </c>
      <c r="AB1074" s="220" t="str">
        <f ca="1">IFERROR(FDS(MO.Ticker.FactSet,"P_PRICE_AVG"&amp;"("&amp;INDEX(MO_SNA_FPStartDate,0,COLUMN())&amp;","&amp;INDEX(MO_Common_QEndDate,0,COLUMN())&amp;",,,,""PRICE"",""CLOSE"")"),"N/A")</f>
        <v>N/A</v>
      </c>
      <c r="AC1074" s="220" t="str">
        <f ca="1">IFERROR(FDS(MO.Ticker.FactSet,"P_PRICE_AVG"&amp;"("&amp;INDEX(MO_SNA_FPStartDate,0,COLUMN())&amp;","&amp;INDEX(MO_Common_QEndDate,0,COLUMN())&amp;",,,,""PRICE"",""CLOSE"")"),"N/A")</f>
        <v>N/A</v>
      </c>
      <c r="AD1074" s="220" t="str">
        <f ca="1">IFERROR(FDS(MO.Ticker.FactSet,"P_PRICE_AVG"&amp;"("&amp;INDEX(MO_SNA_FPStartDate,0,COLUMN())&amp;","&amp;INDEX(MO_Common_QEndDate,0,COLUMN())&amp;",,,,""PRICE"",""CLOSE"")"),"N/A")</f>
        <v>N/A</v>
      </c>
      <c r="AE1074" s="220" t="str">
        <f ca="1">IFERROR(FDS(MO.Ticker.FactSet,"P_PRICE_AVG"&amp;"("&amp;INDEX(MO_SNA_FPStartDate,0,COLUMN())&amp;","&amp;INDEX(MO_Common_QEndDate,0,COLUMN())&amp;",,,,""PRICE"",""CLOSE"")"),"N/A")</f>
        <v>N/A</v>
      </c>
      <c r="AF1074" s="220" t="str">
        <f ca="1">IFERROR(FDS(MO.Ticker.FactSet,"P_PRICE_AVG"&amp;"("&amp;INDEX(MO_SNA_FPStartDate,0,COLUMN())&amp;","&amp;INDEX(MO_Common_QEndDate,0,COLUMN())&amp;",,,,""PRICE"",""CLOSE"")"),"N/A")</f>
        <v>N/A</v>
      </c>
      <c r="AG1074" s="220" t="str">
        <f ca="1">IFERROR(FDS(MO.Ticker.FactSet,"P_PRICE_AVG"&amp;"("&amp;INDEX(MO_SNA_FPStartDate,0,COLUMN())&amp;","&amp;INDEX(MO_Common_QEndDate,0,COLUMN())&amp;",,,,""PRICE"",""CLOSE"")"),"N/A")</f>
        <v>N/A</v>
      </c>
      <c r="AH1074" s="220" t="str">
        <f ca="1">IFERROR(FDS(MO.Ticker.FactSet,"P_PRICE_AVG"&amp;"("&amp;INDEX(MO_SNA_FPStartDate,0,COLUMN())&amp;","&amp;INDEX(MO_Common_QEndDate,0,COLUMN())&amp;",,,,""PRICE"",""CLOSE"")"),"N/A")</f>
        <v>N/A</v>
      </c>
      <c r="AI1074" s="220" t="str">
        <f ca="1">IFERROR(FDS(MO.Ticker.FactSet,"P_PRICE_AVG"&amp;"("&amp;INDEX(MO_SNA_FPStartDate,0,COLUMN())&amp;","&amp;INDEX(MO_Common_QEndDate,0,COLUMN())&amp;",,,,""PRICE"",""CLOSE"")"),"N/A")</f>
        <v>N/A</v>
      </c>
      <c r="AJ1074" s="220" t="str">
        <f ca="1">IFERROR(FDS(MO.Ticker.FactSet,"P_PRICE_AVG"&amp;"("&amp;INDEX(MO_SNA_FPStartDate,0,COLUMN())&amp;","&amp;INDEX(MO_Common_QEndDate,0,COLUMN())&amp;",,,,""PRICE"",""CLOSE"")"),"N/A")</f>
        <v>N/A</v>
      </c>
      <c r="AK1074" s="220" t="str">
        <f ca="1">IFERROR(FDS(MO.Ticker.FactSet,"P_PRICE_AVG"&amp;"("&amp;INDEX(MO_SNA_FPStartDate,0,COLUMN())&amp;","&amp;INDEX(MO_Common_QEndDate,0,COLUMN())&amp;",,,,""PRICE"",""CLOSE"")"),"N/A")</f>
        <v>N/A</v>
      </c>
      <c r="AL1074" s="220" t="str">
        <f ca="1">IFERROR(FDS(MO.Ticker.FactSet,"P_PRICE_AVG"&amp;"("&amp;INDEX(MO_SNA_FPStartDate,0,COLUMN())&amp;","&amp;INDEX(MO_Common_QEndDate,0,COLUMN())&amp;",,,,""PRICE"",""CLOSE"")"),"N/A")</f>
        <v>N/A</v>
      </c>
      <c r="AM1074" s="220" t="str">
        <f ca="1">IFERROR(FDS(MO.Ticker.FactSet,"P_PRICE_AVG"&amp;"("&amp;INDEX(MO_SNA_FPStartDate,0,COLUMN())&amp;","&amp;INDEX(MO_Common_QEndDate,0,COLUMN())&amp;",,,,""PRICE"",""CLOSE"")"),"N/A")</f>
        <v>N/A</v>
      </c>
      <c r="AN1074" s="220" t="str">
        <f ca="1">IFERROR(FDS(MO.Ticker.FactSet,"P_PRICE_AVG"&amp;"("&amp;INDEX(MO_SNA_FPStartDate,0,COLUMN())&amp;","&amp;INDEX(MO_Common_QEndDate,0,COLUMN())&amp;",,,,""PRICE"",""CLOSE"")"),"N/A")</f>
        <v>N/A</v>
      </c>
      <c r="AO1074" s="220" t="str">
        <f ca="1">IFERROR(FDS(MO.Ticker.FactSet,"P_PRICE_AVG"&amp;"("&amp;INDEX(MO_SNA_FPStartDate,0,COLUMN())&amp;","&amp;INDEX(MO_Common_QEndDate,0,COLUMN())&amp;",,,,""PRICE"",""CLOSE"")"),"N/A")</f>
        <v>N/A</v>
      </c>
      <c r="AP1074" s="220" t="str">
        <f ca="1">IFERROR(FDS(MO.Ticker.FactSet,"P_PRICE_AVG"&amp;"("&amp;INDEX(MO_SNA_FPStartDate,0,COLUMN())&amp;","&amp;INDEX(MO_Common_QEndDate,0,COLUMN())&amp;",,,,""PRICE"",""CLOSE"")"),"N/A")</f>
        <v>N/A</v>
      </c>
      <c r="AQ1074" s="220" t="str">
        <f ca="1">IFERROR(FDS(MO.Ticker.FactSet,"P_PRICE_AVG"&amp;"("&amp;INDEX(MO_SNA_FPStartDate,0,COLUMN())&amp;","&amp;INDEX(MO_Common_QEndDate,0,COLUMN())&amp;",,,,""PRICE"",""CLOSE"")"),"N/A")</f>
        <v>N/A</v>
      </c>
      <c r="AR1074" s="220" t="str">
        <f ca="1">IFERROR(FDS(MO.Ticker.FactSet,"P_PRICE_AVG"&amp;"("&amp;INDEX(MO_SNA_FPStartDate,0,COLUMN())&amp;","&amp;INDEX(MO_Common_QEndDate,0,COLUMN())&amp;",,,,""PRICE"",""CLOSE"")"),"N/A")</f>
        <v>N/A</v>
      </c>
      <c r="AS1074" s="220" t="str">
        <f ca="1">IFERROR(FDS(MO.Ticker.FactSet,"P_PRICE_AVG"&amp;"("&amp;INDEX(MO_SNA_FPStartDate,0,COLUMN())&amp;","&amp;INDEX(MO_Common_QEndDate,0,COLUMN())&amp;",,,,""PRICE"",""CLOSE"")"),"N/A")</f>
        <v>N/A</v>
      </c>
      <c r="AT1074" s="220" t="str">
        <f ca="1">IFERROR(FDS(MO.Ticker.FactSet,"P_PRICE_AVG"&amp;"("&amp;INDEX(MO_SNA_FPStartDate,0,COLUMN())&amp;","&amp;INDEX(MO_Common_QEndDate,0,COLUMN())&amp;",,,,""PRICE"",""CLOSE"")"),"N/A")</f>
        <v>N/A</v>
      </c>
      <c r="AU1074" s="220" t="str">
        <f ca="1">IFERROR(FDS(MO.Ticker.FactSet,"P_PRICE_AVG"&amp;"("&amp;INDEX(MO_SNA_FPStartDate,0,COLUMN())&amp;","&amp;INDEX(MO_Common_QEndDate,0,COLUMN())&amp;",,,,""PRICE"",""CLOSE"")"),"N/A")</f>
        <v>N/A</v>
      </c>
      <c r="AV1074" s="220" t="str">
        <f ca="1">IFERROR(FDS(MO.Ticker.FactSet,"P_PRICE_AVG"&amp;"("&amp;INDEX(MO_SNA_FPStartDate,0,COLUMN())&amp;","&amp;INDEX(MO_Common_QEndDate,0,COLUMN())&amp;",,,,""PRICE"",""CLOSE"")"),"N/A")</f>
        <v>N/A</v>
      </c>
      <c r="AW1074" s="220" t="str">
        <f ca="1">IFERROR(FDS(MO.Ticker.FactSet,"P_PRICE_AVG"&amp;"("&amp;INDEX(MO_SNA_FPStartDate,0,COLUMN())&amp;","&amp;INDEX(MO_Common_QEndDate,0,COLUMN())&amp;",,,,""PRICE"",""CLOSE"")"),"N/A")</f>
        <v>N/A</v>
      </c>
      <c r="AX1074" s="220" t="str">
        <f ca="1">IFERROR(FDS(MO.Ticker.FactSet,"P_PRICE_AVG"&amp;"("&amp;INDEX(MO_SNA_FPStartDate,0,COLUMN())&amp;","&amp;INDEX(MO_Common_QEndDate,0,COLUMN())&amp;",,,,""PRICE"",""CLOSE"")"),"N/A")</f>
        <v>N/A</v>
      </c>
      <c r="AY1074" s="220" t="str">
        <f ca="1">IFERROR(FDS(MO.Ticker.FactSet,"P_PRICE_AVG"&amp;"("&amp;INDEX(MO_SNA_FPStartDate,0,COLUMN())&amp;","&amp;INDEX(MO_Common_QEndDate,0,COLUMN())&amp;",,,,""PRICE"",""CLOSE"")"),"N/A")</f>
        <v>N/A</v>
      </c>
      <c r="AZ1074" s="220" t="str">
        <f ca="1">IFERROR(FDS(MO.Ticker.FactSet,"P_PRICE_AVG"&amp;"("&amp;INDEX(MO_SNA_FPStartDate,0,COLUMN())&amp;","&amp;INDEX(MO_Common_QEndDate,0,COLUMN())&amp;",,,,""PRICE"",""CLOSE"")"),"N/A")</f>
        <v>N/A</v>
      </c>
      <c r="BA1074" s="220" t="str">
        <f ca="1">IFERROR(FDS(MO.Ticker.FactSet,"P_PRICE_AVG"&amp;"("&amp;INDEX(MO_SNA_FPStartDate,0,COLUMN())&amp;","&amp;INDEX(MO_Common_QEndDate,0,COLUMN())&amp;",,,,""PRICE"",""CLOSE"")"),"N/A")</f>
        <v>N/A</v>
      </c>
      <c r="BB1074" s="220" t="str">
        <f ca="1">IFERROR(FDS(MO.Ticker.FactSet,"P_PRICE_AVG"&amp;"("&amp;INDEX(MO_SNA_FPStartDate,0,COLUMN())&amp;","&amp;INDEX(MO_Common_QEndDate,0,COLUMN())&amp;",,,,""PRICE"",""CLOSE"")"),"N/A")</f>
        <v>N/A</v>
      </c>
      <c r="BC1074" s="220" t="str">
        <f ca="1">IFERROR(FDS(MO.Ticker.FactSet,"P_PRICE_AVG"&amp;"("&amp;INDEX(MO_SNA_FPStartDate,0,COLUMN())&amp;","&amp;INDEX(MO_Common_QEndDate,0,COLUMN())&amp;",,,,""PRICE"",""CLOSE"")"),"N/A")</f>
        <v>N/A</v>
      </c>
      <c r="BD1074" s="220" t="str">
        <f ca="1">IFERROR(FDS(MO.Ticker.FactSet,"P_PRICE_AVG"&amp;"("&amp;INDEX(MO_SNA_FPStartDate,0,COLUMN())&amp;","&amp;INDEX(MO_Common_QEndDate,0,COLUMN())&amp;",,,,""PRICE"",""CLOSE"")"),"N/A")</f>
        <v>N/A</v>
      </c>
      <c r="BE1074" s="220" t="str">
        <f ca="1">IFERROR(FDS(MO.Ticker.FactSet,"P_PRICE_AVG"&amp;"("&amp;INDEX(MO_SNA_FPStartDate,0,COLUMN())&amp;","&amp;INDEX(MO_Common_QEndDate,0,COLUMN())&amp;",,,,""PRICE"",""CLOSE"")"),"N/A")</f>
        <v>N/A</v>
      </c>
      <c r="BF1074" s="220" t="str">
        <f ca="1">IFERROR(FDS(MO.Ticker.FactSet,"P_PRICE_AVG"&amp;"("&amp;INDEX(MO_SNA_FPStartDate,0,COLUMN())&amp;","&amp;INDEX(MO_Common_QEndDate,0,COLUMN())&amp;",,,,""PRICE"",""CLOSE"")"),"N/A")</f>
        <v>N/A</v>
      </c>
      <c r="BG1074" s="220" t="str">
        <f ca="1">IFERROR(FDS(MO.Ticker.FactSet,"P_PRICE_AVG"&amp;"("&amp;INDEX(MO_SNA_FPStartDate,0,COLUMN())&amp;","&amp;INDEX(MO_Common_QEndDate,0,COLUMN())&amp;",,,,""PRICE"",""CLOSE"")"),"N/A")</f>
        <v>N/A</v>
      </c>
      <c r="BH1074" s="378" t="str">
        <f ca="1">IFERROR(FDS(MO.Ticker.FactSet,"P_PRICE_AVG"&amp;"("&amp;INDEX(MO_SNA_FPStartDate,0,COLUMN())&amp;","&amp;INDEX(MO_Common_QEndDate,0,COLUMN())&amp;",,,,""PRICE"",""CLOSE"")"),"N/A")</f>
        <v>N/A</v>
      </c>
      <c r="BI1074" s="175" t="str">
        <f ca="1">IFERROR(FDS(MO.Ticker.FactSet,"P_PRICE_AVG"&amp;"("&amp;INDEX(MO_SNA_FPStartDate,0,COLUMN())&amp;","&amp;INDEX(MO_Common_QEndDate,0,COLUMN())&amp;",,,,""PRICE"",""CLOSE"")"),"N/A")</f>
        <v>N/A</v>
      </c>
      <c r="BJ1074" s="175" t="str">
        <f ca="1">IFERROR(FDS(MO.Ticker.FactSet,"P_PRICE_AVG"&amp;"("&amp;INDEX(MO_SNA_FPStartDate,0,COLUMN())&amp;","&amp;INDEX(MO_Common_QEndDate,0,COLUMN())&amp;",,,,""PRICE"",""CLOSE"")"),"N/A")</f>
        <v>N/A</v>
      </c>
      <c r="BK1074" s="175" t="str">
        <f ca="1">IFERROR(FDS(MO.Ticker.FactSet,"P_PRICE_AVG"&amp;"("&amp;INDEX(MO_SNA_FPStartDate,0,COLUMN())&amp;","&amp;INDEX(MO_Common_QEndDate,0,COLUMN())&amp;",,,,""PRICE"",""CLOSE"")"),"N/A")</f>
        <v>N/A</v>
      </c>
      <c r="BL1074" s="175" t="str">
        <f ca="1">IFERROR(FDS(MO.Ticker.FactSet,"P_PRICE_AVG"&amp;"("&amp;INDEX(MO_SNA_FPStartDate,0,COLUMN())&amp;","&amp;INDEX(MO_Common_QEndDate,0,COLUMN())&amp;",,,,""PRICE"",""CLOSE"")"),"N/A")</f>
        <v>N/A</v>
      </c>
      <c r="BM1074" s="175" t="str">
        <f ca="1">IFERROR(FDS(MO.Ticker.FactSet,"P_PRICE_AVG"&amp;"("&amp;INDEX(MO_SNA_FPStartDate,0,COLUMN())&amp;","&amp;INDEX(MO_Common_QEndDate,0,COLUMN())&amp;",,,,""PRICE"",""CLOSE"")"),"N/A")</f>
        <v>N/A</v>
      </c>
      <c r="BN1074" s="175" t="str">
        <f ca="1">IFERROR(FDS(MO.Ticker.FactSet,"P_PRICE_AVG"&amp;"("&amp;INDEX(MO_SNA_FPStartDate,0,COLUMN())&amp;","&amp;INDEX(MO_Common_QEndDate,0,COLUMN())&amp;",,,,""PRICE"",""CLOSE"")"),"N/A")</f>
        <v>N/A</v>
      </c>
      <c r="BO1074" s="175" t="str">
        <f ca="1">IFERROR(FDS(MO.Ticker.FactSet,"P_PRICE_AVG"&amp;"("&amp;INDEX(MO_SNA_FPStartDate,0,COLUMN())&amp;","&amp;INDEX(MO_Common_QEndDate,0,COLUMN())&amp;",,,,""PRICE"",""CLOSE"")"),"N/A")</f>
        <v>N/A</v>
      </c>
      <c r="BP1074" s="220" t="str">
        <f ca="1">IFERROR(FDS(MO.Ticker.FactSet,"P_PRICE_AVG"&amp;"("&amp;INDEX(MO_SNA_FPStartDate,0,COLUMN())&amp;","&amp;INDEX(MO_Common_QEndDate,0,COLUMN())&amp;",,,,""PRICE"",""CLOSE"")"),"N/A")</f>
        <v>N/A</v>
      </c>
      <c r="BQ1074" s="220" t="str">
        <f ca="1">IFERROR(FDS(MO.Ticker.FactSet,"P_PRICE_AVG"&amp;"("&amp;INDEX(MO_SNA_FPStartDate,0,COLUMN())&amp;","&amp;INDEX(MO_Common_QEndDate,0,COLUMN())&amp;",,,,""PRICE"",""CLOSE"")"),"N/A")</f>
        <v>N/A</v>
      </c>
      <c r="BR1074" s="176" t="str">
        <f ca="1">IFERROR(FDS(MO.Ticker.FactSet,"P_PRICE_AVG"&amp;"("&amp;INDEX(MO_SNA_FPStartDate,0,COLUMN())&amp;","&amp;INDEX(MO_Common_QEndDate,0,COLUMN())&amp;",,,,""PRICE"",""CLOSE"")"),"N/A")</f>
        <v>N/A</v>
      </c>
      <c r="BS1074" s="268"/>
    </row>
    <row r="1075" spans="1:71" s="694" customFormat="1" ht="15" hidden="1" outlineLevel="1">
      <c r="A1075" s="177" t="s">
        <v>381</v>
      </c>
      <c r="B1075" s="175"/>
      <c r="C1075" s="303" t="str">
        <f ca="1">IFERROR(_xll.TR(MO.Ticker.Thomson,"AVG(TR.Priceclose)","sdate:#1 edate:#2",,INDEX(MO_SNA_FPStartDate,0,COLUMN()),INDEX(MO_Common_QEndDate,0,COLUMN())),"N/A")</f>
        <v>N/A</v>
      </c>
      <c r="D1075" s="303" t="str">
        <f ca="1">IFERROR(_xll.TR(MO.Ticker.Thomson,"AVG(TR.Priceclose)","sdate:#1 edate:#2",,INDEX(MO_SNA_FPStartDate,0,COLUMN()),INDEX(MO_Common_QEndDate,0,COLUMN())),"N/A")</f>
        <v>N/A</v>
      </c>
      <c r="E1075" s="220" t="str">
        <f ca="1">IFERROR(_xll.TR(MO.Ticker.Thomson,"AVG(TR.Priceclose)","sdate:#1 edate:#2",,INDEX(MO_SNA_FPStartDate,0,COLUMN()),INDEX(MO_Common_QEndDate,0,COLUMN())),"N/A")</f>
        <v>N/A</v>
      </c>
      <c r="F1075" s="220" t="str">
        <f ca="1">IFERROR(_xll.TR(MO.Ticker.Thomson,"AVG(TR.Priceclose)","sdate:#1 edate:#2",,INDEX(MO_SNA_FPStartDate,0,COLUMN()),INDEX(MO_Common_QEndDate,0,COLUMN())),"N/A")</f>
        <v>N/A</v>
      </c>
      <c r="G1075" s="220" t="str">
        <f ca="1">IFERROR(_xll.TR(MO.Ticker.Thomson,"AVG(TR.Priceclose)","sdate:#1 edate:#2",,INDEX(MO_SNA_FPStartDate,0,COLUMN()),INDEX(MO_Common_QEndDate,0,COLUMN())),"N/A")</f>
        <v>N/A</v>
      </c>
      <c r="H1075" s="220" t="str">
        <f ca="1">IFERROR(_xll.TR(MO.Ticker.Thomson,"AVG(TR.Priceclose)","sdate:#1 edate:#2",,INDEX(MO_SNA_FPStartDate,0,COLUMN()),INDEX(MO_Common_QEndDate,0,COLUMN())),"N/A")</f>
        <v>N/A</v>
      </c>
      <c r="I1075" s="220" t="str">
        <f ca="1">IFERROR(_xll.TR(MO.Ticker.Thomson,"AVG(TR.Priceclose)","sdate:#1 edate:#2",,INDEX(MO_SNA_FPStartDate,0,COLUMN()),INDEX(MO_Common_QEndDate,0,COLUMN())),"N/A")</f>
        <v>N/A</v>
      </c>
      <c r="J1075" s="220" t="str">
        <f ca="1">IFERROR(_xll.TR(MO.Ticker.Thomson,"AVG(TR.Priceclose)","sdate:#1 edate:#2",,INDEX(MO_SNA_FPStartDate,0,COLUMN()),INDEX(MO_Common_QEndDate,0,COLUMN())),"N/A")</f>
        <v>N/A</v>
      </c>
      <c r="K1075" s="220" t="str">
        <f ca="1">IFERROR(_xll.TR(MO.Ticker.Thomson,"AVG(TR.Priceclose)","sdate:#1 edate:#2",,INDEX(MO_SNA_FPStartDate,0,COLUMN()),INDEX(MO_Common_QEndDate,0,COLUMN())),"N/A")</f>
        <v>N/A</v>
      </c>
      <c r="L1075" s="220" t="str">
        <f ca="1">IFERROR(_xll.TR(MO.Ticker.Thomson,"AVG(TR.Priceclose)","sdate:#1 edate:#2",,INDEX(MO_SNA_FPStartDate,0,COLUMN()),INDEX(MO_Common_QEndDate,0,COLUMN())),"N/A")</f>
        <v>N/A</v>
      </c>
      <c r="M1075" s="220" t="str">
        <f ca="1">IFERROR(_xll.TR(MO.Ticker.Thomson,"AVG(TR.Priceclose)","sdate:#1 edate:#2",,INDEX(MO_SNA_FPStartDate,0,COLUMN()),INDEX(MO_Common_QEndDate,0,COLUMN())),"N/A")</f>
        <v>N/A</v>
      </c>
      <c r="N1075" s="220" t="str">
        <f ca="1">IFERROR(_xll.TR(MO.Ticker.Thomson,"AVG(TR.Priceclose)","sdate:#1 edate:#2",,INDEX(MO_SNA_FPStartDate,0,COLUMN()),INDEX(MO_Common_QEndDate,0,COLUMN())),"N/A")</f>
        <v>N/A</v>
      </c>
      <c r="O1075" s="220" t="str">
        <f ca="1">IFERROR(_xll.TR(MO.Ticker.Thomson,"AVG(TR.Priceclose)","sdate:#1 edate:#2",,INDEX(MO_SNA_FPStartDate,0,COLUMN()),INDEX(MO_Common_QEndDate,0,COLUMN())),"N/A")</f>
        <v>N/A</v>
      </c>
      <c r="P1075" s="220" t="str">
        <f ca="1">IFERROR(_xll.TR(MO.Ticker.Thomson,"AVG(TR.Priceclose)","sdate:#1 edate:#2",,INDEX(MO_SNA_FPStartDate,0,COLUMN()),INDEX(MO_Common_QEndDate,0,COLUMN())),"N/A")</f>
        <v>N/A</v>
      </c>
      <c r="Q1075" s="220" t="str">
        <f ca="1">IFERROR(_xll.TR(MO.Ticker.Thomson,"AVG(TR.Priceclose)","sdate:#1 edate:#2",,INDEX(MO_SNA_FPStartDate,0,COLUMN()),INDEX(MO_Common_QEndDate,0,COLUMN())),"N/A")</f>
        <v>N/A</v>
      </c>
      <c r="R1075" s="220" t="str">
        <f ca="1">IFERROR(_xll.TR(MO.Ticker.Thomson,"AVG(TR.Priceclose)","sdate:#1 edate:#2",,INDEX(MO_SNA_FPStartDate,0,COLUMN()),INDEX(MO_Common_QEndDate,0,COLUMN())),"N/A")</f>
        <v>N/A</v>
      </c>
      <c r="S1075" s="220" t="str">
        <f ca="1">IFERROR(_xll.TR(MO.Ticker.Thomson,"AVG(TR.Priceclose)","sdate:#1 edate:#2",,INDEX(MO_SNA_FPStartDate,0,COLUMN()),INDEX(MO_Common_QEndDate,0,COLUMN())),"N/A")</f>
        <v>N/A</v>
      </c>
      <c r="T1075" s="220" t="str">
        <f ca="1">IFERROR(_xll.TR(MO.Ticker.Thomson,"AVG(TR.Priceclose)","sdate:#1 edate:#2",,INDEX(MO_SNA_FPStartDate,0,COLUMN()),INDEX(MO_Common_QEndDate,0,COLUMN())),"N/A")</f>
        <v>N/A</v>
      </c>
      <c r="U1075" s="220" t="str">
        <f ca="1">IFERROR(_xll.TR(MO.Ticker.Thomson,"AVG(TR.Priceclose)","sdate:#1 edate:#2",,INDEX(MO_SNA_FPStartDate,0,COLUMN()),INDEX(MO_Common_QEndDate,0,COLUMN())),"N/A")</f>
        <v>N/A</v>
      </c>
      <c r="V1075" s="220" t="str">
        <f ca="1">IFERROR(_xll.TR(MO.Ticker.Thomson,"AVG(TR.Priceclose)","sdate:#1 edate:#2",,INDEX(MO_SNA_FPStartDate,0,COLUMN()),INDEX(MO_Common_QEndDate,0,COLUMN())),"N/A")</f>
        <v>N/A</v>
      </c>
      <c r="W1075" s="220" t="str">
        <f ca="1">IFERROR(_xll.TR(MO.Ticker.Thomson,"AVG(TR.Priceclose)","sdate:#1 edate:#2",,INDEX(MO_SNA_FPStartDate,0,COLUMN()),INDEX(MO_Common_QEndDate,0,COLUMN())),"N/A")</f>
        <v>N/A</v>
      </c>
      <c r="X1075" s="220" t="str">
        <f ca="1">IFERROR(_xll.TR(MO.Ticker.Thomson,"AVG(TR.Priceclose)","sdate:#1 edate:#2",,INDEX(MO_SNA_FPStartDate,0,COLUMN()),INDEX(MO_Common_QEndDate,0,COLUMN())),"N/A")</f>
        <v>N/A</v>
      </c>
      <c r="Y1075" s="220" t="str">
        <f ca="1">IFERROR(_xll.TR(MO.Ticker.Thomson,"AVG(TR.Priceclose)","sdate:#1 edate:#2",,INDEX(MO_SNA_FPStartDate,0,COLUMN()),INDEX(MO_Common_QEndDate,0,COLUMN())),"N/A")</f>
        <v>N/A</v>
      </c>
      <c r="Z1075" s="220" t="str">
        <f ca="1">IFERROR(_xll.TR(MO.Ticker.Thomson,"AVG(TR.Priceclose)","sdate:#1 edate:#2",,INDEX(MO_SNA_FPStartDate,0,COLUMN()),INDEX(MO_Common_QEndDate,0,COLUMN())),"N/A")</f>
        <v>N/A</v>
      </c>
      <c r="AA1075" s="220" t="str">
        <f ca="1">IFERROR(_xll.TR(MO.Ticker.Thomson,"AVG(TR.Priceclose)","sdate:#1 edate:#2",,INDEX(MO_SNA_FPStartDate,0,COLUMN()),INDEX(MO_Common_QEndDate,0,COLUMN())),"N/A")</f>
        <v>N/A</v>
      </c>
      <c r="AB1075" s="220" t="str">
        <f ca="1">IFERROR(_xll.TR(MO.Ticker.Thomson,"AVG(TR.Priceclose)","sdate:#1 edate:#2",,INDEX(MO_SNA_FPStartDate,0,COLUMN()),INDEX(MO_Common_QEndDate,0,COLUMN())),"N/A")</f>
        <v>N/A</v>
      </c>
      <c r="AC1075" s="220" t="str">
        <f ca="1">IFERROR(_xll.TR(MO.Ticker.Thomson,"AVG(TR.Priceclose)","sdate:#1 edate:#2",,INDEX(MO_SNA_FPStartDate,0,COLUMN()),INDEX(MO_Common_QEndDate,0,COLUMN())),"N/A")</f>
        <v>N/A</v>
      </c>
      <c r="AD1075" s="220" t="str">
        <f ca="1">IFERROR(_xll.TR(MO.Ticker.Thomson,"AVG(TR.Priceclose)","sdate:#1 edate:#2",,INDEX(MO_SNA_FPStartDate,0,COLUMN()),INDEX(MO_Common_QEndDate,0,COLUMN())),"N/A")</f>
        <v>N/A</v>
      </c>
      <c r="AE1075" s="220" t="str">
        <f ca="1">IFERROR(_xll.TR(MO.Ticker.Thomson,"AVG(TR.Priceclose)","sdate:#1 edate:#2",,INDEX(MO_SNA_FPStartDate,0,COLUMN()),INDEX(MO_Common_QEndDate,0,COLUMN())),"N/A")</f>
        <v>N/A</v>
      </c>
      <c r="AF1075" s="220" t="str">
        <f ca="1">IFERROR(_xll.TR(MO.Ticker.Thomson,"AVG(TR.Priceclose)","sdate:#1 edate:#2",,INDEX(MO_SNA_FPStartDate,0,COLUMN()),INDEX(MO_Common_QEndDate,0,COLUMN())),"N/A")</f>
        <v>N/A</v>
      </c>
      <c r="AG1075" s="220" t="str">
        <f ca="1">IFERROR(_xll.TR(MO.Ticker.Thomson,"AVG(TR.Priceclose)","sdate:#1 edate:#2",,INDEX(MO_SNA_FPStartDate,0,COLUMN()),INDEX(MO_Common_QEndDate,0,COLUMN())),"N/A")</f>
        <v>N/A</v>
      </c>
      <c r="AH1075" s="220" t="str">
        <f ca="1">IFERROR(_xll.TR(MO.Ticker.Thomson,"AVG(TR.Priceclose)","sdate:#1 edate:#2",,INDEX(MO_SNA_FPStartDate,0,COLUMN()),INDEX(MO_Common_QEndDate,0,COLUMN())),"N/A")</f>
        <v>N/A</v>
      </c>
      <c r="AI1075" s="220" t="str">
        <f ca="1">IFERROR(_xll.TR(MO.Ticker.Thomson,"AVG(TR.Priceclose)","sdate:#1 edate:#2",,INDEX(MO_SNA_FPStartDate,0,COLUMN()),INDEX(MO_Common_QEndDate,0,COLUMN())),"N/A")</f>
        <v>N/A</v>
      </c>
      <c r="AJ1075" s="220" t="str">
        <f ca="1">IFERROR(_xll.TR(MO.Ticker.Thomson,"AVG(TR.Priceclose)","sdate:#1 edate:#2",,INDEX(MO_SNA_FPStartDate,0,COLUMN()),INDEX(MO_Common_QEndDate,0,COLUMN())),"N/A")</f>
        <v>N/A</v>
      </c>
      <c r="AK1075" s="220" t="str">
        <f ca="1">IFERROR(_xll.TR(MO.Ticker.Thomson,"AVG(TR.Priceclose)","sdate:#1 edate:#2",,INDEX(MO_SNA_FPStartDate,0,COLUMN()),INDEX(MO_Common_QEndDate,0,COLUMN())),"N/A")</f>
        <v>N/A</v>
      </c>
      <c r="AL1075" s="220" t="str">
        <f ca="1">IFERROR(_xll.TR(MO.Ticker.Thomson,"AVG(TR.Priceclose)","sdate:#1 edate:#2",,INDEX(MO_SNA_FPStartDate,0,COLUMN()),INDEX(MO_Common_QEndDate,0,COLUMN())),"N/A")</f>
        <v>N/A</v>
      </c>
      <c r="AM1075" s="220" t="str">
        <f ca="1">IFERROR(_xll.TR(MO.Ticker.Thomson,"AVG(TR.Priceclose)","sdate:#1 edate:#2",,INDEX(MO_SNA_FPStartDate,0,COLUMN()),INDEX(MO_Common_QEndDate,0,COLUMN())),"N/A")</f>
        <v>N/A</v>
      </c>
      <c r="AN1075" s="220" t="str">
        <f ca="1">IFERROR(_xll.TR(MO.Ticker.Thomson,"AVG(TR.Priceclose)","sdate:#1 edate:#2",,INDEX(MO_SNA_FPStartDate,0,COLUMN()),INDEX(MO_Common_QEndDate,0,COLUMN())),"N/A")</f>
        <v>N/A</v>
      </c>
      <c r="AO1075" s="220" t="str">
        <f ca="1">IFERROR(_xll.TR(MO.Ticker.Thomson,"AVG(TR.Priceclose)","sdate:#1 edate:#2",,INDEX(MO_SNA_FPStartDate,0,COLUMN()),INDEX(MO_Common_QEndDate,0,COLUMN())),"N/A")</f>
        <v>N/A</v>
      </c>
      <c r="AP1075" s="220" t="str">
        <f ca="1">IFERROR(_xll.TR(MO.Ticker.Thomson,"AVG(TR.Priceclose)","sdate:#1 edate:#2",,INDEX(MO_SNA_FPStartDate,0,COLUMN()),INDEX(MO_Common_QEndDate,0,COLUMN())),"N/A")</f>
        <v>N/A</v>
      </c>
      <c r="AQ1075" s="220" t="str">
        <f ca="1">IFERROR(_xll.TR(MO.Ticker.Thomson,"AVG(TR.Priceclose)","sdate:#1 edate:#2",,INDEX(MO_SNA_FPStartDate,0,COLUMN()),INDEX(MO_Common_QEndDate,0,COLUMN())),"N/A")</f>
        <v>N/A</v>
      </c>
      <c r="AR1075" s="220" t="str">
        <f ca="1">IFERROR(_xll.TR(MO.Ticker.Thomson,"AVG(TR.Priceclose)","sdate:#1 edate:#2",,INDEX(MO_SNA_FPStartDate,0,COLUMN()),INDEX(MO_Common_QEndDate,0,COLUMN())),"N/A")</f>
        <v>N/A</v>
      </c>
      <c r="AS1075" s="220" t="str">
        <f ca="1">IFERROR(_xll.TR(MO.Ticker.Thomson,"AVG(TR.Priceclose)","sdate:#1 edate:#2",,INDEX(MO_SNA_FPStartDate,0,COLUMN()),INDEX(MO_Common_QEndDate,0,COLUMN())),"N/A")</f>
        <v>N/A</v>
      </c>
      <c r="AT1075" s="220" t="str">
        <f ca="1">IFERROR(_xll.TR(MO.Ticker.Thomson,"AVG(TR.Priceclose)","sdate:#1 edate:#2",,INDEX(MO_SNA_FPStartDate,0,COLUMN()),INDEX(MO_Common_QEndDate,0,COLUMN())),"N/A")</f>
        <v>N/A</v>
      </c>
      <c r="AU1075" s="220" t="str">
        <f ca="1">IFERROR(_xll.TR(MO.Ticker.Thomson,"AVG(TR.Priceclose)","sdate:#1 edate:#2",,INDEX(MO_SNA_FPStartDate,0,COLUMN()),INDEX(MO_Common_QEndDate,0,COLUMN())),"N/A")</f>
        <v>N/A</v>
      </c>
      <c r="AV1075" s="220" t="str">
        <f ca="1">IFERROR(_xll.TR(MO.Ticker.Thomson,"AVG(TR.Priceclose)","sdate:#1 edate:#2",,INDEX(MO_SNA_FPStartDate,0,COLUMN()),INDEX(MO_Common_QEndDate,0,COLUMN())),"N/A")</f>
        <v>N/A</v>
      </c>
      <c r="AW1075" s="220" t="str">
        <f ca="1">IFERROR(_xll.TR(MO.Ticker.Thomson,"AVG(TR.Priceclose)","sdate:#1 edate:#2",,INDEX(MO_SNA_FPStartDate,0,COLUMN()),INDEX(MO_Common_QEndDate,0,COLUMN())),"N/A")</f>
        <v>N/A</v>
      </c>
      <c r="AX1075" s="220" t="str">
        <f ca="1">IFERROR(_xll.TR(MO.Ticker.Thomson,"AVG(TR.Priceclose)","sdate:#1 edate:#2",,INDEX(MO_SNA_FPStartDate,0,COLUMN()),INDEX(MO_Common_QEndDate,0,COLUMN())),"N/A")</f>
        <v>N/A</v>
      </c>
      <c r="AY1075" s="220" t="str">
        <f ca="1">IFERROR(_xll.TR(MO.Ticker.Thomson,"AVG(TR.Priceclose)","sdate:#1 edate:#2",,INDEX(MO_SNA_FPStartDate,0,COLUMN()),INDEX(MO_Common_QEndDate,0,COLUMN())),"N/A")</f>
        <v>N/A</v>
      </c>
      <c r="AZ1075" s="220" t="str">
        <f ca="1">IFERROR(_xll.TR(MO.Ticker.Thomson,"AVG(TR.Priceclose)","sdate:#1 edate:#2",,INDEX(MO_SNA_FPStartDate,0,COLUMN()),INDEX(MO_Common_QEndDate,0,COLUMN())),"N/A")</f>
        <v>N/A</v>
      </c>
      <c r="BA1075" s="220" t="str">
        <f ca="1">IFERROR(_xll.TR(MO.Ticker.Thomson,"AVG(TR.Priceclose)","sdate:#1 edate:#2",,INDEX(MO_SNA_FPStartDate,0,COLUMN()),INDEX(MO_Common_QEndDate,0,COLUMN())),"N/A")</f>
        <v>N/A</v>
      </c>
      <c r="BB1075" s="220" t="str">
        <f ca="1">IFERROR(_xll.TR(MO.Ticker.Thomson,"AVG(TR.Priceclose)","sdate:#1 edate:#2",,INDEX(MO_SNA_FPStartDate,0,COLUMN()),INDEX(MO_Common_QEndDate,0,COLUMN())),"N/A")</f>
        <v>N/A</v>
      </c>
      <c r="BC1075" s="220" t="str">
        <f ca="1">IFERROR(_xll.TR(MO.Ticker.Thomson,"AVG(TR.Priceclose)","sdate:#1 edate:#2",,INDEX(MO_SNA_FPStartDate,0,COLUMN()),INDEX(MO_Common_QEndDate,0,COLUMN())),"N/A")</f>
        <v>N/A</v>
      </c>
      <c r="BD1075" s="220" t="str">
        <f ca="1">IFERROR(_xll.TR(MO.Ticker.Thomson,"AVG(TR.Priceclose)","sdate:#1 edate:#2",,INDEX(MO_SNA_FPStartDate,0,COLUMN()),INDEX(MO_Common_QEndDate,0,COLUMN())),"N/A")</f>
        <v>N/A</v>
      </c>
      <c r="BE1075" s="220" t="str">
        <f ca="1">IFERROR(_xll.TR(MO.Ticker.Thomson,"AVG(TR.Priceclose)","sdate:#1 edate:#2",,INDEX(MO_SNA_FPStartDate,0,COLUMN()),INDEX(MO_Common_QEndDate,0,COLUMN())),"N/A")</f>
        <v>N/A</v>
      </c>
      <c r="BF1075" s="220" t="str">
        <f ca="1">IFERROR(_xll.TR(MO.Ticker.Thomson,"AVG(TR.Priceclose)","sdate:#1 edate:#2",,INDEX(MO_SNA_FPStartDate,0,COLUMN()),INDEX(MO_Common_QEndDate,0,COLUMN())),"N/A")</f>
        <v>N/A</v>
      </c>
      <c r="BG1075" s="220" t="str">
        <f ca="1">IFERROR(_xll.TR(MO.Ticker.Thomson,"AVG(TR.Priceclose)","sdate:#1 edate:#2",,INDEX(MO_SNA_FPStartDate,0,COLUMN()),INDEX(MO_Common_QEndDate,0,COLUMN())),"N/A")</f>
        <v>N/A</v>
      </c>
      <c r="BH1075" s="378" t="str">
        <f ca="1">IFERROR(_xll.TR(MO.Ticker.Thomson,"AVG(TR.Priceclose)","sdate:#1 edate:#2",,INDEX(MO_SNA_FPStartDate,0,COLUMN()),INDEX(MO_Common_QEndDate,0,COLUMN())),"N/A")</f>
        <v>N/A</v>
      </c>
      <c r="BI1075" s="175" t="str">
        <f ca="1">IFERROR(_xll.TR(MO.Ticker.Thomson,"AVG(TR.Priceclose)","sdate:#1 edate:#2",,INDEX(MO_SNA_FPStartDate,0,COLUMN()),INDEX(MO_Common_QEndDate,0,COLUMN())),"N/A")</f>
        <v>N/A</v>
      </c>
      <c r="BJ1075" s="175" t="str">
        <f ca="1">IFERROR(_xll.TR(MO.Ticker.Thomson,"AVG(TR.Priceclose)","sdate:#1 edate:#2",,INDEX(MO_SNA_FPStartDate,0,COLUMN()),INDEX(MO_Common_QEndDate,0,COLUMN())),"N/A")</f>
        <v>N/A</v>
      </c>
      <c r="BK1075" s="175" t="str">
        <f ca="1">IFERROR(_xll.TR(MO.Ticker.Thomson,"AVG(TR.Priceclose)","sdate:#1 edate:#2",,INDEX(MO_SNA_FPStartDate,0,COLUMN()),INDEX(MO_Common_QEndDate,0,COLUMN())),"N/A")</f>
        <v>N/A</v>
      </c>
      <c r="BL1075" s="175" t="str">
        <f ca="1">IFERROR(_xll.TR(MO.Ticker.Thomson,"AVG(TR.Priceclose)","sdate:#1 edate:#2",,INDEX(MO_SNA_FPStartDate,0,COLUMN()),INDEX(MO_Common_QEndDate,0,COLUMN())),"N/A")</f>
        <v>N/A</v>
      </c>
      <c r="BM1075" s="175" t="str">
        <f ca="1">IFERROR(_xll.TR(MO.Ticker.Thomson,"AVG(TR.Priceclose)","sdate:#1 edate:#2",,INDEX(MO_SNA_FPStartDate,0,COLUMN()),INDEX(MO_Common_QEndDate,0,COLUMN())),"N/A")</f>
        <v>N/A</v>
      </c>
      <c r="BN1075" s="175" t="str">
        <f ca="1">IFERROR(_xll.TR(MO.Ticker.Thomson,"AVG(TR.Priceclose)","sdate:#1 edate:#2",,INDEX(MO_SNA_FPStartDate,0,COLUMN()),INDEX(MO_Common_QEndDate,0,COLUMN())),"N/A")</f>
        <v>N/A</v>
      </c>
      <c r="BO1075" s="175" t="str">
        <f ca="1">IFERROR(_xll.TR(MO.Ticker.Thomson,"AVG(TR.Priceclose)","sdate:#1 edate:#2",,INDEX(MO_SNA_FPStartDate,0,COLUMN()),INDEX(MO_Common_QEndDate,0,COLUMN())),"N/A")</f>
        <v>N/A</v>
      </c>
      <c r="BP1075" s="220" t="str">
        <f ca="1">IFERROR(_xll.TR(MO.Ticker.Thomson,"AVG(TR.Priceclose)","sdate:#1 edate:#2",,INDEX(MO_SNA_FPStartDate,0,COLUMN()),INDEX(MO_Common_QEndDate,0,COLUMN())),"N/A")</f>
        <v>N/A</v>
      </c>
      <c r="BQ1075" s="220" t="str">
        <f ca="1">IFERROR(_xll.TR(MO.Ticker.Thomson,"AVG(TR.Priceclose)","sdate:#1 edate:#2",,INDEX(MO_SNA_FPStartDate,0,COLUMN()),INDEX(MO_Common_QEndDate,0,COLUMN())),"N/A")</f>
        <v>N/A</v>
      </c>
      <c r="BR1075" s="176" t="str">
        <f ca="1">IFERROR(_xll.TR(MO.Ticker.Thomson,"AVG(TR.Priceclose)","sdate:#1 edate:#2",,INDEX(MO_SNA_FPStartDate,0,COLUMN()),INDEX(MO_Common_QEndDate,0,COLUMN())),"N/A")</f>
        <v>N/A</v>
      </c>
      <c r="BS1075" s="268"/>
    </row>
    <row r="1076" spans="1:71" s="698" customFormat="1" ht="15" hidden="1" outlineLevel="1">
      <c r="A1076" s="152"/>
      <c r="B1076" s="992"/>
      <c r="C1076" s="304"/>
      <c r="D1076" s="304"/>
      <c r="E1076" s="993"/>
      <c r="F1076" s="993"/>
      <c r="G1076" s="993"/>
      <c r="H1076" s="993"/>
      <c r="I1076" s="993"/>
      <c r="J1076" s="993"/>
      <c r="K1076" s="993"/>
      <c r="L1076" s="993"/>
      <c r="M1076" s="993"/>
      <c r="N1076" s="993"/>
      <c r="O1076" s="993"/>
      <c r="P1076" s="993"/>
      <c r="Q1076" s="993"/>
      <c r="R1076" s="993"/>
      <c r="S1076" s="993"/>
      <c r="T1076" s="993"/>
      <c r="U1076" s="993"/>
      <c r="V1076" s="993"/>
      <c r="W1076" s="993"/>
      <c r="X1076" s="993"/>
      <c r="Y1076" s="993"/>
      <c r="Z1076" s="993"/>
      <c r="AA1076" s="993"/>
      <c r="AB1076" s="993"/>
      <c r="AC1076" s="993"/>
      <c r="AD1076" s="993"/>
      <c r="AE1076" s="993"/>
      <c r="AF1076" s="993"/>
      <c r="AG1076" s="993"/>
      <c r="AH1076" s="993"/>
      <c r="AI1076" s="993"/>
      <c r="AJ1076" s="993"/>
      <c r="AK1076" s="993"/>
      <c r="AL1076" s="993"/>
      <c r="AM1076" s="993"/>
      <c r="AN1076" s="993"/>
      <c r="AO1076" s="993"/>
      <c r="AP1076" s="993"/>
      <c r="AQ1076" s="993"/>
      <c r="AR1076" s="993"/>
      <c r="AS1076" s="993"/>
      <c r="AT1076" s="993"/>
      <c r="AU1076" s="993"/>
      <c r="AV1076" s="993"/>
      <c r="AW1076" s="993"/>
      <c r="AX1076" s="993"/>
      <c r="AY1076" s="993"/>
      <c r="AZ1076" s="993"/>
      <c r="BA1076" s="993"/>
      <c r="BB1076" s="993"/>
      <c r="BC1076" s="993"/>
      <c r="BD1076" s="993"/>
      <c r="BE1076" s="993"/>
      <c r="BF1076" s="993"/>
      <c r="BG1076" s="993"/>
      <c r="BH1076" s="994"/>
      <c r="BI1076" s="992"/>
      <c r="BJ1076" s="992"/>
      <c r="BK1076" s="992"/>
      <c r="BL1076" s="992"/>
      <c r="BM1076" s="992"/>
      <c r="BN1076" s="992"/>
      <c r="BO1076" s="992"/>
      <c r="BP1076" s="993"/>
      <c r="BQ1076" s="993"/>
      <c r="BR1076" s="151"/>
      <c r="BS1076" s="264"/>
    </row>
    <row r="1077" spans="1:71" s="695" customFormat="1" ht="15" collapsed="1">
      <c r="A1077" s="178" t="str">
        <f ca="1">"FX Average: "&amp;IF(OR(MO.RealTimeStockPriceToggle=FALSE,VLOOKUP(MO.DataSourceName,MO_SPT_FXAverage_Sources,COLUMN()+2,FALSE)="N/A"),"Real-Time Off Source",MO.DataSourceName)</f>
        <v>FX Average: Real-Time Off Source</v>
      </c>
      <c r="B1077" s="611"/>
      <c r="C1077" s="610">
        <f ca="1" t="shared" si="1988" ref="C1077:AH1077">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D1077" s="610">
        <f t="shared" ca="1" si="1988"/>
        <v>1</v>
      </c>
      <c r="E1077" s="611">
        <f t="shared" ca="1" si="1988"/>
        <v>1</v>
      </c>
      <c r="F1077" s="611">
        <f t="shared" ca="1" si="1988"/>
        <v>1</v>
      </c>
      <c r="G1077" s="611">
        <f t="shared" ca="1" si="1988"/>
        <v>1</v>
      </c>
      <c r="H1077" s="611">
        <f t="shared" ca="1" si="1988"/>
        <v>1</v>
      </c>
      <c r="I1077" s="611">
        <f t="shared" ca="1" si="1988"/>
        <v>1</v>
      </c>
      <c r="J1077" s="611">
        <f t="shared" ca="1" si="1988"/>
        <v>1</v>
      </c>
      <c r="K1077" s="611">
        <f t="shared" ca="1" si="1988"/>
        <v>1</v>
      </c>
      <c r="L1077" s="611">
        <f t="shared" ca="1" si="1988"/>
        <v>1</v>
      </c>
      <c r="M1077" s="611">
        <f t="shared" ca="1" si="1988"/>
        <v>1</v>
      </c>
      <c r="N1077" s="611">
        <f t="shared" ca="1" si="1988"/>
        <v>1</v>
      </c>
      <c r="O1077" s="611">
        <f t="shared" ca="1" si="1988"/>
        <v>1</v>
      </c>
      <c r="P1077" s="611">
        <f t="shared" ca="1" si="1988"/>
        <v>1</v>
      </c>
      <c r="Q1077" s="611">
        <f t="shared" ca="1" si="1988"/>
        <v>1</v>
      </c>
      <c r="R1077" s="611">
        <f t="shared" ca="1" si="1988"/>
        <v>1</v>
      </c>
      <c r="S1077" s="611">
        <f t="shared" ca="1" si="1988"/>
        <v>1</v>
      </c>
      <c r="T1077" s="611">
        <f t="shared" ca="1" si="1988"/>
        <v>1</v>
      </c>
      <c r="U1077" s="611">
        <f t="shared" ca="1" si="1988"/>
        <v>1</v>
      </c>
      <c r="V1077" s="611">
        <f t="shared" ca="1" si="1988"/>
        <v>1</v>
      </c>
      <c r="W1077" s="611">
        <f t="shared" ca="1" si="1988"/>
        <v>1</v>
      </c>
      <c r="X1077" s="611">
        <f t="shared" ca="1" si="1988"/>
        <v>1</v>
      </c>
      <c r="Y1077" s="611">
        <f t="shared" ca="1" si="1988"/>
        <v>1</v>
      </c>
      <c r="Z1077" s="611">
        <f t="shared" ca="1" si="1988"/>
        <v>1</v>
      </c>
      <c r="AA1077" s="611">
        <f t="shared" ca="1" si="1988"/>
        <v>1</v>
      </c>
      <c r="AB1077" s="611">
        <f t="shared" ca="1" si="1988"/>
        <v>1</v>
      </c>
      <c r="AC1077" s="611">
        <f t="shared" ca="1" si="1988"/>
        <v>1</v>
      </c>
      <c r="AD1077" s="611">
        <f t="shared" ca="1" si="1988"/>
        <v>1</v>
      </c>
      <c r="AE1077" s="611">
        <f t="shared" ca="1" si="1988"/>
        <v>1</v>
      </c>
      <c r="AF1077" s="611">
        <f t="shared" ca="1" si="1988"/>
        <v>1</v>
      </c>
      <c r="AG1077" s="611">
        <f t="shared" ca="1" si="1988"/>
        <v>1</v>
      </c>
      <c r="AH1077" s="611">
        <f t="shared" ca="1" si="1988"/>
        <v>1</v>
      </c>
      <c r="AI1077" s="611">
        <f ca="1" t="shared" si="1989" ref="AI1077:BJ1077">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AJ1077" s="611">
        <f t="shared" ca="1" si="1989"/>
        <v>1</v>
      </c>
      <c r="AK1077" s="611">
        <f t="shared" ca="1" si="1989"/>
        <v>1</v>
      </c>
      <c r="AL1077" s="611">
        <f t="shared" ca="1" si="1989"/>
        <v>1</v>
      </c>
      <c r="AM1077" s="611">
        <f t="shared" ca="1" si="1989"/>
        <v>1</v>
      </c>
      <c r="AN1077" s="611">
        <f t="shared" ca="1" si="1989"/>
        <v>1</v>
      </c>
      <c r="AO1077" s="611">
        <f t="shared" ca="1" si="1989"/>
        <v>1</v>
      </c>
      <c r="AP1077" s="611">
        <f t="shared" ca="1" si="1989"/>
        <v>1</v>
      </c>
      <c r="AQ1077" s="611">
        <f t="shared" ca="1" si="1989"/>
        <v>1</v>
      </c>
      <c r="AR1077" s="611">
        <f t="shared" ca="1" si="1989"/>
        <v>1</v>
      </c>
      <c r="AS1077" s="611">
        <f t="shared" ca="1" si="1989"/>
        <v>1</v>
      </c>
      <c r="AT1077" s="611">
        <f t="shared" ca="1" si="1989"/>
        <v>1</v>
      </c>
      <c r="AU1077" s="611">
        <f t="shared" ca="1" si="1989"/>
        <v>1</v>
      </c>
      <c r="AV1077" s="611">
        <f t="shared" ca="1" si="1989"/>
        <v>1</v>
      </c>
      <c r="AW1077" s="611">
        <f t="shared" ca="1" si="1989"/>
        <v>1</v>
      </c>
      <c r="AX1077" s="611">
        <f t="shared" ca="1" si="1989"/>
        <v>1</v>
      </c>
      <c r="AY1077" s="611">
        <f t="shared" ca="1" si="1989"/>
        <v>1</v>
      </c>
      <c r="AZ1077" s="611">
        <f t="shared" ca="1" si="1989"/>
        <v>1</v>
      </c>
      <c r="BA1077" s="611">
        <f ca="1" t="shared" si="1990" ref="BA1077:BI1077">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B1077" s="611">
        <f t="shared" ca="1" si="1990"/>
        <v>1</v>
      </c>
      <c r="BC1077" s="611">
        <f t="shared" ca="1" si="1990"/>
        <v>1</v>
      </c>
      <c r="BD1077" s="611">
        <f t="shared" ca="1" si="1990"/>
        <v>1</v>
      </c>
      <c r="BE1077" s="611">
        <f t="shared" ca="1" si="1990"/>
        <v>1</v>
      </c>
      <c r="BF1077" s="611">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G1077" s="611">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H1077" s="612">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I1077" s="611">
        <f t="shared" ca="1" si="1990"/>
        <v>1</v>
      </c>
      <c r="BJ1077" s="611">
        <f t="shared" ca="1" si="1989"/>
        <v>1</v>
      </c>
      <c r="BK1077" s="611">
        <f ca="1" t="shared" si="1991" ref="BK1077:BR1077">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L1077" s="611">
        <f t="shared" ca="1" si="1991"/>
        <v>1</v>
      </c>
      <c r="BM1077" s="611">
        <f t="shared" ca="1" si="1991"/>
        <v>1</v>
      </c>
      <c r="BN1077" s="611">
        <f t="shared" ca="1" si="1991"/>
        <v>1</v>
      </c>
      <c r="BO1077" s="611">
        <f t="shared" ca="1" si="1991"/>
        <v>1</v>
      </c>
      <c r="BP1077" s="611">
        <f t="shared" ca="1" si="1991"/>
        <v>1</v>
      </c>
      <c r="BQ1077" s="611">
        <f t="shared" ca="1" si="1991"/>
        <v>1</v>
      </c>
      <c r="BR1077" s="613">
        <f t="shared" ca="1" si="1991"/>
        <v>1</v>
      </c>
      <c r="BS1077" s="269"/>
    </row>
    <row r="1078" spans="1:71" s="695" customFormat="1" ht="15" hidden="1" outlineLevel="1">
      <c r="A1078" s="179" t="s">
        <v>262</v>
      </c>
      <c r="B1078" s="332"/>
      <c r="C1078" s="1302">
        <v>1</v>
      </c>
      <c r="D1078" s="1302">
        <v>1</v>
      </c>
      <c r="E1078" s="1303">
        <v>1</v>
      </c>
      <c r="F1078" s="1303">
        <v>1</v>
      </c>
      <c r="G1078" s="1303">
        <v>1</v>
      </c>
      <c r="H1078" s="1303">
        <v>1</v>
      </c>
      <c r="I1078" s="1303">
        <v>1</v>
      </c>
      <c r="J1078" s="1303">
        <v>1</v>
      </c>
      <c r="K1078" s="1303">
        <v>1</v>
      </c>
      <c r="L1078" s="1303">
        <v>1</v>
      </c>
      <c r="M1078" s="1303">
        <v>1</v>
      </c>
      <c r="N1078" s="1303">
        <v>1</v>
      </c>
      <c r="O1078" s="1303">
        <v>1</v>
      </c>
      <c r="P1078" s="1303">
        <v>1</v>
      </c>
      <c r="Q1078" s="1303">
        <v>1</v>
      </c>
      <c r="R1078" s="1303">
        <v>1</v>
      </c>
      <c r="S1078" s="1303">
        <v>1</v>
      </c>
      <c r="T1078" s="1303">
        <v>1</v>
      </c>
      <c r="U1078" s="1303">
        <v>1</v>
      </c>
      <c r="V1078" s="1303">
        <v>1</v>
      </c>
      <c r="W1078" s="1303">
        <v>1</v>
      </c>
      <c r="X1078" s="1303">
        <v>1</v>
      </c>
      <c r="Y1078" s="1303">
        <v>1</v>
      </c>
      <c r="Z1078" s="1303">
        <v>1</v>
      </c>
      <c r="AA1078" s="1303">
        <v>1</v>
      </c>
      <c r="AB1078" s="1303">
        <v>1</v>
      </c>
      <c r="AC1078" s="1303">
        <v>1</v>
      </c>
      <c r="AD1078" s="1303">
        <v>1</v>
      </c>
      <c r="AE1078" s="1303">
        <v>1</v>
      </c>
      <c r="AF1078" s="1303">
        <v>1</v>
      </c>
      <c r="AG1078" s="1303">
        <v>1</v>
      </c>
      <c r="AH1078" s="1303">
        <v>1</v>
      </c>
      <c r="AI1078" s="1303">
        <v>1</v>
      </c>
      <c r="AJ1078" s="1303">
        <v>1</v>
      </c>
      <c r="AK1078" s="1303">
        <v>1</v>
      </c>
      <c r="AL1078" s="1303">
        <v>1</v>
      </c>
      <c r="AM1078" s="1303">
        <v>1</v>
      </c>
      <c r="AN1078" s="1303">
        <v>1</v>
      </c>
      <c r="AO1078" s="1303">
        <v>1</v>
      </c>
      <c r="AP1078" s="1303">
        <v>1</v>
      </c>
      <c r="AQ1078" s="1303">
        <v>1</v>
      </c>
      <c r="AR1078" s="1303">
        <v>1</v>
      </c>
      <c r="AS1078" s="1303">
        <v>1</v>
      </c>
      <c r="AT1078" s="1303">
        <v>1</v>
      </c>
      <c r="AU1078" s="1303">
        <v>1</v>
      </c>
      <c r="AV1078" s="1303">
        <v>1</v>
      </c>
      <c r="AW1078" s="1303">
        <v>1</v>
      </c>
      <c r="AX1078" s="1303">
        <v>1</v>
      </c>
      <c r="AY1078" s="1303">
        <v>1</v>
      </c>
      <c r="AZ1078" s="1303">
        <v>1</v>
      </c>
      <c r="BA1078" s="1303">
        <v>1</v>
      </c>
      <c r="BB1078" s="1303">
        <v>1</v>
      </c>
      <c r="BC1078" s="1303">
        <v>1</v>
      </c>
      <c r="BD1078" s="1303">
        <v>1</v>
      </c>
      <c r="BE1078" s="1303">
        <v>1</v>
      </c>
      <c r="BF1078" s="1303">
        <v>1</v>
      </c>
      <c r="BG1078" s="1303">
        <v>1</v>
      </c>
      <c r="BH1078" s="1304">
        <v>1</v>
      </c>
      <c r="BI1078" s="332">
        <f t="shared" si="1992" ref="BI1078:BR1078">MO.MRFX.Hardcoded</f>
        <v>1</v>
      </c>
      <c r="BJ1078" s="332">
        <f t="shared" si="1992"/>
        <v>1</v>
      </c>
      <c r="BK1078" s="332">
        <f t="shared" si="1992"/>
        <v>1</v>
      </c>
      <c r="BL1078" s="332">
        <f t="shared" si="1992"/>
        <v>1</v>
      </c>
      <c r="BM1078" s="332">
        <f t="shared" si="1992"/>
        <v>1</v>
      </c>
      <c r="BN1078" s="332">
        <f t="shared" si="1992"/>
        <v>1</v>
      </c>
      <c r="BO1078" s="332">
        <f t="shared" si="1992"/>
        <v>1</v>
      </c>
      <c r="BP1078" s="611">
        <f t="shared" si="1992"/>
        <v>1</v>
      </c>
      <c r="BQ1078" s="611">
        <f t="shared" si="1992"/>
        <v>1</v>
      </c>
      <c r="BR1078" s="613">
        <f t="shared" si="1992"/>
        <v>1</v>
      </c>
      <c r="BS1078" s="269"/>
    </row>
    <row r="1079" spans="1:71" s="695" customFormat="1" ht="15" hidden="1" outlineLevel="1">
      <c r="A1079" s="179" t="s">
        <v>7</v>
      </c>
      <c r="B1079" s="332"/>
      <c r="C1079" s="61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1079" s="61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T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U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V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W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X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Y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Z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T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U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V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W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X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Y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Z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A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B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C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D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E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F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G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H1079" s="61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I1079" s="3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J1079" s="3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K1079" s="3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L1079" s="3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M1079" s="3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N1079" s="3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O1079" s="3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P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Q1079" s="61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R1079" s="61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S1079" s="269"/>
    </row>
    <row r="1080" spans="1:71" s="695" customFormat="1" ht="15" hidden="1" outlineLevel="1">
      <c r="A1080" s="179" t="s">
        <v>263</v>
      </c>
      <c r="B1080" s="332"/>
      <c r="C1080" s="610" t="str">
        <f ca="1">IFERROR(IF(INDEX(MO_Common_QEndDate,0,COLUMN())&gt;TODAY(),CIQ("$"&amp;HP.TradeCurrency&amp;MO.ReportCurrency,"IQ_LASTSALEPRICE"),CIQAVG("$"&amp;HP.TradeCurrency&amp;MO.ReportCurrency,"IQ_LASTSALEPRICE",INDEX(MO_SNA_FPStartDate,0,COLUMN()),INDEX(MO_Common_QEndDate,0,COLUMN()))),"N/A")</f>
        <v>N/A</v>
      </c>
      <c r="D1080" s="610" t="str">
        <f ca="1">IFERROR(IF(INDEX(MO_Common_QEndDate,0,COLUMN())&gt;TODAY(),CIQ("$"&amp;HP.TradeCurrency&amp;MO.ReportCurrency,"IQ_LASTSALEPRICE"),CIQAVG("$"&amp;HP.TradeCurrency&amp;MO.ReportCurrency,"IQ_LASTSALEPRICE",INDEX(MO_SNA_FPStartDate,0,COLUMN()),INDEX(MO_Common_QEndDate,0,COLUMN()))),"N/A")</f>
        <v>N/A</v>
      </c>
      <c r="E1080" s="611" t="str">
        <f ca="1">IFERROR(IF(INDEX(MO_Common_QEndDate,0,COLUMN())&gt;TODAY(),CIQ("$"&amp;HP.TradeCurrency&amp;MO.ReportCurrency,"IQ_LASTSALEPRICE"),CIQAVG("$"&amp;HP.TradeCurrency&amp;MO.ReportCurrency,"IQ_LASTSALEPRICE",INDEX(MO_SNA_FPStartDate,0,COLUMN()),INDEX(MO_Common_QEndDate,0,COLUMN()))),"N/A")</f>
        <v>N/A</v>
      </c>
      <c r="F1080" s="611" t="str">
        <f ca="1">IFERROR(IF(INDEX(MO_Common_QEndDate,0,COLUMN())&gt;TODAY(),CIQ("$"&amp;HP.TradeCurrency&amp;MO.ReportCurrency,"IQ_LASTSALEPRICE"),CIQAVG("$"&amp;HP.TradeCurrency&amp;MO.ReportCurrency,"IQ_LASTSALEPRICE",INDEX(MO_SNA_FPStartDate,0,COLUMN()),INDEX(MO_Common_QEndDate,0,COLUMN()))),"N/A")</f>
        <v>N/A</v>
      </c>
      <c r="G1080" s="611" t="str">
        <f ca="1">IFERROR(IF(INDEX(MO_Common_QEndDate,0,COLUMN())&gt;TODAY(),CIQ("$"&amp;HP.TradeCurrency&amp;MO.ReportCurrency,"IQ_LASTSALEPRICE"),CIQAVG("$"&amp;HP.TradeCurrency&amp;MO.ReportCurrency,"IQ_LASTSALEPRICE",INDEX(MO_SNA_FPStartDate,0,COLUMN()),INDEX(MO_Common_QEndDate,0,COLUMN()))),"N/A")</f>
        <v>N/A</v>
      </c>
      <c r="H1080" s="611" t="str">
        <f ca="1">IFERROR(IF(INDEX(MO_Common_QEndDate,0,COLUMN())&gt;TODAY(),CIQ("$"&amp;HP.TradeCurrency&amp;MO.ReportCurrency,"IQ_LASTSALEPRICE"),CIQAVG("$"&amp;HP.TradeCurrency&amp;MO.ReportCurrency,"IQ_LASTSALEPRICE",INDEX(MO_SNA_FPStartDate,0,COLUMN()),INDEX(MO_Common_QEndDate,0,COLUMN()))),"N/A")</f>
        <v>N/A</v>
      </c>
      <c r="I1080" s="611" t="str">
        <f ca="1">IFERROR(IF(INDEX(MO_Common_QEndDate,0,COLUMN())&gt;TODAY(),CIQ("$"&amp;HP.TradeCurrency&amp;MO.ReportCurrency,"IQ_LASTSALEPRICE"),CIQAVG("$"&amp;HP.TradeCurrency&amp;MO.ReportCurrency,"IQ_LASTSALEPRICE",INDEX(MO_SNA_FPStartDate,0,COLUMN()),INDEX(MO_Common_QEndDate,0,COLUMN()))),"N/A")</f>
        <v>N/A</v>
      </c>
      <c r="J1080" s="611" t="str">
        <f ca="1">IFERROR(IF(INDEX(MO_Common_QEndDate,0,COLUMN())&gt;TODAY(),CIQ("$"&amp;HP.TradeCurrency&amp;MO.ReportCurrency,"IQ_LASTSALEPRICE"),CIQAVG("$"&amp;HP.TradeCurrency&amp;MO.ReportCurrency,"IQ_LASTSALEPRICE",INDEX(MO_SNA_FPStartDate,0,COLUMN()),INDEX(MO_Common_QEndDate,0,COLUMN()))),"N/A")</f>
        <v>N/A</v>
      </c>
      <c r="K1080" s="611" t="str">
        <f ca="1">IFERROR(IF(INDEX(MO_Common_QEndDate,0,COLUMN())&gt;TODAY(),CIQ("$"&amp;HP.TradeCurrency&amp;MO.ReportCurrency,"IQ_LASTSALEPRICE"),CIQAVG("$"&amp;HP.TradeCurrency&amp;MO.ReportCurrency,"IQ_LASTSALEPRICE",INDEX(MO_SNA_FPStartDate,0,COLUMN()),INDEX(MO_Common_QEndDate,0,COLUMN()))),"N/A")</f>
        <v>N/A</v>
      </c>
      <c r="L1080" s="611" t="str">
        <f ca="1">IFERROR(IF(INDEX(MO_Common_QEndDate,0,COLUMN())&gt;TODAY(),CIQ("$"&amp;HP.TradeCurrency&amp;MO.ReportCurrency,"IQ_LASTSALEPRICE"),CIQAVG("$"&amp;HP.TradeCurrency&amp;MO.ReportCurrency,"IQ_LASTSALEPRICE",INDEX(MO_SNA_FPStartDate,0,COLUMN()),INDEX(MO_Common_QEndDate,0,COLUMN()))),"N/A")</f>
        <v>N/A</v>
      </c>
      <c r="M1080" s="611" t="str">
        <f ca="1">IFERROR(IF(INDEX(MO_Common_QEndDate,0,COLUMN())&gt;TODAY(),CIQ("$"&amp;HP.TradeCurrency&amp;MO.ReportCurrency,"IQ_LASTSALEPRICE"),CIQAVG("$"&amp;HP.TradeCurrency&amp;MO.ReportCurrency,"IQ_LASTSALEPRICE",INDEX(MO_SNA_FPStartDate,0,COLUMN()),INDEX(MO_Common_QEndDate,0,COLUMN()))),"N/A")</f>
        <v>N/A</v>
      </c>
      <c r="N1080" s="611" t="str">
        <f ca="1">IFERROR(IF(INDEX(MO_Common_QEndDate,0,COLUMN())&gt;TODAY(),CIQ("$"&amp;HP.TradeCurrency&amp;MO.ReportCurrency,"IQ_LASTSALEPRICE"),CIQAVG("$"&amp;HP.TradeCurrency&amp;MO.ReportCurrency,"IQ_LASTSALEPRICE",INDEX(MO_SNA_FPStartDate,0,COLUMN()),INDEX(MO_Common_QEndDate,0,COLUMN()))),"N/A")</f>
        <v>N/A</v>
      </c>
      <c r="O1080" s="611" t="str">
        <f ca="1">IFERROR(IF(INDEX(MO_Common_QEndDate,0,COLUMN())&gt;TODAY(),CIQ("$"&amp;HP.TradeCurrency&amp;MO.ReportCurrency,"IQ_LASTSALEPRICE"),CIQAVG("$"&amp;HP.TradeCurrency&amp;MO.ReportCurrency,"IQ_LASTSALEPRICE",INDEX(MO_SNA_FPStartDate,0,COLUMN()),INDEX(MO_Common_QEndDate,0,COLUMN()))),"N/A")</f>
        <v>N/A</v>
      </c>
      <c r="P1080" s="611" t="str">
        <f ca="1">IFERROR(IF(INDEX(MO_Common_QEndDate,0,COLUMN())&gt;TODAY(),CIQ("$"&amp;HP.TradeCurrency&amp;MO.ReportCurrency,"IQ_LASTSALEPRICE"),CIQAVG("$"&amp;HP.TradeCurrency&amp;MO.ReportCurrency,"IQ_LASTSALEPRICE",INDEX(MO_SNA_FPStartDate,0,COLUMN()),INDEX(MO_Common_QEndDate,0,COLUMN()))),"N/A")</f>
        <v>N/A</v>
      </c>
      <c r="Q1080" s="611" t="str">
        <f ca="1">IFERROR(IF(INDEX(MO_Common_QEndDate,0,COLUMN())&gt;TODAY(),CIQ("$"&amp;HP.TradeCurrency&amp;MO.ReportCurrency,"IQ_LASTSALEPRICE"),CIQAVG("$"&amp;HP.TradeCurrency&amp;MO.ReportCurrency,"IQ_LASTSALEPRICE",INDEX(MO_SNA_FPStartDate,0,COLUMN()),INDEX(MO_Common_QEndDate,0,COLUMN()))),"N/A")</f>
        <v>N/A</v>
      </c>
      <c r="R1080" s="611" t="str">
        <f ca="1">IFERROR(IF(INDEX(MO_Common_QEndDate,0,COLUMN())&gt;TODAY(),CIQ("$"&amp;HP.TradeCurrency&amp;MO.ReportCurrency,"IQ_LASTSALEPRICE"),CIQAVG("$"&amp;HP.TradeCurrency&amp;MO.ReportCurrency,"IQ_LASTSALEPRICE",INDEX(MO_SNA_FPStartDate,0,COLUMN()),INDEX(MO_Common_QEndDate,0,COLUMN()))),"N/A")</f>
        <v>N/A</v>
      </c>
      <c r="S1080" s="611" t="str">
        <f ca="1">IFERROR(IF(INDEX(MO_Common_QEndDate,0,COLUMN())&gt;TODAY(),CIQ("$"&amp;HP.TradeCurrency&amp;MO.ReportCurrency,"IQ_LASTSALEPRICE"),CIQAVG("$"&amp;HP.TradeCurrency&amp;MO.ReportCurrency,"IQ_LASTSALEPRICE",INDEX(MO_SNA_FPStartDate,0,COLUMN()),INDEX(MO_Common_QEndDate,0,COLUMN()))),"N/A")</f>
        <v>N/A</v>
      </c>
      <c r="T1080" s="611" t="str">
        <f ca="1">IFERROR(IF(INDEX(MO_Common_QEndDate,0,COLUMN())&gt;TODAY(),CIQ("$"&amp;HP.TradeCurrency&amp;MO.ReportCurrency,"IQ_LASTSALEPRICE"),CIQAVG("$"&amp;HP.TradeCurrency&amp;MO.ReportCurrency,"IQ_LASTSALEPRICE",INDEX(MO_SNA_FPStartDate,0,COLUMN()),INDEX(MO_Common_QEndDate,0,COLUMN()))),"N/A")</f>
        <v>N/A</v>
      </c>
      <c r="U1080" s="611" t="str">
        <f ca="1">IFERROR(IF(INDEX(MO_Common_QEndDate,0,COLUMN())&gt;TODAY(),CIQ("$"&amp;HP.TradeCurrency&amp;MO.ReportCurrency,"IQ_LASTSALEPRICE"),CIQAVG("$"&amp;HP.TradeCurrency&amp;MO.ReportCurrency,"IQ_LASTSALEPRICE",INDEX(MO_SNA_FPStartDate,0,COLUMN()),INDEX(MO_Common_QEndDate,0,COLUMN()))),"N/A")</f>
        <v>N/A</v>
      </c>
      <c r="V1080" s="611" t="str">
        <f ca="1">IFERROR(IF(INDEX(MO_Common_QEndDate,0,COLUMN())&gt;TODAY(),CIQ("$"&amp;HP.TradeCurrency&amp;MO.ReportCurrency,"IQ_LASTSALEPRICE"),CIQAVG("$"&amp;HP.TradeCurrency&amp;MO.ReportCurrency,"IQ_LASTSALEPRICE",INDEX(MO_SNA_FPStartDate,0,COLUMN()),INDEX(MO_Common_QEndDate,0,COLUMN()))),"N/A")</f>
        <v>N/A</v>
      </c>
      <c r="W1080" s="611" t="str">
        <f ca="1">IFERROR(IF(INDEX(MO_Common_QEndDate,0,COLUMN())&gt;TODAY(),CIQ("$"&amp;HP.TradeCurrency&amp;MO.ReportCurrency,"IQ_LASTSALEPRICE"),CIQAVG("$"&amp;HP.TradeCurrency&amp;MO.ReportCurrency,"IQ_LASTSALEPRICE",INDEX(MO_SNA_FPStartDate,0,COLUMN()),INDEX(MO_Common_QEndDate,0,COLUMN()))),"N/A")</f>
        <v>N/A</v>
      </c>
      <c r="X1080" s="611" t="str">
        <f ca="1">IFERROR(IF(INDEX(MO_Common_QEndDate,0,COLUMN())&gt;TODAY(),CIQ("$"&amp;HP.TradeCurrency&amp;MO.ReportCurrency,"IQ_LASTSALEPRICE"),CIQAVG("$"&amp;HP.TradeCurrency&amp;MO.ReportCurrency,"IQ_LASTSALEPRICE",INDEX(MO_SNA_FPStartDate,0,COLUMN()),INDEX(MO_Common_QEndDate,0,COLUMN()))),"N/A")</f>
        <v>N/A</v>
      </c>
      <c r="Y1080" s="611" t="str">
        <f ca="1">IFERROR(IF(INDEX(MO_Common_QEndDate,0,COLUMN())&gt;TODAY(),CIQ("$"&amp;HP.TradeCurrency&amp;MO.ReportCurrency,"IQ_LASTSALEPRICE"),CIQAVG("$"&amp;HP.TradeCurrency&amp;MO.ReportCurrency,"IQ_LASTSALEPRICE",INDEX(MO_SNA_FPStartDate,0,COLUMN()),INDEX(MO_Common_QEndDate,0,COLUMN()))),"N/A")</f>
        <v>N/A</v>
      </c>
      <c r="Z1080" s="611" t="str">
        <f ca="1">IFERROR(IF(INDEX(MO_Common_QEndDate,0,COLUMN())&gt;TODAY(),CIQ("$"&amp;HP.TradeCurrency&amp;MO.ReportCurrency,"IQ_LASTSALEPRICE"),CIQAVG("$"&amp;HP.TradeCurrency&amp;MO.ReportCurrency,"IQ_LASTSALEPRICE",INDEX(MO_SNA_FPStartDate,0,COLUMN()),INDEX(MO_Common_QEndDate,0,COLUMN()))),"N/A")</f>
        <v>N/A</v>
      </c>
      <c r="AA1080" s="611" t="str">
        <f ca="1">IFERROR(IF(INDEX(MO_Common_QEndDate,0,COLUMN())&gt;TODAY(),CIQ("$"&amp;HP.TradeCurrency&amp;MO.ReportCurrency,"IQ_LASTSALEPRICE"),CIQAVG("$"&amp;HP.TradeCurrency&amp;MO.ReportCurrency,"IQ_LASTSALEPRICE",INDEX(MO_SNA_FPStartDate,0,COLUMN()),INDEX(MO_Common_QEndDate,0,COLUMN()))),"N/A")</f>
        <v>N/A</v>
      </c>
      <c r="AB1080" s="611" t="str">
        <f ca="1">IFERROR(IF(INDEX(MO_Common_QEndDate,0,COLUMN())&gt;TODAY(),CIQ("$"&amp;HP.TradeCurrency&amp;MO.ReportCurrency,"IQ_LASTSALEPRICE"),CIQAVG("$"&amp;HP.TradeCurrency&amp;MO.ReportCurrency,"IQ_LASTSALEPRICE",INDEX(MO_SNA_FPStartDate,0,COLUMN()),INDEX(MO_Common_QEndDate,0,COLUMN()))),"N/A")</f>
        <v>N/A</v>
      </c>
      <c r="AC1080" s="611" t="str">
        <f ca="1">IFERROR(IF(INDEX(MO_Common_QEndDate,0,COLUMN())&gt;TODAY(),CIQ("$"&amp;HP.TradeCurrency&amp;MO.ReportCurrency,"IQ_LASTSALEPRICE"),CIQAVG("$"&amp;HP.TradeCurrency&amp;MO.ReportCurrency,"IQ_LASTSALEPRICE",INDEX(MO_SNA_FPStartDate,0,COLUMN()),INDEX(MO_Common_QEndDate,0,COLUMN()))),"N/A")</f>
        <v>N/A</v>
      </c>
      <c r="AD1080" s="611" t="str">
        <f ca="1">IFERROR(IF(INDEX(MO_Common_QEndDate,0,COLUMN())&gt;TODAY(),CIQ("$"&amp;HP.TradeCurrency&amp;MO.ReportCurrency,"IQ_LASTSALEPRICE"),CIQAVG("$"&amp;HP.TradeCurrency&amp;MO.ReportCurrency,"IQ_LASTSALEPRICE",INDEX(MO_SNA_FPStartDate,0,COLUMN()),INDEX(MO_Common_QEndDate,0,COLUMN()))),"N/A")</f>
        <v>N/A</v>
      </c>
      <c r="AE1080" s="611" t="str">
        <f ca="1">IFERROR(IF(INDEX(MO_Common_QEndDate,0,COLUMN())&gt;TODAY(),CIQ("$"&amp;HP.TradeCurrency&amp;MO.ReportCurrency,"IQ_LASTSALEPRICE"),CIQAVG("$"&amp;HP.TradeCurrency&amp;MO.ReportCurrency,"IQ_LASTSALEPRICE",INDEX(MO_SNA_FPStartDate,0,COLUMN()),INDEX(MO_Common_QEndDate,0,COLUMN()))),"N/A")</f>
        <v>N/A</v>
      </c>
      <c r="AF1080" s="611" t="str">
        <f ca="1">IFERROR(IF(INDEX(MO_Common_QEndDate,0,COLUMN())&gt;TODAY(),CIQ("$"&amp;HP.TradeCurrency&amp;MO.ReportCurrency,"IQ_LASTSALEPRICE"),CIQAVG("$"&amp;HP.TradeCurrency&amp;MO.ReportCurrency,"IQ_LASTSALEPRICE",INDEX(MO_SNA_FPStartDate,0,COLUMN()),INDEX(MO_Common_QEndDate,0,COLUMN()))),"N/A")</f>
        <v>N/A</v>
      </c>
      <c r="AG1080" s="611" t="str">
        <f ca="1">IFERROR(IF(INDEX(MO_Common_QEndDate,0,COLUMN())&gt;TODAY(),CIQ("$"&amp;HP.TradeCurrency&amp;MO.ReportCurrency,"IQ_LASTSALEPRICE"),CIQAVG("$"&amp;HP.TradeCurrency&amp;MO.ReportCurrency,"IQ_LASTSALEPRICE",INDEX(MO_SNA_FPStartDate,0,COLUMN()),INDEX(MO_Common_QEndDate,0,COLUMN()))),"N/A")</f>
        <v>N/A</v>
      </c>
      <c r="AH1080" s="611" t="str">
        <f ca="1">IFERROR(IF(INDEX(MO_Common_QEndDate,0,COLUMN())&gt;TODAY(),CIQ("$"&amp;HP.TradeCurrency&amp;MO.ReportCurrency,"IQ_LASTSALEPRICE"),CIQAVG("$"&amp;HP.TradeCurrency&amp;MO.ReportCurrency,"IQ_LASTSALEPRICE",INDEX(MO_SNA_FPStartDate,0,COLUMN()),INDEX(MO_Common_QEndDate,0,COLUMN()))),"N/A")</f>
        <v>N/A</v>
      </c>
      <c r="AI1080" s="611" t="str">
        <f ca="1">IFERROR(IF(INDEX(MO_Common_QEndDate,0,COLUMN())&gt;TODAY(),CIQ("$"&amp;HP.TradeCurrency&amp;MO.ReportCurrency,"IQ_LASTSALEPRICE"),CIQAVG("$"&amp;HP.TradeCurrency&amp;MO.ReportCurrency,"IQ_LASTSALEPRICE",INDEX(MO_SNA_FPStartDate,0,COLUMN()),INDEX(MO_Common_QEndDate,0,COLUMN()))),"N/A")</f>
        <v>N/A</v>
      </c>
      <c r="AJ1080" s="611" t="str">
        <f ca="1">IFERROR(IF(INDEX(MO_Common_QEndDate,0,COLUMN())&gt;TODAY(),CIQ("$"&amp;HP.TradeCurrency&amp;MO.ReportCurrency,"IQ_LASTSALEPRICE"),CIQAVG("$"&amp;HP.TradeCurrency&amp;MO.ReportCurrency,"IQ_LASTSALEPRICE",INDEX(MO_SNA_FPStartDate,0,COLUMN()),INDEX(MO_Common_QEndDate,0,COLUMN()))),"N/A")</f>
        <v>N/A</v>
      </c>
      <c r="AK1080" s="611" t="str">
        <f ca="1">IFERROR(IF(INDEX(MO_Common_QEndDate,0,COLUMN())&gt;TODAY(),CIQ("$"&amp;HP.TradeCurrency&amp;MO.ReportCurrency,"IQ_LASTSALEPRICE"),CIQAVG("$"&amp;HP.TradeCurrency&amp;MO.ReportCurrency,"IQ_LASTSALEPRICE",INDEX(MO_SNA_FPStartDate,0,COLUMN()),INDEX(MO_Common_QEndDate,0,COLUMN()))),"N/A")</f>
        <v>N/A</v>
      </c>
      <c r="AL1080" s="611" t="str">
        <f ca="1">IFERROR(IF(INDEX(MO_Common_QEndDate,0,COLUMN())&gt;TODAY(),CIQ("$"&amp;HP.TradeCurrency&amp;MO.ReportCurrency,"IQ_LASTSALEPRICE"),CIQAVG("$"&amp;HP.TradeCurrency&amp;MO.ReportCurrency,"IQ_LASTSALEPRICE",INDEX(MO_SNA_FPStartDate,0,COLUMN()),INDEX(MO_Common_QEndDate,0,COLUMN()))),"N/A")</f>
        <v>N/A</v>
      </c>
      <c r="AM1080" s="611" t="str">
        <f ca="1">IFERROR(IF(INDEX(MO_Common_QEndDate,0,COLUMN())&gt;TODAY(),CIQ("$"&amp;HP.TradeCurrency&amp;MO.ReportCurrency,"IQ_LASTSALEPRICE"),CIQAVG("$"&amp;HP.TradeCurrency&amp;MO.ReportCurrency,"IQ_LASTSALEPRICE",INDEX(MO_SNA_FPStartDate,0,COLUMN()),INDEX(MO_Common_QEndDate,0,COLUMN()))),"N/A")</f>
        <v>N/A</v>
      </c>
      <c r="AN1080" s="611" t="str">
        <f ca="1">IFERROR(IF(INDEX(MO_Common_QEndDate,0,COLUMN())&gt;TODAY(),CIQ("$"&amp;HP.TradeCurrency&amp;MO.ReportCurrency,"IQ_LASTSALEPRICE"),CIQAVG("$"&amp;HP.TradeCurrency&amp;MO.ReportCurrency,"IQ_LASTSALEPRICE",INDEX(MO_SNA_FPStartDate,0,COLUMN()),INDEX(MO_Common_QEndDate,0,COLUMN()))),"N/A")</f>
        <v>N/A</v>
      </c>
      <c r="AO1080" s="611" t="str">
        <f ca="1">IFERROR(IF(INDEX(MO_Common_QEndDate,0,COLUMN())&gt;TODAY(),CIQ("$"&amp;HP.TradeCurrency&amp;MO.ReportCurrency,"IQ_LASTSALEPRICE"),CIQAVG("$"&amp;HP.TradeCurrency&amp;MO.ReportCurrency,"IQ_LASTSALEPRICE",INDEX(MO_SNA_FPStartDate,0,COLUMN()),INDEX(MO_Common_QEndDate,0,COLUMN()))),"N/A")</f>
        <v>N/A</v>
      </c>
      <c r="AP1080" s="611" t="str">
        <f ca="1">IFERROR(IF(INDEX(MO_Common_QEndDate,0,COLUMN())&gt;TODAY(),CIQ("$"&amp;HP.TradeCurrency&amp;MO.ReportCurrency,"IQ_LASTSALEPRICE"),CIQAVG("$"&amp;HP.TradeCurrency&amp;MO.ReportCurrency,"IQ_LASTSALEPRICE",INDEX(MO_SNA_FPStartDate,0,COLUMN()),INDEX(MO_Common_QEndDate,0,COLUMN()))),"N/A")</f>
        <v>N/A</v>
      </c>
      <c r="AQ1080" s="611" t="str">
        <f ca="1">IFERROR(IF(INDEX(MO_Common_QEndDate,0,COLUMN())&gt;TODAY(),CIQ("$"&amp;HP.TradeCurrency&amp;MO.ReportCurrency,"IQ_LASTSALEPRICE"),CIQAVG("$"&amp;HP.TradeCurrency&amp;MO.ReportCurrency,"IQ_LASTSALEPRICE",INDEX(MO_SNA_FPStartDate,0,COLUMN()),INDEX(MO_Common_QEndDate,0,COLUMN()))),"N/A")</f>
        <v>N/A</v>
      </c>
      <c r="AR1080" s="611" t="str">
        <f ca="1">IFERROR(IF(INDEX(MO_Common_QEndDate,0,COLUMN())&gt;TODAY(),CIQ("$"&amp;HP.TradeCurrency&amp;MO.ReportCurrency,"IQ_LASTSALEPRICE"),CIQAVG("$"&amp;HP.TradeCurrency&amp;MO.ReportCurrency,"IQ_LASTSALEPRICE",INDEX(MO_SNA_FPStartDate,0,COLUMN()),INDEX(MO_Common_QEndDate,0,COLUMN()))),"N/A")</f>
        <v>N/A</v>
      </c>
      <c r="AS1080" s="611" t="str">
        <f ca="1">IFERROR(IF(INDEX(MO_Common_QEndDate,0,COLUMN())&gt;TODAY(),CIQ("$"&amp;HP.TradeCurrency&amp;MO.ReportCurrency,"IQ_LASTSALEPRICE"),CIQAVG("$"&amp;HP.TradeCurrency&amp;MO.ReportCurrency,"IQ_LASTSALEPRICE",INDEX(MO_SNA_FPStartDate,0,COLUMN()),INDEX(MO_Common_QEndDate,0,COLUMN()))),"N/A")</f>
        <v>N/A</v>
      </c>
      <c r="AT1080" s="611" t="str">
        <f ca="1">IFERROR(IF(INDEX(MO_Common_QEndDate,0,COLUMN())&gt;TODAY(),CIQ("$"&amp;HP.TradeCurrency&amp;MO.ReportCurrency,"IQ_LASTSALEPRICE"),CIQAVG("$"&amp;HP.TradeCurrency&amp;MO.ReportCurrency,"IQ_LASTSALEPRICE",INDEX(MO_SNA_FPStartDate,0,COLUMN()),INDEX(MO_Common_QEndDate,0,COLUMN()))),"N/A")</f>
        <v>N/A</v>
      </c>
      <c r="AU1080" s="611" t="str">
        <f ca="1">IFERROR(IF(INDEX(MO_Common_QEndDate,0,COLUMN())&gt;TODAY(),CIQ("$"&amp;HP.TradeCurrency&amp;MO.ReportCurrency,"IQ_LASTSALEPRICE"),CIQAVG("$"&amp;HP.TradeCurrency&amp;MO.ReportCurrency,"IQ_LASTSALEPRICE",INDEX(MO_SNA_FPStartDate,0,COLUMN()),INDEX(MO_Common_QEndDate,0,COLUMN()))),"N/A")</f>
        <v>N/A</v>
      </c>
      <c r="AV1080" s="611" t="str">
        <f ca="1">IFERROR(IF(INDEX(MO_Common_QEndDate,0,COLUMN())&gt;TODAY(),CIQ("$"&amp;HP.TradeCurrency&amp;MO.ReportCurrency,"IQ_LASTSALEPRICE"),CIQAVG("$"&amp;HP.TradeCurrency&amp;MO.ReportCurrency,"IQ_LASTSALEPRICE",INDEX(MO_SNA_FPStartDate,0,COLUMN()),INDEX(MO_Common_QEndDate,0,COLUMN()))),"N/A")</f>
        <v>N/A</v>
      </c>
      <c r="AW1080" s="611" t="str">
        <f ca="1">IFERROR(IF(INDEX(MO_Common_QEndDate,0,COLUMN())&gt;TODAY(),CIQ("$"&amp;HP.TradeCurrency&amp;MO.ReportCurrency,"IQ_LASTSALEPRICE"),CIQAVG("$"&amp;HP.TradeCurrency&amp;MO.ReportCurrency,"IQ_LASTSALEPRICE",INDEX(MO_SNA_FPStartDate,0,COLUMN()),INDEX(MO_Common_QEndDate,0,COLUMN()))),"N/A")</f>
        <v>N/A</v>
      </c>
      <c r="AX1080" s="611" t="str">
        <f ca="1">IFERROR(IF(INDEX(MO_Common_QEndDate,0,COLUMN())&gt;TODAY(),CIQ("$"&amp;HP.TradeCurrency&amp;MO.ReportCurrency,"IQ_LASTSALEPRICE"),CIQAVG("$"&amp;HP.TradeCurrency&amp;MO.ReportCurrency,"IQ_LASTSALEPRICE",INDEX(MO_SNA_FPStartDate,0,COLUMN()),INDEX(MO_Common_QEndDate,0,COLUMN()))),"N/A")</f>
        <v>N/A</v>
      </c>
      <c r="AY1080" s="611" t="str">
        <f ca="1">IFERROR(IF(INDEX(MO_Common_QEndDate,0,COLUMN())&gt;TODAY(),CIQ("$"&amp;HP.TradeCurrency&amp;MO.ReportCurrency,"IQ_LASTSALEPRICE"),CIQAVG("$"&amp;HP.TradeCurrency&amp;MO.ReportCurrency,"IQ_LASTSALEPRICE",INDEX(MO_SNA_FPStartDate,0,COLUMN()),INDEX(MO_Common_QEndDate,0,COLUMN()))),"N/A")</f>
        <v>N/A</v>
      </c>
      <c r="AZ1080" s="611" t="str">
        <f ca="1">IFERROR(IF(INDEX(MO_Common_QEndDate,0,COLUMN())&gt;TODAY(),CIQ("$"&amp;HP.TradeCurrency&amp;MO.ReportCurrency,"IQ_LASTSALEPRICE"),CIQAVG("$"&amp;HP.TradeCurrency&amp;MO.ReportCurrency,"IQ_LASTSALEPRICE",INDEX(MO_SNA_FPStartDate,0,COLUMN()),INDEX(MO_Common_QEndDate,0,COLUMN()))),"N/A")</f>
        <v>N/A</v>
      </c>
      <c r="BA1080" s="611" t="str">
        <f ca="1">IFERROR(IF(INDEX(MO_Common_QEndDate,0,COLUMN())&gt;TODAY(),CIQ("$"&amp;HP.TradeCurrency&amp;MO.ReportCurrency,"IQ_LASTSALEPRICE"),CIQAVG("$"&amp;HP.TradeCurrency&amp;MO.ReportCurrency,"IQ_LASTSALEPRICE",INDEX(MO_SNA_FPStartDate,0,COLUMN()),INDEX(MO_Common_QEndDate,0,COLUMN()))),"N/A")</f>
        <v>N/A</v>
      </c>
      <c r="BB1080" s="611" t="str">
        <f ca="1">IFERROR(IF(INDEX(MO_Common_QEndDate,0,COLUMN())&gt;TODAY(),CIQ("$"&amp;HP.TradeCurrency&amp;MO.ReportCurrency,"IQ_LASTSALEPRICE"),CIQAVG("$"&amp;HP.TradeCurrency&amp;MO.ReportCurrency,"IQ_LASTSALEPRICE",INDEX(MO_SNA_FPStartDate,0,COLUMN()),INDEX(MO_Common_QEndDate,0,COLUMN()))),"N/A")</f>
        <v>N/A</v>
      </c>
      <c r="BC1080" s="611" t="str">
        <f ca="1">IFERROR(IF(INDEX(MO_Common_QEndDate,0,COLUMN())&gt;TODAY(),CIQ("$"&amp;HP.TradeCurrency&amp;MO.ReportCurrency,"IQ_LASTSALEPRICE"),CIQAVG("$"&amp;HP.TradeCurrency&amp;MO.ReportCurrency,"IQ_LASTSALEPRICE",INDEX(MO_SNA_FPStartDate,0,COLUMN()),INDEX(MO_Common_QEndDate,0,COLUMN()))),"N/A")</f>
        <v>N/A</v>
      </c>
      <c r="BD1080" s="611" t="str">
        <f ca="1">IFERROR(IF(INDEX(MO_Common_QEndDate,0,COLUMN())&gt;TODAY(),CIQ("$"&amp;HP.TradeCurrency&amp;MO.ReportCurrency,"IQ_LASTSALEPRICE"),CIQAVG("$"&amp;HP.TradeCurrency&amp;MO.ReportCurrency,"IQ_LASTSALEPRICE",INDEX(MO_SNA_FPStartDate,0,COLUMN()),INDEX(MO_Common_QEndDate,0,COLUMN()))),"N/A")</f>
        <v>N/A</v>
      </c>
      <c r="BE1080" s="611" t="str">
        <f ca="1">IFERROR(IF(INDEX(MO_Common_QEndDate,0,COLUMN())&gt;TODAY(),CIQ("$"&amp;HP.TradeCurrency&amp;MO.ReportCurrency,"IQ_LASTSALEPRICE"),CIQAVG("$"&amp;HP.TradeCurrency&amp;MO.ReportCurrency,"IQ_LASTSALEPRICE",INDEX(MO_SNA_FPStartDate,0,COLUMN()),INDEX(MO_Common_QEndDate,0,COLUMN()))),"N/A")</f>
        <v>N/A</v>
      </c>
      <c r="BF1080" s="611" t="str">
        <f ca="1">IFERROR(IF(INDEX(MO_Common_QEndDate,0,COLUMN())&gt;TODAY(),CIQ("$"&amp;HP.TradeCurrency&amp;MO.ReportCurrency,"IQ_LASTSALEPRICE"),CIQAVG("$"&amp;HP.TradeCurrency&amp;MO.ReportCurrency,"IQ_LASTSALEPRICE",INDEX(MO_SNA_FPStartDate,0,COLUMN()),INDEX(MO_Common_QEndDate,0,COLUMN()))),"N/A")</f>
        <v>N/A</v>
      </c>
      <c r="BG1080" s="611" t="str">
        <f ca="1">IFERROR(IF(INDEX(MO_Common_QEndDate,0,COLUMN())&gt;TODAY(),CIQ("$"&amp;HP.TradeCurrency&amp;MO.ReportCurrency,"IQ_LASTSALEPRICE"),CIQAVG("$"&amp;HP.TradeCurrency&amp;MO.ReportCurrency,"IQ_LASTSALEPRICE",INDEX(MO_SNA_FPStartDate,0,COLUMN()),INDEX(MO_Common_QEndDate,0,COLUMN()))),"N/A")</f>
        <v>N/A</v>
      </c>
      <c r="BH1080" s="612" t="str">
        <f ca="1">IFERROR(IF(INDEX(MO_Common_QEndDate,0,COLUMN())&gt;TODAY(),CIQ("$"&amp;HP.TradeCurrency&amp;MO.ReportCurrency,"IQ_LASTSALEPRICE"),CIQAVG("$"&amp;HP.TradeCurrency&amp;MO.ReportCurrency,"IQ_LASTSALEPRICE",INDEX(MO_SNA_FPStartDate,0,COLUMN()),INDEX(MO_Common_QEndDate,0,COLUMN()))),"N/A")</f>
        <v>N/A</v>
      </c>
      <c r="BI1080" s="332" t="str">
        <f ca="1">IFERROR(IF(INDEX(MO_Common_QEndDate,0,COLUMN())&gt;TODAY(),CIQ("$"&amp;HP.TradeCurrency&amp;MO.ReportCurrency,"IQ_LASTSALEPRICE"),CIQAVG("$"&amp;HP.TradeCurrency&amp;MO.ReportCurrency,"IQ_LASTSALEPRICE",INDEX(MO_SNA_FPStartDate,0,COLUMN()),INDEX(MO_Common_QEndDate,0,COLUMN()))),"N/A")</f>
        <v>N/A</v>
      </c>
      <c r="BJ1080" s="332" t="str">
        <f ca="1">IFERROR(IF(INDEX(MO_Common_QEndDate,0,COLUMN())&gt;TODAY(),CIQ("$"&amp;HP.TradeCurrency&amp;MO.ReportCurrency,"IQ_LASTSALEPRICE"),CIQAVG("$"&amp;HP.TradeCurrency&amp;MO.ReportCurrency,"IQ_LASTSALEPRICE",INDEX(MO_SNA_FPStartDate,0,COLUMN()),INDEX(MO_Common_QEndDate,0,COLUMN()))),"N/A")</f>
        <v>N/A</v>
      </c>
      <c r="BK1080" s="332" t="str">
        <f ca="1">IFERROR(IF(INDEX(MO_Common_QEndDate,0,COLUMN())&gt;TODAY(),CIQ("$"&amp;HP.TradeCurrency&amp;MO.ReportCurrency,"IQ_LASTSALEPRICE"),CIQAVG("$"&amp;HP.TradeCurrency&amp;MO.ReportCurrency,"IQ_LASTSALEPRICE",INDEX(MO_SNA_FPStartDate,0,COLUMN()),INDEX(MO_Common_QEndDate,0,COLUMN()))),"N/A")</f>
        <v>N/A</v>
      </c>
      <c r="BL1080" s="332" t="str">
        <f ca="1">IFERROR(IF(INDEX(MO_Common_QEndDate,0,COLUMN())&gt;TODAY(),CIQ("$"&amp;HP.TradeCurrency&amp;MO.ReportCurrency,"IQ_LASTSALEPRICE"),CIQAVG("$"&amp;HP.TradeCurrency&amp;MO.ReportCurrency,"IQ_LASTSALEPRICE",INDEX(MO_SNA_FPStartDate,0,COLUMN()),INDEX(MO_Common_QEndDate,0,COLUMN()))),"N/A")</f>
        <v>N/A</v>
      </c>
      <c r="BM1080" s="332" t="str">
        <f ca="1">IFERROR(IF(INDEX(MO_Common_QEndDate,0,COLUMN())&gt;TODAY(),CIQ("$"&amp;HP.TradeCurrency&amp;MO.ReportCurrency,"IQ_LASTSALEPRICE"),CIQAVG("$"&amp;HP.TradeCurrency&amp;MO.ReportCurrency,"IQ_LASTSALEPRICE",INDEX(MO_SNA_FPStartDate,0,COLUMN()),INDEX(MO_Common_QEndDate,0,COLUMN()))),"N/A")</f>
        <v>N/A</v>
      </c>
      <c r="BN1080" s="332" t="str">
        <f ca="1">IFERROR(IF(INDEX(MO_Common_QEndDate,0,COLUMN())&gt;TODAY(),CIQ("$"&amp;HP.TradeCurrency&amp;MO.ReportCurrency,"IQ_LASTSALEPRICE"),CIQAVG("$"&amp;HP.TradeCurrency&amp;MO.ReportCurrency,"IQ_LASTSALEPRICE",INDEX(MO_SNA_FPStartDate,0,COLUMN()),INDEX(MO_Common_QEndDate,0,COLUMN()))),"N/A")</f>
        <v>N/A</v>
      </c>
      <c r="BO1080" s="332" t="str">
        <f ca="1">IFERROR(IF(INDEX(MO_Common_QEndDate,0,COLUMN())&gt;TODAY(),CIQ("$"&amp;HP.TradeCurrency&amp;MO.ReportCurrency,"IQ_LASTSALEPRICE"),CIQAVG("$"&amp;HP.TradeCurrency&amp;MO.ReportCurrency,"IQ_LASTSALEPRICE",INDEX(MO_SNA_FPStartDate,0,COLUMN()),INDEX(MO_Common_QEndDate,0,COLUMN()))),"N/A")</f>
        <v>N/A</v>
      </c>
      <c r="BP1080" s="611" t="str">
        <f ca="1">IFERROR(IF(INDEX(MO_Common_QEndDate,0,COLUMN())&gt;TODAY(),CIQ("$"&amp;HP.TradeCurrency&amp;MO.ReportCurrency,"IQ_LASTSALEPRICE"),CIQAVG("$"&amp;HP.TradeCurrency&amp;MO.ReportCurrency,"IQ_LASTSALEPRICE",INDEX(MO_SNA_FPStartDate,0,COLUMN()),INDEX(MO_Common_QEndDate,0,COLUMN()))),"N/A")</f>
        <v>N/A</v>
      </c>
      <c r="BQ1080" s="611" t="str">
        <f ca="1">IFERROR(IF(INDEX(MO_Common_QEndDate,0,COLUMN())&gt;TODAY(),CIQ("$"&amp;HP.TradeCurrency&amp;MO.ReportCurrency,"IQ_LASTSALEPRICE"),CIQAVG("$"&amp;HP.TradeCurrency&amp;MO.ReportCurrency,"IQ_LASTSALEPRICE",INDEX(MO_SNA_FPStartDate,0,COLUMN()),INDEX(MO_Common_QEndDate,0,COLUMN()))),"N/A")</f>
        <v>N/A</v>
      </c>
      <c r="BR1080" s="613" t="str">
        <f ca="1">IFERROR(IF(INDEX(MO_Common_QEndDate,0,COLUMN())&gt;TODAY(),CIQ("$"&amp;HP.TradeCurrency&amp;MO.ReportCurrency,"IQ_LASTSALEPRICE"),CIQAVG("$"&amp;HP.TradeCurrency&amp;MO.ReportCurrency,"IQ_LASTSALEPRICE",INDEX(MO_SNA_FPStartDate,0,COLUMN()),INDEX(MO_Common_QEndDate,0,COLUMN()))),"N/A")</f>
        <v>N/A</v>
      </c>
      <c r="BS1080" s="269"/>
    </row>
    <row r="1081" spans="1:71" s="695" customFormat="1" ht="15" hidden="1" outlineLevel="1">
      <c r="A1081" s="179" t="s">
        <v>264</v>
      </c>
      <c r="B1081" s="332"/>
      <c r="C1081" s="610" t="str">
        <f ca="1">IFERROR(IF(INDEX(MO_Common_QEndDate,0,COLUMN())&gt;TODAY(),FDS(MO.ReportCurrency&amp;HP.TradeCurrency,"FG_PRICE(NOW)"),FDS(MO.ReportCurrency&amp;HP.TradeCurrency,"P_PRICE_AVG("&amp;INDEX(MO_SNA_FPStartDate,0,COLUMN())&amp;","&amp;INDEX(MO_Common_QEndDate,0,COLUMN())&amp;",,,,0)")),"N/A")</f>
        <v>N/A</v>
      </c>
      <c r="D1081" s="610" t="str">
        <f ca="1">IFERROR(IF(INDEX(MO_Common_QEndDate,0,COLUMN())&gt;TODAY(),FDS(MO.ReportCurrency&amp;HP.TradeCurrency,"FG_PRICE(NOW)"),FDS(MO.ReportCurrency&amp;HP.TradeCurrency,"P_PRICE_AVG("&amp;INDEX(MO_SNA_FPStartDate,0,COLUMN())&amp;","&amp;INDEX(MO_Common_QEndDate,0,COLUMN())&amp;",,,,0)")),"N/A")</f>
        <v>N/A</v>
      </c>
      <c r="E1081" s="611" t="str">
        <f ca="1">IFERROR(IF(INDEX(MO_Common_QEndDate,0,COLUMN())&gt;TODAY(),FDS(MO.ReportCurrency&amp;HP.TradeCurrency,"FG_PRICE(NOW)"),FDS(MO.ReportCurrency&amp;HP.TradeCurrency,"P_PRICE_AVG("&amp;INDEX(MO_SNA_FPStartDate,0,COLUMN())&amp;","&amp;INDEX(MO_Common_QEndDate,0,COLUMN())&amp;",,,,0)")),"N/A")</f>
        <v>N/A</v>
      </c>
      <c r="F1081" s="611" t="str">
        <f ca="1">IFERROR(IF(INDEX(MO_Common_QEndDate,0,COLUMN())&gt;TODAY(),FDS(MO.ReportCurrency&amp;HP.TradeCurrency,"FG_PRICE(NOW)"),FDS(MO.ReportCurrency&amp;HP.TradeCurrency,"P_PRICE_AVG("&amp;INDEX(MO_SNA_FPStartDate,0,COLUMN())&amp;","&amp;INDEX(MO_Common_QEndDate,0,COLUMN())&amp;",,,,0)")),"N/A")</f>
        <v>N/A</v>
      </c>
      <c r="G1081" s="611" t="str">
        <f ca="1">IFERROR(IF(INDEX(MO_Common_QEndDate,0,COLUMN())&gt;TODAY(),FDS(MO.ReportCurrency&amp;HP.TradeCurrency,"FG_PRICE(NOW)"),FDS(MO.ReportCurrency&amp;HP.TradeCurrency,"P_PRICE_AVG("&amp;INDEX(MO_SNA_FPStartDate,0,COLUMN())&amp;","&amp;INDEX(MO_Common_QEndDate,0,COLUMN())&amp;",,,,0)")),"N/A")</f>
        <v>N/A</v>
      </c>
      <c r="H1081" s="611" t="str">
        <f ca="1">IFERROR(IF(INDEX(MO_Common_QEndDate,0,COLUMN())&gt;TODAY(),FDS(MO.ReportCurrency&amp;HP.TradeCurrency,"FG_PRICE(NOW)"),FDS(MO.ReportCurrency&amp;HP.TradeCurrency,"P_PRICE_AVG("&amp;INDEX(MO_SNA_FPStartDate,0,COLUMN())&amp;","&amp;INDEX(MO_Common_QEndDate,0,COLUMN())&amp;",,,,0)")),"N/A")</f>
        <v>N/A</v>
      </c>
      <c r="I1081" s="611" t="str">
        <f ca="1">IFERROR(IF(INDEX(MO_Common_QEndDate,0,COLUMN())&gt;TODAY(),FDS(MO.ReportCurrency&amp;HP.TradeCurrency,"FG_PRICE(NOW)"),FDS(MO.ReportCurrency&amp;HP.TradeCurrency,"P_PRICE_AVG("&amp;INDEX(MO_SNA_FPStartDate,0,COLUMN())&amp;","&amp;INDEX(MO_Common_QEndDate,0,COLUMN())&amp;",,,,0)")),"N/A")</f>
        <v>N/A</v>
      </c>
      <c r="J1081" s="611" t="str">
        <f ca="1">IFERROR(IF(INDEX(MO_Common_QEndDate,0,COLUMN())&gt;TODAY(),FDS(MO.ReportCurrency&amp;HP.TradeCurrency,"FG_PRICE(NOW)"),FDS(MO.ReportCurrency&amp;HP.TradeCurrency,"P_PRICE_AVG("&amp;INDEX(MO_SNA_FPStartDate,0,COLUMN())&amp;","&amp;INDEX(MO_Common_QEndDate,0,COLUMN())&amp;",,,,0)")),"N/A")</f>
        <v>N/A</v>
      </c>
      <c r="K1081" s="611" t="str">
        <f ca="1">IFERROR(IF(INDEX(MO_Common_QEndDate,0,COLUMN())&gt;TODAY(),FDS(MO.ReportCurrency&amp;HP.TradeCurrency,"FG_PRICE(NOW)"),FDS(MO.ReportCurrency&amp;HP.TradeCurrency,"P_PRICE_AVG("&amp;INDEX(MO_SNA_FPStartDate,0,COLUMN())&amp;","&amp;INDEX(MO_Common_QEndDate,0,COLUMN())&amp;",,,,0)")),"N/A")</f>
        <v>N/A</v>
      </c>
      <c r="L1081" s="611" t="str">
        <f ca="1">IFERROR(IF(INDEX(MO_Common_QEndDate,0,COLUMN())&gt;TODAY(),FDS(MO.ReportCurrency&amp;HP.TradeCurrency,"FG_PRICE(NOW)"),FDS(MO.ReportCurrency&amp;HP.TradeCurrency,"P_PRICE_AVG("&amp;INDEX(MO_SNA_FPStartDate,0,COLUMN())&amp;","&amp;INDEX(MO_Common_QEndDate,0,COLUMN())&amp;",,,,0)")),"N/A")</f>
        <v>N/A</v>
      </c>
      <c r="M1081" s="611" t="str">
        <f ca="1">IFERROR(IF(INDEX(MO_Common_QEndDate,0,COLUMN())&gt;TODAY(),FDS(MO.ReportCurrency&amp;HP.TradeCurrency,"FG_PRICE(NOW)"),FDS(MO.ReportCurrency&amp;HP.TradeCurrency,"P_PRICE_AVG("&amp;INDEX(MO_SNA_FPStartDate,0,COLUMN())&amp;","&amp;INDEX(MO_Common_QEndDate,0,COLUMN())&amp;",,,,0)")),"N/A")</f>
        <v>N/A</v>
      </c>
      <c r="N1081" s="611" t="str">
        <f ca="1">IFERROR(IF(INDEX(MO_Common_QEndDate,0,COLUMN())&gt;TODAY(),FDS(MO.ReportCurrency&amp;HP.TradeCurrency,"FG_PRICE(NOW)"),FDS(MO.ReportCurrency&amp;HP.TradeCurrency,"P_PRICE_AVG("&amp;INDEX(MO_SNA_FPStartDate,0,COLUMN())&amp;","&amp;INDEX(MO_Common_QEndDate,0,COLUMN())&amp;",,,,0)")),"N/A")</f>
        <v>N/A</v>
      </c>
      <c r="O1081" s="611" t="str">
        <f ca="1">IFERROR(IF(INDEX(MO_Common_QEndDate,0,COLUMN())&gt;TODAY(),FDS(MO.ReportCurrency&amp;HP.TradeCurrency,"FG_PRICE(NOW)"),FDS(MO.ReportCurrency&amp;HP.TradeCurrency,"P_PRICE_AVG("&amp;INDEX(MO_SNA_FPStartDate,0,COLUMN())&amp;","&amp;INDEX(MO_Common_QEndDate,0,COLUMN())&amp;",,,,0)")),"N/A")</f>
        <v>N/A</v>
      </c>
      <c r="P1081" s="611" t="str">
        <f ca="1">IFERROR(IF(INDEX(MO_Common_QEndDate,0,COLUMN())&gt;TODAY(),FDS(MO.ReportCurrency&amp;HP.TradeCurrency,"FG_PRICE(NOW)"),FDS(MO.ReportCurrency&amp;HP.TradeCurrency,"P_PRICE_AVG("&amp;INDEX(MO_SNA_FPStartDate,0,COLUMN())&amp;","&amp;INDEX(MO_Common_QEndDate,0,COLUMN())&amp;",,,,0)")),"N/A")</f>
        <v>N/A</v>
      </c>
      <c r="Q1081" s="611" t="str">
        <f ca="1">IFERROR(IF(INDEX(MO_Common_QEndDate,0,COLUMN())&gt;TODAY(),FDS(MO.ReportCurrency&amp;HP.TradeCurrency,"FG_PRICE(NOW)"),FDS(MO.ReportCurrency&amp;HP.TradeCurrency,"P_PRICE_AVG("&amp;INDEX(MO_SNA_FPStartDate,0,COLUMN())&amp;","&amp;INDEX(MO_Common_QEndDate,0,COLUMN())&amp;",,,,0)")),"N/A")</f>
        <v>N/A</v>
      </c>
      <c r="R1081" s="611" t="str">
        <f ca="1">IFERROR(IF(INDEX(MO_Common_QEndDate,0,COLUMN())&gt;TODAY(),FDS(MO.ReportCurrency&amp;HP.TradeCurrency,"FG_PRICE(NOW)"),FDS(MO.ReportCurrency&amp;HP.TradeCurrency,"P_PRICE_AVG("&amp;INDEX(MO_SNA_FPStartDate,0,COLUMN())&amp;","&amp;INDEX(MO_Common_QEndDate,0,COLUMN())&amp;",,,,0)")),"N/A")</f>
        <v>N/A</v>
      </c>
      <c r="S1081" s="611" t="str">
        <f ca="1">IFERROR(IF(INDEX(MO_Common_QEndDate,0,COLUMN())&gt;TODAY(),FDS(MO.ReportCurrency&amp;HP.TradeCurrency,"FG_PRICE(NOW)"),FDS(MO.ReportCurrency&amp;HP.TradeCurrency,"P_PRICE_AVG("&amp;INDEX(MO_SNA_FPStartDate,0,COLUMN())&amp;","&amp;INDEX(MO_Common_QEndDate,0,COLUMN())&amp;",,,,0)")),"N/A")</f>
        <v>N/A</v>
      </c>
      <c r="T1081" s="611" t="str">
        <f ca="1">IFERROR(IF(INDEX(MO_Common_QEndDate,0,COLUMN())&gt;TODAY(),FDS(MO.ReportCurrency&amp;HP.TradeCurrency,"FG_PRICE(NOW)"),FDS(MO.ReportCurrency&amp;HP.TradeCurrency,"P_PRICE_AVG("&amp;INDEX(MO_SNA_FPStartDate,0,COLUMN())&amp;","&amp;INDEX(MO_Common_QEndDate,0,COLUMN())&amp;",,,,0)")),"N/A")</f>
        <v>N/A</v>
      </c>
      <c r="U1081" s="611" t="str">
        <f ca="1">IFERROR(IF(INDEX(MO_Common_QEndDate,0,COLUMN())&gt;TODAY(),FDS(MO.ReportCurrency&amp;HP.TradeCurrency,"FG_PRICE(NOW)"),FDS(MO.ReportCurrency&amp;HP.TradeCurrency,"P_PRICE_AVG("&amp;INDEX(MO_SNA_FPStartDate,0,COLUMN())&amp;","&amp;INDEX(MO_Common_QEndDate,0,COLUMN())&amp;",,,,0)")),"N/A")</f>
        <v>N/A</v>
      </c>
      <c r="V1081" s="611" t="str">
        <f ca="1">IFERROR(IF(INDEX(MO_Common_QEndDate,0,COLUMN())&gt;TODAY(),FDS(MO.ReportCurrency&amp;HP.TradeCurrency,"FG_PRICE(NOW)"),FDS(MO.ReportCurrency&amp;HP.TradeCurrency,"P_PRICE_AVG("&amp;INDEX(MO_SNA_FPStartDate,0,COLUMN())&amp;","&amp;INDEX(MO_Common_QEndDate,0,COLUMN())&amp;",,,,0)")),"N/A")</f>
        <v>N/A</v>
      </c>
      <c r="W1081" s="611" t="str">
        <f ca="1">IFERROR(IF(INDEX(MO_Common_QEndDate,0,COLUMN())&gt;TODAY(),FDS(MO.ReportCurrency&amp;HP.TradeCurrency,"FG_PRICE(NOW)"),FDS(MO.ReportCurrency&amp;HP.TradeCurrency,"P_PRICE_AVG("&amp;INDEX(MO_SNA_FPStartDate,0,COLUMN())&amp;","&amp;INDEX(MO_Common_QEndDate,0,COLUMN())&amp;",,,,0)")),"N/A")</f>
        <v>N/A</v>
      </c>
      <c r="X1081" s="611" t="str">
        <f ca="1">IFERROR(IF(INDEX(MO_Common_QEndDate,0,COLUMN())&gt;TODAY(),FDS(MO.ReportCurrency&amp;HP.TradeCurrency,"FG_PRICE(NOW)"),FDS(MO.ReportCurrency&amp;HP.TradeCurrency,"P_PRICE_AVG("&amp;INDEX(MO_SNA_FPStartDate,0,COLUMN())&amp;","&amp;INDEX(MO_Common_QEndDate,0,COLUMN())&amp;",,,,0)")),"N/A")</f>
        <v>N/A</v>
      </c>
      <c r="Y1081" s="611" t="str">
        <f ca="1">IFERROR(IF(INDEX(MO_Common_QEndDate,0,COLUMN())&gt;TODAY(),FDS(MO.ReportCurrency&amp;HP.TradeCurrency,"FG_PRICE(NOW)"),FDS(MO.ReportCurrency&amp;HP.TradeCurrency,"P_PRICE_AVG("&amp;INDEX(MO_SNA_FPStartDate,0,COLUMN())&amp;","&amp;INDEX(MO_Common_QEndDate,0,COLUMN())&amp;",,,,0)")),"N/A")</f>
        <v>N/A</v>
      </c>
      <c r="Z1081" s="611" t="str">
        <f ca="1">IFERROR(IF(INDEX(MO_Common_QEndDate,0,COLUMN())&gt;TODAY(),FDS(MO.ReportCurrency&amp;HP.TradeCurrency,"FG_PRICE(NOW)"),FDS(MO.ReportCurrency&amp;HP.TradeCurrency,"P_PRICE_AVG("&amp;INDEX(MO_SNA_FPStartDate,0,COLUMN())&amp;","&amp;INDEX(MO_Common_QEndDate,0,COLUMN())&amp;",,,,0)")),"N/A")</f>
        <v>N/A</v>
      </c>
      <c r="AA1081" s="611" t="str">
        <f ca="1">IFERROR(IF(INDEX(MO_Common_QEndDate,0,COLUMN())&gt;TODAY(),FDS(MO.ReportCurrency&amp;HP.TradeCurrency,"FG_PRICE(NOW)"),FDS(MO.ReportCurrency&amp;HP.TradeCurrency,"P_PRICE_AVG("&amp;INDEX(MO_SNA_FPStartDate,0,COLUMN())&amp;","&amp;INDEX(MO_Common_QEndDate,0,COLUMN())&amp;",,,,0)")),"N/A")</f>
        <v>N/A</v>
      </c>
      <c r="AB1081" s="611" t="str">
        <f ca="1">IFERROR(IF(INDEX(MO_Common_QEndDate,0,COLUMN())&gt;TODAY(),FDS(MO.ReportCurrency&amp;HP.TradeCurrency,"FG_PRICE(NOW)"),FDS(MO.ReportCurrency&amp;HP.TradeCurrency,"P_PRICE_AVG("&amp;INDEX(MO_SNA_FPStartDate,0,COLUMN())&amp;","&amp;INDEX(MO_Common_QEndDate,0,COLUMN())&amp;",,,,0)")),"N/A")</f>
        <v>N/A</v>
      </c>
      <c r="AC1081" s="611" t="str">
        <f ca="1">IFERROR(IF(INDEX(MO_Common_QEndDate,0,COLUMN())&gt;TODAY(),FDS(MO.ReportCurrency&amp;HP.TradeCurrency,"FG_PRICE(NOW)"),FDS(MO.ReportCurrency&amp;HP.TradeCurrency,"P_PRICE_AVG("&amp;INDEX(MO_SNA_FPStartDate,0,COLUMN())&amp;","&amp;INDEX(MO_Common_QEndDate,0,COLUMN())&amp;",,,,0)")),"N/A")</f>
        <v>N/A</v>
      </c>
      <c r="AD1081" s="611" t="str">
        <f ca="1">IFERROR(IF(INDEX(MO_Common_QEndDate,0,COLUMN())&gt;TODAY(),FDS(MO.ReportCurrency&amp;HP.TradeCurrency,"FG_PRICE(NOW)"),FDS(MO.ReportCurrency&amp;HP.TradeCurrency,"P_PRICE_AVG("&amp;INDEX(MO_SNA_FPStartDate,0,COLUMN())&amp;","&amp;INDEX(MO_Common_QEndDate,0,COLUMN())&amp;",,,,0)")),"N/A")</f>
        <v>N/A</v>
      </c>
      <c r="AE1081" s="611" t="str">
        <f ca="1">IFERROR(IF(INDEX(MO_Common_QEndDate,0,COLUMN())&gt;TODAY(),FDS(MO.ReportCurrency&amp;HP.TradeCurrency,"FG_PRICE(NOW)"),FDS(MO.ReportCurrency&amp;HP.TradeCurrency,"P_PRICE_AVG("&amp;INDEX(MO_SNA_FPStartDate,0,COLUMN())&amp;","&amp;INDEX(MO_Common_QEndDate,0,COLUMN())&amp;",,,,0)")),"N/A")</f>
        <v>N/A</v>
      </c>
      <c r="AF1081" s="611" t="str">
        <f ca="1">IFERROR(IF(INDEX(MO_Common_QEndDate,0,COLUMN())&gt;TODAY(),FDS(MO.ReportCurrency&amp;HP.TradeCurrency,"FG_PRICE(NOW)"),FDS(MO.ReportCurrency&amp;HP.TradeCurrency,"P_PRICE_AVG("&amp;INDEX(MO_SNA_FPStartDate,0,COLUMN())&amp;","&amp;INDEX(MO_Common_QEndDate,0,COLUMN())&amp;",,,,0)")),"N/A")</f>
        <v>N/A</v>
      </c>
      <c r="AG1081" s="611" t="str">
        <f ca="1">IFERROR(IF(INDEX(MO_Common_QEndDate,0,COLUMN())&gt;TODAY(),FDS(MO.ReportCurrency&amp;HP.TradeCurrency,"FG_PRICE(NOW)"),FDS(MO.ReportCurrency&amp;HP.TradeCurrency,"P_PRICE_AVG("&amp;INDEX(MO_SNA_FPStartDate,0,COLUMN())&amp;","&amp;INDEX(MO_Common_QEndDate,0,COLUMN())&amp;",,,,0)")),"N/A")</f>
        <v>N/A</v>
      </c>
      <c r="AH1081" s="611" t="str">
        <f ca="1">IFERROR(IF(INDEX(MO_Common_QEndDate,0,COLUMN())&gt;TODAY(),FDS(MO.ReportCurrency&amp;HP.TradeCurrency,"FG_PRICE(NOW)"),FDS(MO.ReportCurrency&amp;HP.TradeCurrency,"P_PRICE_AVG("&amp;INDEX(MO_SNA_FPStartDate,0,COLUMN())&amp;","&amp;INDEX(MO_Common_QEndDate,0,COLUMN())&amp;",,,,0)")),"N/A")</f>
        <v>N/A</v>
      </c>
      <c r="AI1081" s="611" t="str">
        <f ca="1">IFERROR(IF(INDEX(MO_Common_QEndDate,0,COLUMN())&gt;TODAY(),FDS(MO.ReportCurrency&amp;HP.TradeCurrency,"FG_PRICE(NOW)"),FDS(MO.ReportCurrency&amp;HP.TradeCurrency,"P_PRICE_AVG("&amp;INDEX(MO_SNA_FPStartDate,0,COLUMN())&amp;","&amp;INDEX(MO_Common_QEndDate,0,COLUMN())&amp;",,,,0)")),"N/A")</f>
        <v>N/A</v>
      </c>
      <c r="AJ1081" s="611" t="str">
        <f ca="1">IFERROR(IF(INDEX(MO_Common_QEndDate,0,COLUMN())&gt;TODAY(),FDS(MO.ReportCurrency&amp;HP.TradeCurrency,"FG_PRICE(NOW)"),FDS(MO.ReportCurrency&amp;HP.TradeCurrency,"P_PRICE_AVG("&amp;INDEX(MO_SNA_FPStartDate,0,COLUMN())&amp;","&amp;INDEX(MO_Common_QEndDate,0,COLUMN())&amp;",,,,0)")),"N/A")</f>
        <v>N/A</v>
      </c>
      <c r="AK1081" s="611" t="str">
        <f ca="1">IFERROR(IF(INDEX(MO_Common_QEndDate,0,COLUMN())&gt;TODAY(),FDS(MO.ReportCurrency&amp;HP.TradeCurrency,"FG_PRICE(NOW)"),FDS(MO.ReportCurrency&amp;HP.TradeCurrency,"P_PRICE_AVG("&amp;INDEX(MO_SNA_FPStartDate,0,COLUMN())&amp;","&amp;INDEX(MO_Common_QEndDate,0,COLUMN())&amp;",,,,0)")),"N/A")</f>
        <v>N/A</v>
      </c>
      <c r="AL1081" s="611" t="str">
        <f ca="1">IFERROR(IF(INDEX(MO_Common_QEndDate,0,COLUMN())&gt;TODAY(),FDS(MO.ReportCurrency&amp;HP.TradeCurrency,"FG_PRICE(NOW)"),FDS(MO.ReportCurrency&amp;HP.TradeCurrency,"P_PRICE_AVG("&amp;INDEX(MO_SNA_FPStartDate,0,COLUMN())&amp;","&amp;INDEX(MO_Common_QEndDate,0,COLUMN())&amp;",,,,0)")),"N/A")</f>
        <v>N/A</v>
      </c>
      <c r="AM1081" s="611" t="str">
        <f ca="1">IFERROR(IF(INDEX(MO_Common_QEndDate,0,COLUMN())&gt;TODAY(),FDS(MO.ReportCurrency&amp;HP.TradeCurrency,"FG_PRICE(NOW)"),FDS(MO.ReportCurrency&amp;HP.TradeCurrency,"P_PRICE_AVG("&amp;INDEX(MO_SNA_FPStartDate,0,COLUMN())&amp;","&amp;INDEX(MO_Common_QEndDate,0,COLUMN())&amp;",,,,0)")),"N/A")</f>
        <v>N/A</v>
      </c>
      <c r="AN1081" s="611" t="str">
        <f ca="1">IFERROR(IF(INDEX(MO_Common_QEndDate,0,COLUMN())&gt;TODAY(),FDS(MO.ReportCurrency&amp;HP.TradeCurrency,"FG_PRICE(NOW)"),FDS(MO.ReportCurrency&amp;HP.TradeCurrency,"P_PRICE_AVG("&amp;INDEX(MO_SNA_FPStartDate,0,COLUMN())&amp;","&amp;INDEX(MO_Common_QEndDate,0,COLUMN())&amp;",,,,0)")),"N/A")</f>
        <v>N/A</v>
      </c>
      <c r="AO1081" s="611" t="str">
        <f ca="1">IFERROR(IF(INDEX(MO_Common_QEndDate,0,COLUMN())&gt;TODAY(),FDS(MO.ReportCurrency&amp;HP.TradeCurrency,"FG_PRICE(NOW)"),FDS(MO.ReportCurrency&amp;HP.TradeCurrency,"P_PRICE_AVG("&amp;INDEX(MO_SNA_FPStartDate,0,COLUMN())&amp;","&amp;INDEX(MO_Common_QEndDate,0,COLUMN())&amp;",,,,0)")),"N/A")</f>
        <v>N/A</v>
      </c>
      <c r="AP1081" s="611" t="str">
        <f ca="1">IFERROR(IF(INDEX(MO_Common_QEndDate,0,COLUMN())&gt;TODAY(),FDS(MO.ReportCurrency&amp;HP.TradeCurrency,"FG_PRICE(NOW)"),FDS(MO.ReportCurrency&amp;HP.TradeCurrency,"P_PRICE_AVG("&amp;INDEX(MO_SNA_FPStartDate,0,COLUMN())&amp;","&amp;INDEX(MO_Common_QEndDate,0,COLUMN())&amp;",,,,0)")),"N/A")</f>
        <v>N/A</v>
      </c>
      <c r="AQ1081" s="611" t="str">
        <f ca="1">IFERROR(IF(INDEX(MO_Common_QEndDate,0,COLUMN())&gt;TODAY(),FDS(MO.ReportCurrency&amp;HP.TradeCurrency,"FG_PRICE(NOW)"),FDS(MO.ReportCurrency&amp;HP.TradeCurrency,"P_PRICE_AVG("&amp;INDEX(MO_SNA_FPStartDate,0,COLUMN())&amp;","&amp;INDEX(MO_Common_QEndDate,0,COLUMN())&amp;",,,,0)")),"N/A")</f>
        <v>N/A</v>
      </c>
      <c r="AR1081" s="611" t="str">
        <f ca="1">IFERROR(IF(INDEX(MO_Common_QEndDate,0,COLUMN())&gt;TODAY(),FDS(MO.ReportCurrency&amp;HP.TradeCurrency,"FG_PRICE(NOW)"),FDS(MO.ReportCurrency&amp;HP.TradeCurrency,"P_PRICE_AVG("&amp;INDEX(MO_SNA_FPStartDate,0,COLUMN())&amp;","&amp;INDEX(MO_Common_QEndDate,0,COLUMN())&amp;",,,,0)")),"N/A")</f>
        <v>N/A</v>
      </c>
      <c r="AS1081" s="611" t="str">
        <f ca="1">IFERROR(IF(INDEX(MO_Common_QEndDate,0,COLUMN())&gt;TODAY(),FDS(MO.ReportCurrency&amp;HP.TradeCurrency,"FG_PRICE(NOW)"),FDS(MO.ReportCurrency&amp;HP.TradeCurrency,"P_PRICE_AVG("&amp;INDEX(MO_SNA_FPStartDate,0,COLUMN())&amp;","&amp;INDEX(MO_Common_QEndDate,0,COLUMN())&amp;",,,,0)")),"N/A")</f>
        <v>N/A</v>
      </c>
      <c r="AT1081" s="611" t="str">
        <f ca="1">IFERROR(IF(INDEX(MO_Common_QEndDate,0,COLUMN())&gt;TODAY(),FDS(MO.ReportCurrency&amp;HP.TradeCurrency,"FG_PRICE(NOW)"),FDS(MO.ReportCurrency&amp;HP.TradeCurrency,"P_PRICE_AVG("&amp;INDEX(MO_SNA_FPStartDate,0,COLUMN())&amp;","&amp;INDEX(MO_Common_QEndDate,0,COLUMN())&amp;",,,,0)")),"N/A")</f>
        <v>N/A</v>
      </c>
      <c r="AU1081" s="611" t="str">
        <f ca="1">IFERROR(IF(INDEX(MO_Common_QEndDate,0,COLUMN())&gt;TODAY(),FDS(MO.ReportCurrency&amp;HP.TradeCurrency,"FG_PRICE(NOW)"),FDS(MO.ReportCurrency&amp;HP.TradeCurrency,"P_PRICE_AVG("&amp;INDEX(MO_SNA_FPStartDate,0,COLUMN())&amp;","&amp;INDEX(MO_Common_QEndDate,0,COLUMN())&amp;",,,,0)")),"N/A")</f>
        <v>N/A</v>
      </c>
      <c r="AV1081" s="611" t="str">
        <f ca="1">IFERROR(IF(INDEX(MO_Common_QEndDate,0,COLUMN())&gt;TODAY(),FDS(MO.ReportCurrency&amp;HP.TradeCurrency,"FG_PRICE(NOW)"),FDS(MO.ReportCurrency&amp;HP.TradeCurrency,"P_PRICE_AVG("&amp;INDEX(MO_SNA_FPStartDate,0,COLUMN())&amp;","&amp;INDEX(MO_Common_QEndDate,0,COLUMN())&amp;",,,,0)")),"N/A")</f>
        <v>N/A</v>
      </c>
      <c r="AW1081" s="611" t="str">
        <f ca="1">IFERROR(IF(INDEX(MO_Common_QEndDate,0,COLUMN())&gt;TODAY(),FDS(MO.ReportCurrency&amp;HP.TradeCurrency,"FG_PRICE(NOW)"),FDS(MO.ReportCurrency&amp;HP.TradeCurrency,"P_PRICE_AVG("&amp;INDEX(MO_SNA_FPStartDate,0,COLUMN())&amp;","&amp;INDEX(MO_Common_QEndDate,0,COLUMN())&amp;",,,,0)")),"N/A")</f>
        <v>N/A</v>
      </c>
      <c r="AX1081" s="611" t="str">
        <f ca="1">IFERROR(IF(INDEX(MO_Common_QEndDate,0,COLUMN())&gt;TODAY(),FDS(MO.ReportCurrency&amp;HP.TradeCurrency,"FG_PRICE(NOW)"),FDS(MO.ReportCurrency&amp;HP.TradeCurrency,"P_PRICE_AVG("&amp;INDEX(MO_SNA_FPStartDate,0,COLUMN())&amp;","&amp;INDEX(MO_Common_QEndDate,0,COLUMN())&amp;",,,,0)")),"N/A")</f>
        <v>N/A</v>
      </c>
      <c r="AY1081" s="611" t="str">
        <f ca="1">IFERROR(IF(INDEX(MO_Common_QEndDate,0,COLUMN())&gt;TODAY(),FDS(MO.ReportCurrency&amp;HP.TradeCurrency,"FG_PRICE(NOW)"),FDS(MO.ReportCurrency&amp;HP.TradeCurrency,"P_PRICE_AVG("&amp;INDEX(MO_SNA_FPStartDate,0,COLUMN())&amp;","&amp;INDEX(MO_Common_QEndDate,0,COLUMN())&amp;",,,,0)")),"N/A")</f>
        <v>N/A</v>
      </c>
      <c r="AZ1081" s="611" t="str">
        <f ca="1">IFERROR(IF(INDEX(MO_Common_QEndDate,0,COLUMN())&gt;TODAY(),FDS(MO.ReportCurrency&amp;HP.TradeCurrency,"FG_PRICE(NOW)"),FDS(MO.ReportCurrency&amp;HP.TradeCurrency,"P_PRICE_AVG("&amp;INDEX(MO_SNA_FPStartDate,0,COLUMN())&amp;","&amp;INDEX(MO_Common_QEndDate,0,COLUMN())&amp;",,,,0)")),"N/A")</f>
        <v>N/A</v>
      </c>
      <c r="BA1081" s="611" t="str">
        <f ca="1">IFERROR(IF(INDEX(MO_Common_QEndDate,0,COLUMN())&gt;TODAY(),FDS(MO.ReportCurrency&amp;HP.TradeCurrency,"FG_PRICE(NOW)"),FDS(MO.ReportCurrency&amp;HP.TradeCurrency,"P_PRICE_AVG("&amp;INDEX(MO_SNA_FPStartDate,0,COLUMN())&amp;","&amp;INDEX(MO_Common_QEndDate,0,COLUMN())&amp;",,,,0)")),"N/A")</f>
        <v>N/A</v>
      </c>
      <c r="BB1081" s="611" t="str">
        <f ca="1">IFERROR(IF(INDEX(MO_Common_QEndDate,0,COLUMN())&gt;TODAY(),FDS(MO.ReportCurrency&amp;HP.TradeCurrency,"FG_PRICE(NOW)"),FDS(MO.ReportCurrency&amp;HP.TradeCurrency,"P_PRICE_AVG("&amp;INDEX(MO_SNA_FPStartDate,0,COLUMN())&amp;","&amp;INDEX(MO_Common_QEndDate,0,COLUMN())&amp;",,,,0)")),"N/A")</f>
        <v>N/A</v>
      </c>
      <c r="BC1081" s="611" t="str">
        <f ca="1">IFERROR(IF(INDEX(MO_Common_QEndDate,0,COLUMN())&gt;TODAY(),FDS(MO.ReportCurrency&amp;HP.TradeCurrency,"FG_PRICE(NOW)"),FDS(MO.ReportCurrency&amp;HP.TradeCurrency,"P_PRICE_AVG("&amp;INDEX(MO_SNA_FPStartDate,0,COLUMN())&amp;","&amp;INDEX(MO_Common_QEndDate,0,COLUMN())&amp;",,,,0)")),"N/A")</f>
        <v>N/A</v>
      </c>
      <c r="BD1081" s="611" t="str">
        <f ca="1">IFERROR(IF(INDEX(MO_Common_QEndDate,0,COLUMN())&gt;TODAY(),FDS(MO.ReportCurrency&amp;HP.TradeCurrency,"FG_PRICE(NOW)"),FDS(MO.ReportCurrency&amp;HP.TradeCurrency,"P_PRICE_AVG("&amp;INDEX(MO_SNA_FPStartDate,0,COLUMN())&amp;","&amp;INDEX(MO_Common_QEndDate,0,COLUMN())&amp;",,,,0)")),"N/A")</f>
        <v>N/A</v>
      </c>
      <c r="BE1081" s="611" t="str">
        <f ca="1">IFERROR(IF(INDEX(MO_Common_QEndDate,0,COLUMN())&gt;TODAY(),FDS(MO.ReportCurrency&amp;HP.TradeCurrency,"FG_PRICE(NOW)"),FDS(MO.ReportCurrency&amp;HP.TradeCurrency,"P_PRICE_AVG("&amp;INDEX(MO_SNA_FPStartDate,0,COLUMN())&amp;","&amp;INDEX(MO_Common_QEndDate,0,COLUMN())&amp;",,,,0)")),"N/A")</f>
        <v>N/A</v>
      </c>
      <c r="BF1081" s="611" t="str">
        <f ca="1">IFERROR(IF(INDEX(MO_Common_QEndDate,0,COLUMN())&gt;TODAY(),FDS(MO.ReportCurrency&amp;HP.TradeCurrency,"FG_PRICE(NOW)"),FDS(MO.ReportCurrency&amp;HP.TradeCurrency,"P_PRICE_AVG("&amp;INDEX(MO_SNA_FPStartDate,0,COLUMN())&amp;","&amp;INDEX(MO_Common_QEndDate,0,COLUMN())&amp;",,,,0)")),"N/A")</f>
        <v>N/A</v>
      </c>
      <c r="BG1081" s="611" t="str">
        <f ca="1">IFERROR(IF(INDEX(MO_Common_QEndDate,0,COLUMN())&gt;TODAY(),FDS(MO.ReportCurrency&amp;HP.TradeCurrency,"FG_PRICE(NOW)"),FDS(MO.ReportCurrency&amp;HP.TradeCurrency,"P_PRICE_AVG("&amp;INDEX(MO_SNA_FPStartDate,0,COLUMN())&amp;","&amp;INDEX(MO_Common_QEndDate,0,COLUMN())&amp;",,,,0)")),"N/A")</f>
        <v>N/A</v>
      </c>
      <c r="BH1081" s="612" t="str">
        <f ca="1">IFERROR(IF(INDEX(MO_Common_QEndDate,0,COLUMN())&gt;TODAY(),FDS(MO.ReportCurrency&amp;HP.TradeCurrency,"FG_PRICE(NOW)"),FDS(MO.ReportCurrency&amp;HP.TradeCurrency,"P_PRICE_AVG("&amp;INDEX(MO_SNA_FPStartDate,0,COLUMN())&amp;","&amp;INDEX(MO_Common_QEndDate,0,COLUMN())&amp;",,,,0)")),"N/A")</f>
        <v>N/A</v>
      </c>
      <c r="BI1081" s="332" t="str">
        <f ca="1">IFERROR(IF(INDEX(MO_Common_QEndDate,0,COLUMN())&gt;TODAY(),FDS(MO.ReportCurrency&amp;HP.TradeCurrency,"FG_PRICE(NOW)"),FDS(MO.ReportCurrency&amp;HP.TradeCurrency,"P_PRICE_AVG("&amp;INDEX(MO_SNA_FPStartDate,0,COLUMN())&amp;","&amp;INDEX(MO_Common_QEndDate,0,COLUMN())&amp;",,,,0)")),"N/A")</f>
        <v>N/A</v>
      </c>
      <c r="BJ1081" s="332" t="str">
        <f ca="1">IFERROR(IF(INDEX(MO_Common_QEndDate,0,COLUMN())&gt;TODAY(),FDS(MO.ReportCurrency&amp;HP.TradeCurrency,"FG_PRICE(NOW)"),FDS(MO.ReportCurrency&amp;HP.TradeCurrency,"P_PRICE_AVG("&amp;INDEX(MO_SNA_FPStartDate,0,COLUMN())&amp;","&amp;INDEX(MO_Common_QEndDate,0,COLUMN())&amp;",,,,0)")),"N/A")</f>
        <v>N/A</v>
      </c>
      <c r="BK1081" s="332" t="str">
        <f ca="1">IFERROR(IF(INDEX(MO_Common_QEndDate,0,COLUMN())&gt;TODAY(),FDS(MO.ReportCurrency&amp;HP.TradeCurrency,"FG_PRICE(NOW)"),FDS(MO.ReportCurrency&amp;HP.TradeCurrency,"P_PRICE_AVG("&amp;INDEX(MO_SNA_FPStartDate,0,COLUMN())&amp;","&amp;INDEX(MO_Common_QEndDate,0,COLUMN())&amp;",,,,0)")),"N/A")</f>
        <v>N/A</v>
      </c>
      <c r="BL1081" s="332" t="str">
        <f ca="1">IFERROR(IF(INDEX(MO_Common_QEndDate,0,COLUMN())&gt;TODAY(),FDS(MO.ReportCurrency&amp;HP.TradeCurrency,"FG_PRICE(NOW)"),FDS(MO.ReportCurrency&amp;HP.TradeCurrency,"P_PRICE_AVG("&amp;INDEX(MO_SNA_FPStartDate,0,COLUMN())&amp;","&amp;INDEX(MO_Common_QEndDate,0,COLUMN())&amp;",,,,0)")),"N/A")</f>
        <v>N/A</v>
      </c>
      <c r="BM1081" s="332" t="str">
        <f ca="1">IFERROR(IF(INDEX(MO_Common_QEndDate,0,COLUMN())&gt;TODAY(),FDS(MO.ReportCurrency&amp;HP.TradeCurrency,"FG_PRICE(NOW)"),FDS(MO.ReportCurrency&amp;HP.TradeCurrency,"P_PRICE_AVG("&amp;INDEX(MO_SNA_FPStartDate,0,COLUMN())&amp;","&amp;INDEX(MO_Common_QEndDate,0,COLUMN())&amp;",,,,0)")),"N/A")</f>
        <v>N/A</v>
      </c>
      <c r="BN1081" s="332" t="str">
        <f ca="1">IFERROR(IF(INDEX(MO_Common_QEndDate,0,COLUMN())&gt;TODAY(),FDS(MO.ReportCurrency&amp;HP.TradeCurrency,"FG_PRICE(NOW)"),FDS(MO.ReportCurrency&amp;HP.TradeCurrency,"P_PRICE_AVG("&amp;INDEX(MO_SNA_FPStartDate,0,COLUMN())&amp;","&amp;INDEX(MO_Common_QEndDate,0,COLUMN())&amp;",,,,0)")),"N/A")</f>
        <v>N/A</v>
      </c>
      <c r="BO1081" s="332" t="str">
        <f ca="1">IFERROR(IF(INDEX(MO_Common_QEndDate,0,COLUMN())&gt;TODAY(),FDS(MO.ReportCurrency&amp;HP.TradeCurrency,"FG_PRICE(NOW)"),FDS(MO.ReportCurrency&amp;HP.TradeCurrency,"P_PRICE_AVG("&amp;INDEX(MO_SNA_FPStartDate,0,COLUMN())&amp;","&amp;INDEX(MO_Common_QEndDate,0,COLUMN())&amp;",,,,0)")),"N/A")</f>
        <v>N/A</v>
      </c>
      <c r="BP1081" s="611" t="str">
        <f ca="1">IFERROR(IF(INDEX(MO_Common_QEndDate,0,COLUMN())&gt;TODAY(),FDS(MO.ReportCurrency&amp;HP.TradeCurrency,"FG_PRICE(NOW)"),FDS(MO.ReportCurrency&amp;HP.TradeCurrency,"P_PRICE_AVG("&amp;INDEX(MO_SNA_FPStartDate,0,COLUMN())&amp;","&amp;INDEX(MO_Common_QEndDate,0,COLUMN())&amp;",,,,0)")),"N/A")</f>
        <v>N/A</v>
      </c>
      <c r="BQ1081" s="611" t="str">
        <f ca="1">IFERROR(IF(INDEX(MO_Common_QEndDate,0,COLUMN())&gt;TODAY(),FDS(MO.ReportCurrency&amp;HP.TradeCurrency,"FG_PRICE(NOW)"),FDS(MO.ReportCurrency&amp;HP.TradeCurrency,"P_PRICE_AVG("&amp;INDEX(MO_SNA_FPStartDate,0,COLUMN())&amp;","&amp;INDEX(MO_Common_QEndDate,0,COLUMN())&amp;",,,,0)")),"N/A")</f>
        <v>N/A</v>
      </c>
      <c r="BR1081" s="613" t="str">
        <f ca="1">IFERROR(IF(INDEX(MO_Common_QEndDate,0,COLUMN())&gt;TODAY(),FDS(MO.ReportCurrency&amp;HP.TradeCurrency,"FG_PRICE(NOW)"),FDS(MO.ReportCurrency&amp;HP.TradeCurrency,"P_PRICE_AVG("&amp;INDEX(MO_SNA_FPStartDate,0,COLUMN())&amp;","&amp;INDEX(MO_Common_QEndDate,0,COLUMN())&amp;",,,,0)")),"N/A")</f>
        <v>N/A</v>
      </c>
      <c r="BS1081" s="269"/>
    </row>
    <row r="1082" spans="1:71" s="695" customFormat="1" ht="15" hidden="1" outlineLevel="1">
      <c r="A1082" s="179" t="s">
        <v>381</v>
      </c>
      <c r="B1082" s="332"/>
      <c r="C1082" s="610" t="str">
        <f t="shared" si="1993" ref="C1082:AQ1082">"N/A"</f>
        <v>N/A</v>
      </c>
      <c r="D1082" s="610" t="str">
        <f t="shared" si="1993"/>
        <v>N/A</v>
      </c>
      <c r="E1082" s="611" t="str">
        <f t="shared" si="1993"/>
        <v>N/A</v>
      </c>
      <c r="F1082" s="611" t="str">
        <f t="shared" si="1993"/>
        <v>N/A</v>
      </c>
      <c r="G1082" s="611" t="str">
        <f t="shared" si="1993"/>
        <v>N/A</v>
      </c>
      <c r="H1082" s="611" t="str">
        <f t="shared" si="1993"/>
        <v>N/A</v>
      </c>
      <c r="I1082" s="611" t="str">
        <f t="shared" si="1993"/>
        <v>N/A</v>
      </c>
      <c r="J1082" s="611" t="str">
        <f t="shared" si="1993"/>
        <v>N/A</v>
      </c>
      <c r="K1082" s="611" t="str">
        <f t="shared" si="1993"/>
        <v>N/A</v>
      </c>
      <c r="L1082" s="611" t="str">
        <f t="shared" si="1993"/>
        <v>N/A</v>
      </c>
      <c r="M1082" s="611" t="str">
        <f t="shared" si="1993"/>
        <v>N/A</v>
      </c>
      <c r="N1082" s="611" t="str">
        <f t="shared" si="1993"/>
        <v>N/A</v>
      </c>
      <c r="O1082" s="611" t="str">
        <f t="shared" si="1993"/>
        <v>N/A</v>
      </c>
      <c r="P1082" s="611" t="str">
        <f t="shared" si="1993"/>
        <v>N/A</v>
      </c>
      <c r="Q1082" s="611" t="str">
        <f t="shared" si="1993"/>
        <v>N/A</v>
      </c>
      <c r="R1082" s="611" t="str">
        <f t="shared" si="1993"/>
        <v>N/A</v>
      </c>
      <c r="S1082" s="611" t="str">
        <f t="shared" si="1993"/>
        <v>N/A</v>
      </c>
      <c r="T1082" s="611" t="str">
        <f t="shared" si="1993"/>
        <v>N/A</v>
      </c>
      <c r="U1082" s="611" t="str">
        <f t="shared" si="1993"/>
        <v>N/A</v>
      </c>
      <c r="V1082" s="611" t="str">
        <f t="shared" si="1993"/>
        <v>N/A</v>
      </c>
      <c r="W1082" s="611" t="str">
        <f t="shared" si="1993"/>
        <v>N/A</v>
      </c>
      <c r="X1082" s="611" t="str">
        <f t="shared" si="1993"/>
        <v>N/A</v>
      </c>
      <c r="Y1082" s="611" t="str">
        <f t="shared" si="1993"/>
        <v>N/A</v>
      </c>
      <c r="Z1082" s="611" t="str">
        <f t="shared" si="1993"/>
        <v>N/A</v>
      </c>
      <c r="AA1082" s="611" t="str">
        <f t="shared" si="1993"/>
        <v>N/A</v>
      </c>
      <c r="AB1082" s="611" t="str">
        <f t="shared" si="1993"/>
        <v>N/A</v>
      </c>
      <c r="AC1082" s="611" t="str">
        <f t="shared" si="1993"/>
        <v>N/A</v>
      </c>
      <c r="AD1082" s="611" t="str">
        <f t="shared" si="1993"/>
        <v>N/A</v>
      </c>
      <c r="AE1082" s="611" t="str">
        <f t="shared" si="1993"/>
        <v>N/A</v>
      </c>
      <c r="AF1082" s="611" t="str">
        <f t="shared" si="1993"/>
        <v>N/A</v>
      </c>
      <c r="AG1082" s="611" t="str">
        <f t="shared" si="1993"/>
        <v>N/A</v>
      </c>
      <c r="AH1082" s="611" t="str">
        <f t="shared" si="1993"/>
        <v>N/A</v>
      </c>
      <c r="AI1082" s="611" t="str">
        <f t="shared" si="1993"/>
        <v>N/A</v>
      </c>
      <c r="AJ1082" s="611" t="str">
        <f t="shared" si="1993"/>
        <v>N/A</v>
      </c>
      <c r="AK1082" s="611" t="str">
        <f t="shared" si="1993"/>
        <v>N/A</v>
      </c>
      <c r="AL1082" s="611" t="str">
        <f t="shared" si="1993"/>
        <v>N/A</v>
      </c>
      <c r="AM1082" s="611" t="str">
        <f t="shared" si="1993"/>
        <v>N/A</v>
      </c>
      <c r="AN1082" s="611" t="str">
        <f t="shared" si="1993"/>
        <v>N/A</v>
      </c>
      <c r="AO1082" s="611" t="str">
        <f>"N/A"</f>
        <v>N/A</v>
      </c>
      <c r="AP1082" s="611" t="str">
        <f>"N/A"</f>
        <v>N/A</v>
      </c>
      <c r="AQ1082" s="611" t="str">
        <f t="shared" si="1993"/>
        <v>N/A</v>
      </c>
      <c r="AR1082" s="611" t="str">
        <f t="shared" si="1994" ref="AR1082:AU1082">"N/A"</f>
        <v>N/A</v>
      </c>
      <c r="AS1082" s="611" t="str">
        <f t="shared" si="1994"/>
        <v>N/A</v>
      </c>
      <c r="AT1082" s="611" t="str">
        <f t="shared" si="1994"/>
        <v>N/A</v>
      </c>
      <c r="AU1082" s="611" t="str">
        <f t="shared" si="1994"/>
        <v>N/A</v>
      </c>
      <c r="AV1082" s="611" t="str">
        <f t="shared" si="1995" ref="AV1082:BJ1082">"N/A"</f>
        <v>N/A</v>
      </c>
      <c r="AW1082" s="611" t="str">
        <f t="shared" si="1995"/>
        <v>N/A</v>
      </c>
      <c r="AX1082" s="611" t="str">
        <f t="shared" si="1995"/>
        <v>N/A</v>
      </c>
      <c r="AY1082" s="611" t="str">
        <f t="shared" si="1995"/>
        <v>N/A</v>
      </c>
      <c r="AZ1082" s="611" t="str">
        <f t="shared" si="1995"/>
        <v>N/A</v>
      </c>
      <c r="BA1082" s="611" t="str">
        <f t="shared" si="1996" ref="BA1082:BI1082">"N/A"</f>
        <v>N/A</v>
      </c>
      <c r="BB1082" s="611" t="str">
        <f t="shared" si="1996"/>
        <v>N/A</v>
      </c>
      <c r="BC1082" s="611" t="str">
        <f t="shared" si="1996"/>
        <v>N/A</v>
      </c>
      <c r="BD1082" s="611" t="str">
        <f t="shared" si="1996"/>
        <v>N/A</v>
      </c>
      <c r="BE1082" s="611" t="str">
        <f t="shared" si="1996"/>
        <v>N/A</v>
      </c>
      <c r="BF1082" s="611" t="str">
        <f>"N/A"</f>
        <v>N/A</v>
      </c>
      <c r="BG1082" s="611" t="str">
        <f>"N/A"</f>
        <v>N/A</v>
      </c>
      <c r="BH1082" s="612" t="str">
        <f>"N/A"</f>
        <v>N/A</v>
      </c>
      <c r="BI1082" s="332" t="str">
        <f t="shared" si="1996"/>
        <v>N/A</v>
      </c>
      <c r="BJ1082" s="332" t="str">
        <f t="shared" si="1995"/>
        <v>N/A</v>
      </c>
      <c r="BK1082" s="332" t="str">
        <f t="shared" si="1997" ref="BK1082:BR1082">"N/A"</f>
        <v>N/A</v>
      </c>
      <c r="BL1082" s="332" t="str">
        <f t="shared" si="1997"/>
        <v>N/A</v>
      </c>
      <c r="BM1082" s="332" t="str">
        <f t="shared" si="1997"/>
        <v>N/A</v>
      </c>
      <c r="BN1082" s="332" t="str">
        <f t="shared" si="1997"/>
        <v>N/A</v>
      </c>
      <c r="BO1082" s="332" t="str">
        <f t="shared" si="1997"/>
        <v>N/A</v>
      </c>
      <c r="BP1082" s="611" t="str">
        <f t="shared" si="1997"/>
        <v>N/A</v>
      </c>
      <c r="BQ1082" s="611" t="str">
        <f t="shared" si="1997"/>
        <v>N/A</v>
      </c>
      <c r="BR1082" s="613" t="str">
        <f t="shared" si="1997"/>
        <v>N/A</v>
      </c>
      <c r="BS1082" s="269"/>
    </row>
    <row r="1083" spans="1:71" s="698" customFormat="1" ht="15" hidden="1" outlineLevel="1" collapsed="1">
      <c r="A1083" s="152"/>
      <c r="B1083" s="993"/>
      <c r="C1083" s="304"/>
      <c r="D1083" s="304"/>
      <c r="E1083" s="993"/>
      <c r="F1083" s="993"/>
      <c r="G1083" s="993"/>
      <c r="H1083" s="993"/>
      <c r="I1083" s="993"/>
      <c r="J1083" s="993"/>
      <c r="K1083" s="993"/>
      <c r="L1083" s="993"/>
      <c r="M1083" s="993"/>
      <c r="N1083" s="993"/>
      <c r="O1083" s="993"/>
      <c r="P1083" s="993"/>
      <c r="Q1083" s="993"/>
      <c r="R1083" s="993"/>
      <c r="S1083" s="993"/>
      <c r="T1083" s="993"/>
      <c r="U1083" s="993"/>
      <c r="V1083" s="993"/>
      <c r="W1083" s="993"/>
      <c r="X1083" s="993"/>
      <c r="Y1083" s="993"/>
      <c r="Z1083" s="993"/>
      <c r="AA1083" s="993"/>
      <c r="AB1083" s="993"/>
      <c r="AC1083" s="993"/>
      <c r="AD1083" s="993"/>
      <c r="AE1083" s="993"/>
      <c r="AF1083" s="993"/>
      <c r="AG1083" s="993"/>
      <c r="AH1083" s="993"/>
      <c r="AI1083" s="993"/>
      <c r="AJ1083" s="993"/>
      <c r="AK1083" s="993"/>
      <c r="AL1083" s="993"/>
      <c r="AM1083" s="993"/>
      <c r="AN1083" s="993"/>
      <c r="AO1083" s="993"/>
      <c r="AP1083" s="993"/>
      <c r="AQ1083" s="993"/>
      <c r="AR1083" s="993"/>
      <c r="AS1083" s="993"/>
      <c r="AT1083" s="993"/>
      <c r="AU1083" s="993"/>
      <c r="AV1083" s="993"/>
      <c r="AW1083" s="993"/>
      <c r="AX1083" s="993"/>
      <c r="AY1083" s="993"/>
      <c r="AZ1083" s="993"/>
      <c r="BA1083" s="993"/>
      <c r="BB1083" s="993"/>
      <c r="BC1083" s="993"/>
      <c r="BD1083" s="993"/>
      <c r="BE1083" s="993"/>
      <c r="BF1083" s="993"/>
      <c r="BG1083" s="993"/>
      <c r="BH1083" s="994"/>
      <c r="BI1083" s="993"/>
      <c r="BJ1083" s="993"/>
      <c r="BK1083" s="993"/>
      <c r="BL1083" s="993"/>
      <c r="BM1083" s="993"/>
      <c r="BN1083" s="993"/>
      <c r="BO1083" s="993"/>
      <c r="BP1083" s="993"/>
      <c r="BQ1083" s="993"/>
      <c r="BR1083" s="151"/>
      <c r="BS1083" s="264"/>
    </row>
    <row r="1084" spans="1:71" s="698" customFormat="1" ht="15" collapsed="1">
      <c r="A1084" s="152" t="s">
        <v>700</v>
      </c>
      <c r="B1084" s="993"/>
      <c r="C1084" s="603">
        <f t="shared" si="1998" ref="C1084:AH1084">WORKDAY(INDEX(MO_Common_QEndDate,0,COLUMN()),-1)</f>
        <v>40177</v>
      </c>
      <c r="D1084" s="603">
        <f t="shared" si="1998"/>
        <v>40542</v>
      </c>
      <c r="E1084" s="604">
        <f t="shared" si="1998"/>
        <v>40907</v>
      </c>
      <c r="F1084" s="604">
        <f t="shared" si="1998"/>
        <v>41271</v>
      </c>
      <c r="G1084" s="604">
        <f t="shared" si="1998"/>
        <v>41638</v>
      </c>
      <c r="H1084" s="604">
        <f t="shared" si="1998"/>
        <v>41726</v>
      </c>
      <c r="I1084" s="604">
        <f t="shared" si="1998"/>
        <v>41817</v>
      </c>
      <c r="J1084" s="604">
        <f t="shared" si="1998"/>
        <v>41911</v>
      </c>
      <c r="K1084" s="604">
        <f t="shared" si="1998"/>
        <v>42003</v>
      </c>
      <c r="L1084" s="604">
        <f t="shared" si="1998"/>
        <v>42003</v>
      </c>
      <c r="M1084" s="604">
        <f t="shared" si="1998"/>
        <v>42093</v>
      </c>
      <c r="N1084" s="604">
        <f t="shared" si="1998"/>
        <v>42184</v>
      </c>
      <c r="O1084" s="604">
        <f t="shared" si="1998"/>
        <v>42276</v>
      </c>
      <c r="P1084" s="604">
        <f t="shared" si="1998"/>
        <v>42368</v>
      </c>
      <c r="Q1084" s="604">
        <f t="shared" si="1998"/>
        <v>42368</v>
      </c>
      <c r="R1084" s="604">
        <f t="shared" si="1998"/>
        <v>42459</v>
      </c>
      <c r="S1084" s="604">
        <f t="shared" si="1998"/>
        <v>42550</v>
      </c>
      <c r="T1084" s="604">
        <f t="shared" si="1998"/>
        <v>42642</v>
      </c>
      <c r="U1084" s="604">
        <f t="shared" si="1998"/>
        <v>42734</v>
      </c>
      <c r="V1084" s="604">
        <f t="shared" si="1998"/>
        <v>42734</v>
      </c>
      <c r="W1084" s="604">
        <f t="shared" si="1998"/>
        <v>42824</v>
      </c>
      <c r="X1084" s="604">
        <f t="shared" si="1998"/>
        <v>42915</v>
      </c>
      <c r="Y1084" s="604">
        <f t="shared" si="1998"/>
        <v>43007</v>
      </c>
      <c r="Z1084" s="604">
        <f t="shared" si="1998"/>
        <v>43098</v>
      </c>
      <c r="AA1084" s="604">
        <f t="shared" si="1998"/>
        <v>43098</v>
      </c>
      <c r="AB1084" s="604">
        <f t="shared" si="1998"/>
        <v>43189</v>
      </c>
      <c r="AC1084" s="604">
        <f t="shared" si="1998"/>
        <v>43280</v>
      </c>
      <c r="AD1084" s="604">
        <f t="shared" si="1998"/>
        <v>43371</v>
      </c>
      <c r="AE1084" s="604">
        <f t="shared" si="1998"/>
        <v>43462</v>
      </c>
      <c r="AF1084" s="604">
        <f t="shared" si="1998"/>
        <v>43462</v>
      </c>
      <c r="AG1084" s="604">
        <f t="shared" si="1998"/>
        <v>43553</v>
      </c>
      <c r="AH1084" s="604">
        <f t="shared" si="1998"/>
        <v>43644</v>
      </c>
      <c r="AI1084" s="604">
        <f t="shared" si="1999" ref="AI1084:AV1084">WORKDAY(INDEX(MO_Common_QEndDate,0,COLUMN()),-1)</f>
        <v>43735</v>
      </c>
      <c r="AJ1084" s="604">
        <f t="shared" si="1999"/>
        <v>43829</v>
      </c>
      <c r="AK1084" s="604">
        <f t="shared" si="1999"/>
        <v>43829</v>
      </c>
      <c r="AL1084" s="604">
        <f t="shared" si="1999"/>
        <v>43920</v>
      </c>
      <c r="AM1084" s="604">
        <f t="shared" si="1999"/>
        <v>44011</v>
      </c>
      <c r="AN1084" s="604">
        <f t="shared" si="1999"/>
        <v>44103</v>
      </c>
      <c r="AO1084" s="604">
        <f t="shared" si="1999"/>
        <v>44195</v>
      </c>
      <c r="AP1084" s="604">
        <f t="shared" si="1999"/>
        <v>44195</v>
      </c>
      <c r="AQ1084" s="604">
        <f t="shared" si="1999"/>
        <v>44285</v>
      </c>
      <c r="AR1084" s="604">
        <f t="shared" si="1999"/>
        <v>44376</v>
      </c>
      <c r="AS1084" s="604">
        <f t="shared" si="1999"/>
        <v>44468</v>
      </c>
      <c r="AT1084" s="604">
        <f t="shared" si="1999"/>
        <v>44560</v>
      </c>
      <c r="AU1084" s="604">
        <f t="shared" si="1999"/>
        <v>44560</v>
      </c>
      <c r="AV1084" s="604">
        <f t="shared" si="1999"/>
        <v>44650</v>
      </c>
      <c r="AW1084" s="604">
        <f t="shared" si="2000" ref="AW1084:AZ1084">WORKDAY(INDEX(MO_Common_QEndDate,0,COLUMN()),-1)</f>
        <v>44741</v>
      </c>
      <c r="AX1084" s="604">
        <f t="shared" si="2000"/>
        <v>44833</v>
      </c>
      <c r="AY1084" s="604">
        <f t="shared" si="2000"/>
        <v>44925</v>
      </c>
      <c r="AZ1084" s="604">
        <f t="shared" si="2000"/>
        <v>44925</v>
      </c>
      <c r="BA1084" s="604">
        <f t="shared" si="2001" ref="BA1084:BR1084">WORKDAY(INDEX(MO_Common_QEndDate,0,COLUMN()),-1)</f>
        <v>45015</v>
      </c>
      <c r="BB1084" s="604">
        <f t="shared" si="2001"/>
        <v>45106</v>
      </c>
      <c r="BC1084" s="604">
        <f t="shared" si="2001"/>
        <v>45198</v>
      </c>
      <c r="BD1084" s="604">
        <f t="shared" si="2001"/>
        <v>45289</v>
      </c>
      <c r="BE1084" s="604">
        <f t="shared" si="2001"/>
        <v>45289</v>
      </c>
      <c r="BF1084" s="604">
        <f>WORKDAY(INDEX(MO_Common_QEndDate,0,COLUMN()),-1)</f>
        <v>45380</v>
      </c>
      <c r="BG1084" s="604">
        <f>WORKDAY(INDEX(MO_Common_QEndDate,0,COLUMN()),-1)</f>
        <v>45471</v>
      </c>
      <c r="BH1084" s="605">
        <f>WORKDAY(INDEX(MO_Common_QEndDate,0,COLUMN()),-1)</f>
        <v>45562</v>
      </c>
      <c r="BI1084" s="604">
        <f t="shared" si="2001"/>
        <v>45656</v>
      </c>
      <c r="BJ1084" s="604">
        <f t="shared" si="2001"/>
        <v>45656</v>
      </c>
      <c r="BK1084" s="604">
        <f t="shared" si="2001"/>
        <v>45744</v>
      </c>
      <c r="BL1084" s="604">
        <f t="shared" si="2001"/>
        <v>45835</v>
      </c>
      <c r="BM1084" s="604">
        <f t="shared" si="2001"/>
        <v>45929</v>
      </c>
      <c r="BN1084" s="604">
        <f t="shared" si="2001"/>
        <v>46021</v>
      </c>
      <c r="BO1084" s="604">
        <f t="shared" si="2001"/>
        <v>46021</v>
      </c>
      <c r="BP1084" s="604">
        <f t="shared" si="2001"/>
        <v>46386</v>
      </c>
      <c r="BQ1084" s="604">
        <f t="shared" si="2001"/>
        <v>46751</v>
      </c>
      <c r="BR1084" s="606">
        <f t="shared" si="2001"/>
        <v>47116</v>
      </c>
      <c r="BS1084" s="264"/>
    </row>
    <row r="1085" spans="1:71" s="698" customFormat="1" ht="15" collapsed="1">
      <c r="A1085" s="152" t="s">
        <v>701</v>
      </c>
      <c r="B1085" s="993"/>
      <c r="C1085" s="1305">
        <v>18.05</v>
      </c>
      <c r="D1085" s="1305">
        <v>19.87</v>
      </c>
      <c r="E1085" s="1306">
        <v>19.510000000000002</v>
      </c>
      <c r="F1085" s="1306">
        <v>20.85</v>
      </c>
      <c r="G1085" s="1306">
        <v>27.16</v>
      </c>
      <c r="H1085" s="1306">
        <v>23.98</v>
      </c>
      <c r="I1085" s="1306">
        <v>25.26</v>
      </c>
      <c r="J1085" s="1306">
        <v>25.49</v>
      </c>
      <c r="K1085" s="1306">
        <v>27.22</v>
      </c>
      <c r="L1085" s="1306">
        <v>27.22</v>
      </c>
      <c r="M1085" s="1306">
        <v>27.37</v>
      </c>
      <c r="N1085" s="1306">
        <v>27.81</v>
      </c>
      <c r="O1085" s="1306">
        <v>30.44</v>
      </c>
      <c r="P1085" s="1306">
        <v>32.32</v>
      </c>
      <c r="Q1085" s="1306">
        <v>32.32</v>
      </c>
      <c r="R1085" s="1306">
        <v>35.03</v>
      </c>
      <c r="S1085" s="1306">
        <v>32.630000000000003</v>
      </c>
      <c r="T1085" s="1306">
        <v>31.25</v>
      </c>
      <c r="U1085" s="1306">
        <v>35.50</v>
      </c>
      <c r="V1085" s="1306">
        <v>35.50</v>
      </c>
      <c r="W1085" s="1306">
        <v>39.479999999999997</v>
      </c>
      <c r="X1085" s="1306">
        <v>44.15</v>
      </c>
      <c r="Y1085" s="1306">
        <v>48.42</v>
      </c>
      <c r="Z1085" s="1306">
        <v>56.32</v>
      </c>
      <c r="AA1085" s="1306">
        <v>56.32</v>
      </c>
      <c r="AB1085" s="1306">
        <v>60.93</v>
      </c>
      <c r="AC1085" s="1306">
        <v>59.15</v>
      </c>
      <c r="AD1085" s="1306">
        <v>71.040000000000006</v>
      </c>
      <c r="AE1085" s="1306">
        <v>59.65</v>
      </c>
      <c r="AF1085" s="1306">
        <v>59.65</v>
      </c>
      <c r="AG1085" s="1306">
        <v>72.09</v>
      </c>
      <c r="AH1085" s="1306">
        <v>79.930000000000007</v>
      </c>
      <c r="AI1085" s="1306">
        <v>77.099999999999994</v>
      </c>
      <c r="AJ1085" s="1306">
        <v>72.319999999999993</v>
      </c>
      <c r="AK1085" s="1306">
        <v>72.319999999999993</v>
      </c>
      <c r="AL1085" s="1306">
        <v>76.180000000000007</v>
      </c>
      <c r="AM1085" s="1306">
        <v>78.400000000000006</v>
      </c>
      <c r="AN1085" s="1306">
        <v>94.15</v>
      </c>
      <c r="AO1085" s="1306">
        <v>97.41</v>
      </c>
      <c r="AP1085" s="1306">
        <v>97.41</v>
      </c>
      <c r="AQ1085" s="1306">
        <v>95.55</v>
      </c>
      <c r="AR1085" s="1306">
        <v>98.44</v>
      </c>
      <c r="AS1085" s="1306">
        <v>91.14</v>
      </c>
      <c r="AT1085" s="1306">
        <v>103.05</v>
      </c>
      <c r="AU1085" s="1306">
        <v>103.05</v>
      </c>
      <c r="AV1085" s="1306">
        <v>117.17</v>
      </c>
      <c r="AW1085" s="1306">
        <v>113.64</v>
      </c>
      <c r="AX1085" s="1306">
        <v>118.39</v>
      </c>
      <c r="AY1085" s="1306">
        <v>129.71000000000001</v>
      </c>
      <c r="AZ1085" s="1306">
        <v>129.71000000000001</v>
      </c>
      <c r="BA1085" s="1306">
        <v>143.78999999999999</v>
      </c>
      <c r="BB1085" s="1306">
        <v>132.11000000000001</v>
      </c>
      <c r="BC1085" s="1306">
        <v>139.30000000000001</v>
      </c>
      <c r="BD1085" s="1306">
        <v>159.28</v>
      </c>
      <c r="BE1085" s="1306">
        <v>159.28</v>
      </c>
      <c r="BF1085" s="1306">
        <v>206.82</v>
      </c>
      <c r="BG1085" s="1306">
        <v>207.71</v>
      </c>
      <c r="BH1085" s="1307">
        <v>251.10</v>
      </c>
      <c r="BI1085" s="608"/>
      <c r="BJ1085" s="608"/>
      <c r="BK1085" s="608"/>
      <c r="BL1085" s="608"/>
      <c r="BM1085" s="608"/>
      <c r="BN1085" s="608"/>
      <c r="BO1085" s="608"/>
      <c r="BP1085" s="608"/>
      <c r="BQ1085" s="608"/>
      <c r="BR1085" s="609"/>
      <c r="BS1085" s="264"/>
    </row>
    <row r="1086" spans="1:71" s="698" customFormat="1" ht="15" collapsed="1">
      <c r="A1086" s="152" t="s">
        <v>702</v>
      </c>
      <c r="B1086" s="993"/>
      <c r="C1086" s="1302">
        <v>1</v>
      </c>
      <c r="D1086" s="1302">
        <v>1</v>
      </c>
      <c r="E1086" s="1303">
        <v>1</v>
      </c>
      <c r="F1086" s="1303">
        <v>1</v>
      </c>
      <c r="G1086" s="1303">
        <v>1</v>
      </c>
      <c r="H1086" s="1303">
        <v>1</v>
      </c>
      <c r="I1086" s="1303">
        <v>1</v>
      </c>
      <c r="J1086" s="1303">
        <v>1</v>
      </c>
      <c r="K1086" s="1303">
        <v>1</v>
      </c>
      <c r="L1086" s="1303">
        <v>1</v>
      </c>
      <c r="M1086" s="1303">
        <v>1</v>
      </c>
      <c r="N1086" s="1303">
        <v>1</v>
      </c>
      <c r="O1086" s="1303">
        <v>1</v>
      </c>
      <c r="P1086" s="1303">
        <v>1</v>
      </c>
      <c r="Q1086" s="1303">
        <v>1</v>
      </c>
      <c r="R1086" s="1303">
        <v>1</v>
      </c>
      <c r="S1086" s="1303">
        <v>1</v>
      </c>
      <c r="T1086" s="1303">
        <v>1</v>
      </c>
      <c r="U1086" s="1303">
        <v>1</v>
      </c>
      <c r="V1086" s="1303">
        <v>1</v>
      </c>
      <c r="W1086" s="1303">
        <v>1</v>
      </c>
      <c r="X1086" s="1303">
        <v>1</v>
      </c>
      <c r="Y1086" s="1303">
        <v>1</v>
      </c>
      <c r="Z1086" s="1303">
        <v>1</v>
      </c>
      <c r="AA1086" s="1303">
        <v>1</v>
      </c>
      <c r="AB1086" s="1303">
        <v>1</v>
      </c>
      <c r="AC1086" s="1303">
        <v>1</v>
      </c>
      <c r="AD1086" s="1303">
        <v>1</v>
      </c>
      <c r="AE1086" s="1303">
        <v>1</v>
      </c>
      <c r="AF1086" s="1303">
        <v>1</v>
      </c>
      <c r="AG1086" s="1303">
        <v>1</v>
      </c>
      <c r="AH1086" s="1303">
        <v>1</v>
      </c>
      <c r="AI1086" s="1303">
        <v>1</v>
      </c>
      <c r="AJ1086" s="1303">
        <v>1</v>
      </c>
      <c r="AK1086" s="1303">
        <v>1</v>
      </c>
      <c r="AL1086" s="1303">
        <v>1</v>
      </c>
      <c r="AM1086" s="1303">
        <v>1</v>
      </c>
      <c r="AN1086" s="1303">
        <v>1</v>
      </c>
      <c r="AO1086" s="1303">
        <v>1</v>
      </c>
      <c r="AP1086" s="1303">
        <v>1</v>
      </c>
      <c r="AQ1086" s="1303">
        <v>1</v>
      </c>
      <c r="AR1086" s="1303">
        <v>1</v>
      </c>
      <c r="AS1086" s="1303">
        <v>1</v>
      </c>
      <c r="AT1086" s="1303">
        <v>1</v>
      </c>
      <c r="AU1086" s="1303">
        <v>1</v>
      </c>
      <c r="AV1086" s="1303">
        <v>1</v>
      </c>
      <c r="AW1086" s="1303">
        <v>1</v>
      </c>
      <c r="AX1086" s="1303">
        <v>1</v>
      </c>
      <c r="AY1086" s="1303">
        <v>1</v>
      </c>
      <c r="AZ1086" s="1303">
        <v>1</v>
      </c>
      <c r="BA1086" s="1303">
        <v>1</v>
      </c>
      <c r="BB1086" s="1303">
        <v>1</v>
      </c>
      <c r="BC1086" s="1303">
        <v>1</v>
      </c>
      <c r="BD1086" s="1303">
        <v>1</v>
      </c>
      <c r="BE1086" s="1303">
        <v>1</v>
      </c>
      <c r="BF1086" s="1303">
        <v>1</v>
      </c>
      <c r="BG1086" s="1303">
        <v>1</v>
      </c>
      <c r="BH1086" s="1304">
        <v>1</v>
      </c>
      <c r="BI1086" s="611"/>
      <c r="BJ1086" s="611"/>
      <c r="BK1086" s="611"/>
      <c r="BL1086" s="611"/>
      <c r="BM1086" s="611"/>
      <c r="BN1086" s="611"/>
      <c r="BO1086" s="611"/>
      <c r="BP1086" s="611"/>
      <c r="BQ1086" s="611"/>
      <c r="BR1086" s="613"/>
      <c r="BS1086" s="264"/>
    </row>
    <row r="1087" spans="1:71" s="698" customFormat="1" ht="15" collapsed="1">
      <c r="A1087" s="614"/>
      <c r="B1087" s="988"/>
      <c r="C1087" s="615"/>
      <c r="D1087" s="615"/>
      <c r="E1087" s="616"/>
      <c r="F1087" s="616"/>
      <c r="G1087" s="616"/>
      <c r="H1087" s="616"/>
      <c r="I1087" s="616"/>
      <c r="J1087" s="616"/>
      <c r="K1087" s="616"/>
      <c r="L1087" s="616"/>
      <c r="M1087" s="616"/>
      <c r="N1087" s="616"/>
      <c r="O1087" s="616"/>
      <c r="P1087" s="616"/>
      <c r="Q1087" s="616"/>
      <c r="R1087" s="616"/>
      <c r="S1087" s="616"/>
      <c r="T1087" s="616"/>
      <c r="U1087" s="616"/>
      <c r="V1087" s="616"/>
      <c r="W1087" s="616"/>
      <c r="X1087" s="616"/>
      <c r="Y1087" s="616"/>
      <c r="Z1087" s="616"/>
      <c r="AA1087" s="616"/>
      <c r="AB1087" s="616"/>
      <c r="AC1087" s="616"/>
      <c r="AD1087" s="616"/>
      <c r="AE1087" s="616"/>
      <c r="AF1087" s="616"/>
      <c r="AG1087" s="616"/>
      <c r="AH1087" s="616"/>
      <c r="AI1087" s="616"/>
      <c r="AJ1087" s="616"/>
      <c r="AK1087" s="616"/>
      <c r="AL1087" s="616"/>
      <c r="AM1087" s="616"/>
      <c r="AN1087" s="616"/>
      <c r="AO1087" s="616"/>
      <c r="AP1087" s="616"/>
      <c r="AQ1087" s="616"/>
      <c r="AR1087" s="616"/>
      <c r="AS1087" s="616"/>
      <c r="AT1087" s="616"/>
      <c r="AU1087" s="616"/>
      <c r="AV1087" s="616"/>
      <c r="AW1087" s="616"/>
      <c r="AX1087" s="616"/>
      <c r="AY1087" s="616"/>
      <c r="AZ1087" s="616"/>
      <c r="BA1087" s="616"/>
      <c r="BB1087" s="616"/>
      <c r="BC1087" s="616"/>
      <c r="BD1087" s="616"/>
      <c r="BE1087" s="616"/>
      <c r="BF1087" s="616"/>
      <c r="BG1087" s="616"/>
      <c r="BH1087" s="617"/>
      <c r="BI1087" s="616"/>
      <c r="BJ1087" s="616"/>
      <c r="BK1087" s="616"/>
      <c r="BL1087" s="616"/>
      <c r="BM1087" s="616"/>
      <c r="BN1087" s="616"/>
      <c r="BO1087" s="616"/>
      <c r="BP1087" s="616"/>
      <c r="BQ1087" s="616"/>
      <c r="BR1087" s="618"/>
      <c r="BS1087" s="264"/>
    </row>
    <row r="1088" spans="1:71" ht="15">
      <c r="A1088" s="456"/>
      <c r="B1088" s="456"/>
      <c r="C1088" s="457"/>
      <c r="D1088" s="457"/>
      <c r="E1088" s="457"/>
      <c r="F1088" s="457"/>
      <c r="G1088" s="457"/>
      <c r="H1088" s="457"/>
      <c r="I1088" s="457"/>
      <c r="J1088" s="457"/>
      <c r="K1088" s="457"/>
      <c r="L1088" s="457"/>
      <c r="M1088" s="457"/>
      <c r="N1088" s="457"/>
      <c r="O1088" s="457"/>
      <c r="P1088" s="457"/>
      <c r="Q1088" s="457"/>
      <c r="R1088" s="457"/>
      <c r="S1088" s="457"/>
      <c r="T1088" s="457"/>
      <c r="U1088" s="457"/>
      <c r="V1088" s="457"/>
      <c r="W1088" s="457"/>
      <c r="X1088" s="457"/>
      <c r="Y1088" s="457"/>
      <c r="Z1088" s="457"/>
      <c r="AA1088" s="457"/>
      <c r="AB1088" s="457"/>
      <c r="AC1088" s="457"/>
      <c r="AD1088" s="457"/>
      <c r="AE1088" s="457"/>
      <c r="AF1088" s="457"/>
      <c r="AG1088" s="457"/>
      <c r="AH1088" s="457"/>
      <c r="AI1088" s="457"/>
      <c r="AJ1088" s="457"/>
      <c r="AK1088" s="457"/>
      <c r="AL1088" s="457"/>
      <c r="AM1088" s="457"/>
      <c r="AN1088" s="457"/>
      <c r="AO1088" s="457"/>
      <c r="AP1088" s="457"/>
      <c r="AQ1088" s="457"/>
      <c r="AR1088" s="457"/>
      <c r="AS1088" s="457"/>
      <c r="AT1088" s="457"/>
      <c r="AU1088" s="457"/>
      <c r="AV1088" s="457"/>
      <c r="AW1088" s="457"/>
      <c r="AX1088" s="457"/>
      <c r="AY1088" s="457"/>
      <c r="AZ1088" s="457"/>
      <c r="BA1088" s="457"/>
      <c r="BB1088" s="457"/>
      <c r="BC1088" s="457"/>
      <c r="BD1088" s="457"/>
      <c r="BE1088" s="457"/>
      <c r="BF1088" s="457"/>
      <c r="BG1088" s="457"/>
      <c r="BH1088" s="458"/>
      <c r="BI1088" s="457"/>
      <c r="BJ1088" s="457"/>
      <c r="BK1088" s="457"/>
      <c r="BL1088" s="457"/>
      <c r="BM1088" s="457"/>
      <c r="BN1088" s="457"/>
      <c r="BO1088" s="457"/>
      <c r="BP1088" s="457"/>
      <c r="BQ1088" s="457"/>
      <c r="BR1088" s="457"/>
      <c r="BS1088" s="155"/>
    </row>
    <row r="1089" spans="1:71" s="698" customFormat="1" ht="15">
      <c r="A1089" s="153" t="s">
        <v>265</v>
      </c>
      <c r="B1089" s="168"/>
      <c r="C1089" s="993"/>
      <c r="D1089" s="993"/>
      <c r="E1089" s="993"/>
      <c r="F1089" s="993"/>
      <c r="G1089" s="993"/>
      <c r="H1089" s="993"/>
      <c r="I1089" s="993"/>
      <c r="J1089" s="993"/>
      <c r="K1089" s="993"/>
      <c r="L1089" s="993"/>
      <c r="M1089" s="993"/>
      <c r="N1089" s="993"/>
      <c r="O1089" s="993"/>
      <c r="P1089" s="993"/>
      <c r="Q1089" s="993"/>
      <c r="R1089" s="993"/>
      <c r="S1089" s="993"/>
      <c r="T1089" s="993"/>
      <c r="U1089" s="993"/>
      <c r="V1089" s="993"/>
      <c r="W1089" s="993"/>
      <c r="X1089" s="993"/>
      <c r="Y1089" s="993"/>
      <c r="Z1089" s="993"/>
      <c r="AA1089" s="993"/>
      <c r="AB1089" s="993"/>
      <c r="AC1089" s="993"/>
      <c r="AD1089" s="993"/>
      <c r="AE1089" s="993"/>
      <c r="AF1089" s="993"/>
      <c r="AG1089" s="993"/>
      <c r="AH1089" s="993"/>
      <c r="AI1089" s="993"/>
      <c r="AJ1089" s="993"/>
      <c r="AK1089" s="993"/>
      <c r="AL1089" s="993"/>
      <c r="AM1089" s="993"/>
      <c r="AN1089" s="993"/>
      <c r="AO1089" s="993"/>
      <c r="AP1089" s="993"/>
      <c r="AQ1089" s="993"/>
      <c r="AR1089" s="993"/>
      <c r="AS1089" s="993"/>
      <c r="AT1089" s="993"/>
      <c r="AU1089" s="993"/>
      <c r="AV1089" s="993"/>
      <c r="AW1089" s="993"/>
      <c r="AX1089" s="993"/>
      <c r="AY1089" s="993"/>
      <c r="AZ1089" s="993"/>
      <c r="BA1089" s="993"/>
      <c r="BB1089" s="993"/>
      <c r="BC1089" s="993"/>
      <c r="BD1089" s="993"/>
      <c r="BE1089" s="993"/>
      <c r="BF1089" s="993"/>
      <c r="BG1089" s="993"/>
      <c r="BH1089" s="994"/>
      <c r="BI1089" s="992"/>
      <c r="BJ1089" s="992"/>
      <c r="BK1089" s="992"/>
      <c r="BL1089" s="992"/>
      <c r="BM1089" s="992"/>
      <c r="BN1089" s="992"/>
      <c r="BO1089" s="992"/>
      <c r="BP1089" s="993"/>
      <c r="BQ1089" s="993"/>
      <c r="BR1089" s="992"/>
      <c r="BS1089" s="154"/>
    </row>
    <row r="1090" spans="1:71" s="699" customFormat="1" ht="15">
      <c r="A1090" s="156" t="s">
        <v>266</v>
      </c>
      <c r="B1090" s="175">
        <f>FP.LastPrice</f>
        <v>257.50</v>
      </c>
      <c r="C1090" s="220"/>
      <c r="D1090" s="220"/>
      <c r="E1090" s="220"/>
      <c r="F1090" s="220"/>
      <c r="G1090" s="220"/>
      <c r="H1090" s="220"/>
      <c r="I1090" s="220"/>
      <c r="J1090" s="220"/>
      <c r="K1090" s="220"/>
      <c r="L1090" s="220"/>
      <c r="M1090" s="220"/>
      <c r="N1090" s="220"/>
      <c r="O1090" s="220"/>
      <c r="P1090" s="220"/>
      <c r="Q1090" s="220"/>
      <c r="R1090" s="220"/>
      <c r="S1090" s="220"/>
      <c r="T1090" s="220"/>
      <c r="U1090" s="220"/>
      <c r="V1090" s="220"/>
      <c r="W1090" s="220"/>
      <c r="X1090" s="220"/>
      <c r="Y1090" s="220"/>
      <c r="Z1090" s="220"/>
      <c r="AA1090" s="220"/>
      <c r="AB1090" s="220"/>
      <c r="AC1090" s="220"/>
      <c r="AD1090" s="220"/>
      <c r="AE1090" s="220"/>
      <c r="AF1090" s="220"/>
      <c r="AG1090" s="220"/>
      <c r="AH1090" s="220"/>
      <c r="AI1090" s="220"/>
      <c r="AJ1090" s="220"/>
      <c r="AK1090" s="220"/>
      <c r="AL1090" s="220"/>
      <c r="AM1090" s="220"/>
      <c r="AN1090" s="220"/>
      <c r="AO1090" s="220"/>
      <c r="AP1090" s="220"/>
      <c r="AQ1090" s="220"/>
      <c r="AR1090" s="220"/>
      <c r="AS1090" s="220"/>
      <c r="AT1090" s="220"/>
      <c r="AU1090" s="220"/>
      <c r="AV1090" s="220"/>
      <c r="AW1090" s="220"/>
      <c r="AX1090" s="220"/>
      <c r="AY1090" s="220"/>
      <c r="AZ1090" s="220"/>
      <c r="BA1090" s="220"/>
      <c r="BB1090" s="220"/>
      <c r="BC1090" s="220"/>
      <c r="BD1090" s="220"/>
      <c r="BE1090" s="220"/>
      <c r="BF1090" s="220"/>
      <c r="BG1090" s="220"/>
      <c r="BH1090" s="378"/>
      <c r="BI1090" s="175"/>
      <c r="BJ1090" s="175"/>
      <c r="BK1090" s="175"/>
      <c r="BL1090" s="175"/>
      <c r="BM1090" s="175"/>
      <c r="BN1090" s="175"/>
      <c r="BO1090" s="175"/>
      <c r="BP1090" s="220"/>
      <c r="BQ1090" s="220"/>
      <c r="BR1090" s="175"/>
      <c r="BS1090" s="157"/>
    </row>
    <row r="1091" spans="1:71" ht="15">
      <c r="A1091" s="158" t="s">
        <v>267</v>
      </c>
      <c r="B1091" s="472">
        <f>FP.LastPriceDate</f>
        <v>45610</v>
      </c>
      <c r="C1091" s="384"/>
      <c r="D1091" s="384"/>
      <c r="E1091" s="384"/>
      <c r="F1091" s="384"/>
      <c r="G1091" s="384"/>
      <c r="H1091" s="384"/>
      <c r="I1091" s="384"/>
      <c r="J1091" s="384"/>
      <c r="K1091" s="384"/>
      <c r="L1091" s="384"/>
      <c r="M1091" s="384"/>
      <c r="N1091" s="384"/>
      <c r="O1091" s="384"/>
      <c r="P1091" s="384"/>
      <c r="Q1091" s="384"/>
      <c r="R1091" s="384"/>
      <c r="S1091" s="384"/>
      <c r="T1091" s="384"/>
      <c r="U1091" s="384"/>
      <c r="V1091" s="384"/>
      <c r="W1091" s="384"/>
      <c r="X1091" s="384"/>
      <c r="Y1091" s="384"/>
      <c r="Z1091" s="384"/>
      <c r="AA1091" s="384"/>
      <c r="AB1091" s="384"/>
      <c r="AC1091" s="384"/>
      <c r="AD1091" s="384"/>
      <c r="AE1091" s="384"/>
      <c r="AF1091" s="384"/>
      <c r="AG1091" s="384"/>
      <c r="AH1091" s="384"/>
      <c r="AI1091" s="384"/>
      <c r="AJ1091" s="384"/>
      <c r="AK1091" s="384"/>
      <c r="AL1091" s="384"/>
      <c r="AM1091" s="384"/>
      <c r="AN1091" s="384"/>
      <c r="AO1091" s="384"/>
      <c r="AP1091" s="384"/>
      <c r="AQ1091" s="384"/>
      <c r="AR1091" s="384"/>
      <c r="AS1091" s="384"/>
      <c r="AT1091" s="384"/>
      <c r="AU1091" s="384"/>
      <c r="AV1091" s="384"/>
      <c r="AW1091" s="384"/>
      <c r="AX1091" s="384"/>
      <c r="AY1091" s="384"/>
      <c r="AZ1091" s="384"/>
      <c r="BA1091" s="384"/>
      <c r="BB1091" s="384"/>
      <c r="BC1091" s="384"/>
      <c r="BD1091" s="384"/>
      <c r="BE1091" s="384"/>
      <c r="BF1091" s="384"/>
      <c r="BG1091" s="384"/>
      <c r="BH1091" s="459"/>
      <c r="BI1091" s="386"/>
      <c r="BJ1091" s="386"/>
      <c r="BK1091" s="386"/>
      <c r="BL1091" s="386"/>
      <c r="BM1091" s="386"/>
      <c r="BN1091" s="386"/>
      <c r="BO1091" s="386"/>
      <c r="BP1091" s="384"/>
      <c r="BQ1091" s="384"/>
      <c r="BR1091" s="386"/>
      <c r="BS1091" s="155"/>
    </row>
    <row r="1092" spans="1:71" ht="15">
      <c r="A1092" s="158" t="s">
        <v>268</v>
      </c>
      <c r="B1092" s="155" t="b">
        <f>IF(FP.RealTimeToggle="ON",TRUE,FALSE)</f>
        <v>0</v>
      </c>
      <c r="C1092" s="384"/>
      <c r="D1092" s="384"/>
      <c r="E1092" s="384"/>
      <c r="F1092" s="384"/>
      <c r="G1092" s="384"/>
      <c r="H1092" s="384"/>
      <c r="I1092" s="384"/>
      <c r="J1092" s="384"/>
      <c r="K1092" s="384"/>
      <c r="L1092" s="384"/>
      <c r="M1092" s="384"/>
      <c r="N1092" s="384"/>
      <c r="O1092" s="384"/>
      <c r="P1092" s="384"/>
      <c r="Q1092" s="384"/>
      <c r="R1092" s="384"/>
      <c r="S1092" s="384"/>
      <c r="T1092" s="384"/>
      <c r="U1092" s="384"/>
      <c r="V1092" s="384"/>
      <c r="W1092" s="384"/>
      <c r="X1092" s="384"/>
      <c r="Y1092" s="384"/>
      <c r="Z1092" s="384"/>
      <c r="AA1092" s="384"/>
      <c r="AB1092" s="384"/>
      <c r="AC1092" s="384"/>
      <c r="AD1092" s="384"/>
      <c r="AE1092" s="384"/>
      <c r="AF1092" s="384"/>
      <c r="AG1092" s="384"/>
      <c r="AH1092" s="384"/>
      <c r="AI1092" s="384"/>
      <c r="AJ1092" s="384"/>
      <c r="AK1092" s="384"/>
      <c r="AL1092" s="384"/>
      <c r="AM1092" s="384"/>
      <c r="AN1092" s="384"/>
      <c r="AO1092" s="384"/>
      <c r="AP1092" s="384"/>
      <c r="AQ1092" s="384"/>
      <c r="AR1092" s="384"/>
      <c r="AS1092" s="384"/>
      <c r="AT1092" s="384"/>
      <c r="AU1092" s="384"/>
      <c r="AV1092" s="384"/>
      <c r="AW1092" s="384"/>
      <c r="AX1092" s="384"/>
      <c r="AY1092" s="384"/>
      <c r="AZ1092" s="384"/>
      <c r="BA1092" s="384"/>
      <c r="BB1092" s="384"/>
      <c r="BC1092" s="384"/>
      <c r="BD1092" s="384"/>
      <c r="BE1092" s="384"/>
      <c r="BF1092" s="384"/>
      <c r="BG1092" s="384"/>
      <c r="BH1092" s="459"/>
      <c r="BI1092" s="386"/>
      <c r="BJ1092" s="386"/>
      <c r="BK1092" s="386"/>
      <c r="BL1092" s="386"/>
      <c r="BM1092" s="386"/>
      <c r="BN1092" s="386"/>
      <c r="BO1092" s="386"/>
      <c r="BP1092" s="384"/>
      <c r="BQ1092" s="384"/>
      <c r="BR1092" s="386"/>
      <c r="BS1092" s="155"/>
    </row>
    <row r="1093" spans="1:71" s="699" customFormat="1" ht="15">
      <c r="A1093" s="156" t="s">
        <v>269</v>
      </c>
      <c r="B1093" s="157" t="str">
        <f ca="1">IFERROR(CHOOSE(MO.DataSourceIndex,BDP(MO.Ticker.Bloomberg&amp;" EQUITY","LAST_PRICE"),CIQ(MO.Ticker.CapIQ,"IQ_LASTSALEPRICE"),FDS(MO.Ticker.FactSet,"FG_PRICE(NOW)"),_xll.TR(MO.Ticker.Thomson,"TRDPRC_1")),"N/A")</f>
        <v>N/A</v>
      </c>
      <c r="C1093" s="220"/>
      <c r="D1093" s="220"/>
      <c r="E1093" s="220"/>
      <c r="F1093" s="220"/>
      <c r="G1093" s="220"/>
      <c r="H1093" s="220"/>
      <c r="I1093" s="220"/>
      <c r="J1093" s="220"/>
      <c r="K1093" s="220"/>
      <c r="L1093" s="220"/>
      <c r="M1093" s="220"/>
      <c r="N1093" s="220"/>
      <c r="O1093" s="220"/>
      <c r="P1093" s="220"/>
      <c r="Q1093" s="220"/>
      <c r="R1093" s="220"/>
      <c r="S1093" s="220"/>
      <c r="T1093" s="220"/>
      <c r="U1093" s="220"/>
      <c r="V1093" s="220"/>
      <c r="W1093" s="220"/>
      <c r="X1093" s="220"/>
      <c r="Y1093" s="220"/>
      <c r="Z1093" s="220"/>
      <c r="AA1093" s="220"/>
      <c r="AB1093" s="220"/>
      <c r="AC1093" s="220"/>
      <c r="AD1093" s="220"/>
      <c r="AE1093" s="220"/>
      <c r="AF1093" s="220"/>
      <c r="AG1093" s="220"/>
      <c r="AH1093" s="220"/>
      <c r="AI1093" s="220"/>
      <c r="AJ1093" s="220"/>
      <c r="AK1093" s="220"/>
      <c r="AL1093" s="220"/>
      <c r="AM1093" s="220"/>
      <c r="AN1093" s="220"/>
      <c r="AO1093" s="220"/>
      <c r="AP1093" s="220"/>
      <c r="AQ1093" s="220"/>
      <c r="AR1093" s="220"/>
      <c r="AS1093" s="220"/>
      <c r="AT1093" s="220"/>
      <c r="AU1093" s="220"/>
      <c r="AV1093" s="220"/>
      <c r="AW1093" s="220"/>
      <c r="AX1093" s="220"/>
      <c r="AY1093" s="220"/>
      <c r="AZ1093" s="220"/>
      <c r="BA1093" s="220"/>
      <c r="BB1093" s="220"/>
      <c r="BC1093" s="220"/>
      <c r="BD1093" s="220"/>
      <c r="BE1093" s="220"/>
      <c r="BF1093" s="220"/>
      <c r="BG1093" s="220"/>
      <c r="BH1093" s="378"/>
      <c r="BI1093" s="175"/>
      <c r="BJ1093" s="175"/>
      <c r="BK1093" s="175"/>
      <c r="BL1093" s="175"/>
      <c r="BM1093" s="175"/>
      <c r="BN1093" s="175"/>
      <c r="BO1093" s="175"/>
      <c r="BP1093" s="220"/>
      <c r="BQ1093" s="220"/>
      <c r="BR1093" s="175"/>
      <c r="BS1093" s="157"/>
    </row>
    <row r="1094" spans="1:71" s="699" customFormat="1" ht="15">
      <c r="A1094" s="156" t="s">
        <v>721</v>
      </c>
      <c r="B1094" s="157" t="b">
        <f>OR(AND(OR(EXACT(HP.TradeCurrency.HardCoded,"GBp"),EXACT(HP.TradeCurrency.HardCoded,"GBX")),EXACT(HP.ReportCurrency,"GBP")),AND(OR(EXACT(HP.TradeCurrency.HardCoded,"ZAc"),EXACT(HP.TradeCurrency.HardCoded,"ZAC")),EXACT(HP.ReportCurrency,"ZAR")))</f>
        <v>0</v>
      </c>
      <c r="C1094" s="220"/>
      <c r="D1094" s="220"/>
      <c r="E1094" s="220"/>
      <c r="F1094" s="220"/>
      <c r="G1094" s="220"/>
      <c r="H1094" s="220"/>
      <c r="I1094" s="220"/>
      <c r="J1094" s="220"/>
      <c r="K1094" s="220"/>
      <c r="L1094" s="220"/>
      <c r="M1094" s="220"/>
      <c r="N1094" s="220"/>
      <c r="O1094" s="220"/>
      <c r="P1094" s="220"/>
      <c r="Q1094" s="220"/>
      <c r="R1094" s="220"/>
      <c r="S1094" s="220"/>
      <c r="T1094" s="220"/>
      <c r="U1094" s="220"/>
      <c r="V1094" s="220"/>
      <c r="W1094" s="220"/>
      <c r="X1094" s="220"/>
      <c r="Y1094" s="220"/>
      <c r="Z1094" s="220"/>
      <c r="AA1094" s="220"/>
      <c r="AB1094" s="220"/>
      <c r="AC1094" s="220"/>
      <c r="AD1094" s="220"/>
      <c r="AE1094" s="220"/>
      <c r="AF1094" s="220"/>
      <c r="AG1094" s="220"/>
      <c r="AH1094" s="220"/>
      <c r="AI1094" s="220"/>
      <c r="AJ1094" s="220"/>
      <c r="AK1094" s="220"/>
      <c r="AL1094" s="220"/>
      <c r="AM1094" s="220"/>
      <c r="AN1094" s="220"/>
      <c r="AO1094" s="220"/>
      <c r="AP1094" s="220"/>
      <c r="AQ1094" s="220"/>
      <c r="AR1094" s="220"/>
      <c r="AS1094" s="220"/>
      <c r="AT1094" s="220"/>
      <c r="AU1094" s="220"/>
      <c r="AV1094" s="220"/>
      <c r="AW1094" s="220"/>
      <c r="AX1094" s="220"/>
      <c r="AY1094" s="220"/>
      <c r="AZ1094" s="220"/>
      <c r="BA1094" s="220"/>
      <c r="BB1094" s="220"/>
      <c r="BC1094" s="220"/>
      <c r="BD1094" s="220"/>
      <c r="BE1094" s="220"/>
      <c r="BF1094" s="220"/>
      <c r="BG1094" s="220"/>
      <c r="BH1094" s="378"/>
      <c r="BI1094" s="175"/>
      <c r="BJ1094" s="175"/>
      <c r="BK1094" s="175"/>
      <c r="BL1094" s="175"/>
      <c r="BM1094" s="175"/>
      <c r="BN1094" s="175"/>
      <c r="BO1094" s="175"/>
      <c r="BP1094" s="220"/>
      <c r="BQ1094" s="220"/>
      <c r="BR1094" s="175"/>
      <c r="BS1094" s="157"/>
    </row>
    <row r="1095" spans="1:71" s="699" customFormat="1" ht="15">
      <c r="A1095" s="156" t="s">
        <v>270</v>
      </c>
      <c r="B1095" s="157" t="str">
        <f ca="1">IFERROR(CHOOSE(MO.DataSourceIndex,BDP(HP.Ticker&amp;" Equity","CRNCY"),CIQ(HP.Ticker,"IQ_TRADING_CURRENCY"),FDS(HP.Ticker,"P_CURRENCY(""ISO"")"),_xll.TR(HP.Ticker,"Currency")),HP.TradeCurrency.HardCoded)</f>
        <v>USD</v>
      </c>
      <c r="C1095" s="220"/>
      <c r="D1095" s="220"/>
      <c r="E1095" s="220"/>
      <c r="F1095" s="220"/>
      <c r="G1095" s="220"/>
      <c r="H1095" s="220"/>
      <c r="I1095" s="220"/>
      <c r="J1095" s="220"/>
      <c r="K1095" s="220"/>
      <c r="L1095" s="220"/>
      <c r="M1095" s="220"/>
      <c r="N1095" s="220"/>
      <c r="O1095" s="220"/>
      <c r="P1095" s="220"/>
      <c r="Q1095" s="220"/>
      <c r="R1095" s="220"/>
      <c r="S1095" s="220"/>
      <c r="T1095" s="220"/>
      <c r="U1095" s="220"/>
      <c r="V1095" s="220"/>
      <c r="W1095" s="220"/>
      <c r="X1095" s="220"/>
      <c r="Y1095" s="220"/>
      <c r="Z1095" s="220"/>
      <c r="AA1095" s="220"/>
      <c r="AB1095" s="220"/>
      <c r="AC1095" s="220"/>
      <c r="AD1095" s="220"/>
      <c r="AE1095" s="220"/>
      <c r="AF1095" s="220"/>
      <c r="AG1095" s="220"/>
      <c r="AH1095" s="220"/>
      <c r="AI1095" s="220"/>
      <c r="AJ1095" s="220"/>
      <c r="AK1095" s="220"/>
      <c r="AL1095" s="220"/>
      <c r="AM1095" s="220"/>
      <c r="AN1095" s="220"/>
      <c r="AO1095" s="220"/>
      <c r="AP1095" s="220"/>
      <c r="AQ1095" s="220"/>
      <c r="AR1095" s="220"/>
      <c r="AS1095" s="220"/>
      <c r="AT1095" s="220"/>
      <c r="AU1095" s="220"/>
      <c r="AV1095" s="220"/>
      <c r="AW1095" s="220"/>
      <c r="AX1095" s="220"/>
      <c r="AY1095" s="220"/>
      <c r="AZ1095" s="220"/>
      <c r="BA1095" s="220"/>
      <c r="BB1095" s="220"/>
      <c r="BC1095" s="220"/>
      <c r="BD1095" s="220"/>
      <c r="BE1095" s="220"/>
      <c r="BF1095" s="220"/>
      <c r="BG1095" s="220"/>
      <c r="BH1095" s="378"/>
      <c r="BI1095" s="175"/>
      <c r="BJ1095" s="175"/>
      <c r="BK1095" s="175"/>
      <c r="BL1095" s="175"/>
      <c r="BM1095" s="175"/>
      <c r="BN1095" s="175"/>
      <c r="BO1095" s="175"/>
      <c r="BP1095" s="220"/>
      <c r="BQ1095" s="220"/>
      <c r="BR1095" s="175"/>
      <c r="BS1095" s="157"/>
    </row>
    <row r="1096" spans="1:71" s="699" customFormat="1" ht="15">
      <c r="A1096" s="156" t="s">
        <v>271</v>
      </c>
      <c r="B1096" s="1308" t="s">
        <v>11</v>
      </c>
      <c r="C1096" s="220"/>
      <c r="D1096" s="220"/>
      <c r="E1096" s="220"/>
      <c r="F1096" s="220"/>
      <c r="G1096" s="220"/>
      <c r="H1096" s="220"/>
      <c r="I1096" s="220"/>
      <c r="J1096" s="220"/>
      <c r="K1096" s="220"/>
      <c r="L1096" s="220"/>
      <c r="M1096" s="220"/>
      <c r="N1096" s="220"/>
      <c r="O1096" s="220"/>
      <c r="P1096" s="220"/>
      <c r="Q1096" s="220"/>
      <c r="R1096" s="220"/>
      <c r="S1096" s="220"/>
      <c r="T1096" s="220"/>
      <c r="U1096" s="220"/>
      <c r="V1096" s="220"/>
      <c r="W1096" s="220"/>
      <c r="X1096" s="220"/>
      <c r="Y1096" s="220"/>
      <c r="Z1096" s="220"/>
      <c r="AA1096" s="220"/>
      <c r="AB1096" s="220"/>
      <c r="AC1096" s="220"/>
      <c r="AD1096" s="220"/>
      <c r="AE1096" s="220"/>
      <c r="AF1096" s="220"/>
      <c r="AG1096" s="220"/>
      <c r="AH1096" s="220"/>
      <c r="AI1096" s="220"/>
      <c r="AJ1096" s="220"/>
      <c r="AK1096" s="220"/>
      <c r="AL1096" s="220"/>
      <c r="AM1096" s="220"/>
      <c r="AN1096" s="220"/>
      <c r="AO1096" s="220"/>
      <c r="AP1096" s="220"/>
      <c r="AQ1096" s="220"/>
      <c r="AR1096" s="220"/>
      <c r="AS1096" s="220"/>
      <c r="AT1096" s="220"/>
      <c r="AU1096" s="220"/>
      <c r="AV1096" s="220"/>
      <c r="AW1096" s="220"/>
      <c r="AX1096" s="220"/>
      <c r="AY1096" s="220"/>
      <c r="AZ1096" s="220"/>
      <c r="BA1096" s="220"/>
      <c r="BB1096" s="220"/>
      <c r="BC1096" s="220"/>
      <c r="BD1096" s="220"/>
      <c r="BE1096" s="220"/>
      <c r="BF1096" s="220"/>
      <c r="BG1096" s="220"/>
      <c r="BH1096" s="378"/>
      <c r="BI1096" s="175"/>
      <c r="BJ1096" s="175"/>
      <c r="BK1096" s="175"/>
      <c r="BL1096" s="175"/>
      <c r="BM1096" s="175"/>
      <c r="BN1096" s="175"/>
      <c r="BO1096" s="175"/>
      <c r="BP1096" s="220"/>
      <c r="BQ1096" s="220"/>
      <c r="BR1096" s="175"/>
      <c r="BS1096" s="157"/>
    </row>
    <row r="1097" spans="1:71" s="699" customFormat="1" ht="15">
      <c r="A1097" s="156" t="s">
        <v>272</v>
      </c>
      <c r="B1097" s="1308" t="s">
        <v>11</v>
      </c>
      <c r="C1097" s="220"/>
      <c r="D1097" s="220"/>
      <c r="E1097" s="220"/>
      <c r="F1097" s="220"/>
      <c r="G1097" s="220"/>
      <c r="H1097" s="220"/>
      <c r="I1097" s="220"/>
      <c r="J1097" s="220"/>
      <c r="K1097" s="220"/>
      <c r="L1097" s="220"/>
      <c r="M1097" s="220"/>
      <c r="N1097" s="220"/>
      <c r="O1097" s="220"/>
      <c r="P1097" s="220"/>
      <c r="Q1097" s="220"/>
      <c r="R1097" s="220"/>
      <c r="S1097" s="220"/>
      <c r="T1097" s="220"/>
      <c r="U1097" s="220"/>
      <c r="V1097" s="220"/>
      <c r="W1097" s="220"/>
      <c r="X1097" s="220"/>
      <c r="Y1097" s="220"/>
      <c r="Z1097" s="220"/>
      <c r="AA1097" s="220"/>
      <c r="AB1097" s="220"/>
      <c r="AC1097" s="220"/>
      <c r="AD1097" s="220"/>
      <c r="AE1097" s="220"/>
      <c r="AF1097" s="220"/>
      <c r="AG1097" s="220"/>
      <c r="AH1097" s="220"/>
      <c r="AI1097" s="220"/>
      <c r="AJ1097" s="220"/>
      <c r="AK1097" s="220"/>
      <c r="AL1097" s="220"/>
      <c r="AM1097" s="220"/>
      <c r="AN1097" s="220"/>
      <c r="AO1097" s="220"/>
      <c r="AP1097" s="220"/>
      <c r="AQ1097" s="220"/>
      <c r="AR1097" s="220"/>
      <c r="AS1097" s="220"/>
      <c r="AT1097" s="220"/>
      <c r="AU1097" s="220"/>
      <c r="AV1097" s="220"/>
      <c r="AW1097" s="220"/>
      <c r="AX1097" s="220"/>
      <c r="AY1097" s="220"/>
      <c r="AZ1097" s="220"/>
      <c r="BA1097" s="220"/>
      <c r="BB1097" s="220"/>
      <c r="BC1097" s="220"/>
      <c r="BD1097" s="220"/>
      <c r="BE1097" s="220"/>
      <c r="BF1097" s="220"/>
      <c r="BG1097" s="220"/>
      <c r="BH1097" s="378"/>
      <c r="BI1097" s="175"/>
      <c r="BJ1097" s="175"/>
      <c r="BK1097" s="175"/>
      <c r="BL1097" s="175"/>
      <c r="BM1097" s="175"/>
      <c r="BN1097" s="175"/>
      <c r="BO1097" s="175"/>
      <c r="BP1097" s="220"/>
      <c r="BQ1097" s="220"/>
      <c r="BR1097" s="175"/>
      <c r="BS1097" s="157"/>
    </row>
    <row r="1098" spans="1:71" s="699" customFormat="1" ht="15">
      <c r="A1098" s="156" t="s">
        <v>273</v>
      </c>
      <c r="B1098" s="166">
        <f ca="1">IF(EXACT(MO.ReportFX,HP.TradeCurrency),1,IF(OR(INDEX(MO_SPT_FXAverage,1,MO.MRFPColumnNumber+1)="N/A",ISERROR(INDEX(MO_SPT_FXAverage,1,MO.MRFPColumnNumber+1))),MO.MRFX.Hardcoded,INDEX(MO_SPT_FXAverage,1,MO.MRFPColumnNumber+1)))</f>
        <v>1</v>
      </c>
      <c r="C1098" s="220"/>
      <c r="D1098" s="220"/>
      <c r="E1098" s="220"/>
      <c r="F1098" s="220"/>
      <c r="G1098" s="220"/>
      <c r="H1098" s="220"/>
      <c r="I1098" s="220"/>
      <c r="J1098" s="220"/>
      <c r="K1098" s="220"/>
      <c r="L1098" s="220"/>
      <c r="M1098" s="220"/>
      <c r="N1098" s="220"/>
      <c r="O1098" s="220"/>
      <c r="P1098" s="220"/>
      <c r="Q1098" s="220"/>
      <c r="R1098" s="220"/>
      <c r="S1098" s="220"/>
      <c r="T1098" s="220"/>
      <c r="U1098" s="220"/>
      <c r="V1098" s="220"/>
      <c r="W1098" s="220"/>
      <c r="X1098" s="220"/>
      <c r="Y1098" s="220"/>
      <c r="Z1098" s="220"/>
      <c r="AA1098" s="220"/>
      <c r="AB1098" s="220"/>
      <c r="AC1098" s="220"/>
      <c r="AD1098" s="220"/>
      <c r="AE1098" s="220"/>
      <c r="AF1098" s="220"/>
      <c r="AG1098" s="220"/>
      <c r="AH1098" s="220"/>
      <c r="AI1098" s="220"/>
      <c r="AJ1098" s="220"/>
      <c r="AK1098" s="220"/>
      <c r="AL1098" s="220"/>
      <c r="AM1098" s="220"/>
      <c r="AN1098" s="220"/>
      <c r="AO1098" s="220"/>
      <c r="AP1098" s="220"/>
      <c r="AQ1098" s="220"/>
      <c r="AR1098" s="220"/>
      <c r="AS1098" s="220"/>
      <c r="AT1098" s="220"/>
      <c r="AU1098" s="220"/>
      <c r="AV1098" s="220"/>
      <c r="AW1098" s="220"/>
      <c r="AX1098" s="220"/>
      <c r="AY1098" s="220"/>
      <c r="AZ1098" s="220"/>
      <c r="BA1098" s="220"/>
      <c r="BB1098" s="220"/>
      <c r="BC1098" s="220"/>
      <c r="BD1098" s="220"/>
      <c r="BE1098" s="220"/>
      <c r="BF1098" s="220"/>
      <c r="BG1098" s="220"/>
      <c r="BH1098" s="378"/>
      <c r="BI1098" s="175"/>
      <c r="BJ1098" s="175"/>
      <c r="BK1098" s="175"/>
      <c r="BL1098" s="175"/>
      <c r="BM1098" s="175"/>
      <c r="BN1098" s="175"/>
      <c r="BO1098" s="175"/>
      <c r="BP1098" s="220"/>
      <c r="BQ1098" s="220"/>
      <c r="BR1098" s="175"/>
      <c r="BS1098" s="157"/>
    </row>
    <row r="1099" spans="1:71" s="699" customFormat="1" ht="15">
      <c r="A1099" s="156" t="s">
        <v>274</v>
      </c>
      <c r="B1099" s="1309">
        <v>1</v>
      </c>
      <c r="C1099" s="220"/>
      <c r="D1099" s="220"/>
      <c r="E1099" s="220"/>
      <c r="F1099" s="220"/>
      <c r="G1099" s="220"/>
      <c r="H1099" s="220"/>
      <c r="I1099" s="220"/>
      <c r="J1099" s="220"/>
      <c r="K1099" s="220"/>
      <c r="L1099" s="220"/>
      <c r="M1099" s="220"/>
      <c r="N1099" s="220"/>
      <c r="O1099" s="220"/>
      <c r="P1099" s="220"/>
      <c r="Q1099" s="220"/>
      <c r="R1099" s="220"/>
      <c r="S1099" s="220"/>
      <c r="T1099" s="220"/>
      <c r="U1099" s="220"/>
      <c r="V1099" s="220"/>
      <c r="W1099" s="220"/>
      <c r="X1099" s="220"/>
      <c r="Y1099" s="220"/>
      <c r="Z1099" s="220"/>
      <c r="AA1099" s="220"/>
      <c r="AB1099" s="220"/>
      <c r="AC1099" s="220"/>
      <c r="AD1099" s="220"/>
      <c r="AE1099" s="220"/>
      <c r="AF1099" s="220"/>
      <c r="AG1099" s="220"/>
      <c r="AH1099" s="220"/>
      <c r="AI1099" s="220"/>
      <c r="AJ1099" s="220"/>
      <c r="AK1099" s="220"/>
      <c r="AL1099" s="220"/>
      <c r="AM1099" s="220"/>
      <c r="AN1099" s="220"/>
      <c r="AO1099" s="220"/>
      <c r="AP1099" s="220"/>
      <c r="AQ1099" s="220"/>
      <c r="AR1099" s="220"/>
      <c r="AS1099" s="220"/>
      <c r="AT1099" s="220"/>
      <c r="AU1099" s="220"/>
      <c r="AV1099" s="220"/>
      <c r="AW1099" s="220"/>
      <c r="AX1099" s="220"/>
      <c r="AY1099" s="220"/>
      <c r="AZ1099" s="220"/>
      <c r="BA1099" s="220"/>
      <c r="BB1099" s="220"/>
      <c r="BC1099" s="220"/>
      <c r="BD1099" s="220"/>
      <c r="BE1099" s="220"/>
      <c r="BF1099" s="220"/>
      <c r="BG1099" s="220"/>
      <c r="BH1099" s="378"/>
      <c r="BI1099" s="175"/>
      <c r="BJ1099" s="175"/>
      <c r="BK1099" s="175"/>
      <c r="BL1099" s="175"/>
      <c r="BM1099" s="175"/>
      <c r="BN1099" s="175"/>
      <c r="BO1099" s="175"/>
      <c r="BP1099" s="220"/>
      <c r="BQ1099" s="220"/>
      <c r="BR1099" s="175"/>
      <c r="BS1099" s="157"/>
    </row>
    <row r="1100" spans="1:71" s="700" customFormat="1" ht="15">
      <c r="A1100" s="159" t="s">
        <v>275</v>
      </c>
      <c r="B1100" s="160">
        <f>MATCH(MO.MRFP,MO_Common_ColumnHeader,0)</f>
        <v>60</v>
      </c>
      <c r="C1100" s="945"/>
      <c r="D1100" s="945"/>
      <c r="E1100" s="945"/>
      <c r="F1100" s="945"/>
      <c r="G1100" s="945"/>
      <c r="H1100" s="945"/>
      <c r="I1100" s="945"/>
      <c r="J1100" s="945"/>
      <c r="K1100" s="945"/>
      <c r="L1100" s="945"/>
      <c r="M1100" s="945"/>
      <c r="N1100" s="945"/>
      <c r="O1100" s="945"/>
      <c r="P1100" s="945"/>
      <c r="Q1100" s="945"/>
      <c r="R1100" s="945"/>
      <c r="S1100" s="945"/>
      <c r="T1100" s="945"/>
      <c r="U1100" s="945"/>
      <c r="V1100" s="945"/>
      <c r="W1100" s="945"/>
      <c r="X1100" s="945"/>
      <c r="Y1100" s="945"/>
      <c r="Z1100" s="945"/>
      <c r="AA1100" s="945"/>
      <c r="AB1100" s="945"/>
      <c r="AC1100" s="945"/>
      <c r="AD1100" s="945"/>
      <c r="AE1100" s="945"/>
      <c r="AF1100" s="945"/>
      <c r="AG1100" s="945"/>
      <c r="AH1100" s="945"/>
      <c r="AI1100" s="945"/>
      <c r="AJ1100" s="945"/>
      <c r="AK1100" s="945"/>
      <c r="AL1100" s="945"/>
      <c r="AM1100" s="945"/>
      <c r="AN1100" s="945"/>
      <c r="AO1100" s="945"/>
      <c r="AP1100" s="945"/>
      <c r="AQ1100" s="945"/>
      <c r="AR1100" s="945"/>
      <c r="AS1100" s="945"/>
      <c r="AT1100" s="945"/>
      <c r="AU1100" s="945"/>
      <c r="AV1100" s="945"/>
      <c r="AW1100" s="945"/>
      <c r="AX1100" s="945"/>
      <c r="AY1100" s="945"/>
      <c r="AZ1100" s="945"/>
      <c r="BA1100" s="945"/>
      <c r="BB1100" s="945"/>
      <c r="BC1100" s="945"/>
      <c r="BD1100" s="945"/>
      <c r="BE1100" s="945"/>
      <c r="BF1100" s="945"/>
      <c r="BG1100" s="945"/>
      <c r="BH1100" s="446"/>
      <c r="BI1100" s="911"/>
      <c r="BJ1100" s="911"/>
      <c r="BK1100" s="911"/>
      <c r="BL1100" s="911"/>
      <c r="BM1100" s="911"/>
      <c r="BN1100" s="911"/>
      <c r="BO1100" s="911"/>
      <c r="BP1100" s="945"/>
      <c r="BQ1100" s="945"/>
      <c r="BR1100" s="911"/>
      <c r="BS1100" s="160"/>
    </row>
    <row r="1101" spans="1:71" s="700" customFormat="1" ht="15">
      <c r="A1101" s="159" t="s">
        <v>276</v>
      </c>
      <c r="B1101" s="1310" t="s">
        <v>867</v>
      </c>
      <c r="C1101" s="945"/>
      <c r="D1101" s="945"/>
      <c r="E1101" s="945"/>
      <c r="F1101" s="945"/>
      <c r="G1101" s="945"/>
      <c r="H1101" s="945"/>
      <c r="I1101" s="945"/>
      <c r="J1101" s="945"/>
      <c r="K1101" s="945"/>
      <c r="L1101" s="945"/>
      <c r="M1101" s="945"/>
      <c r="N1101" s="945"/>
      <c r="O1101" s="945"/>
      <c r="P1101" s="945"/>
      <c r="Q1101" s="945"/>
      <c r="R1101" s="945"/>
      <c r="S1101" s="945"/>
      <c r="T1101" s="945"/>
      <c r="U1101" s="945"/>
      <c r="V1101" s="945"/>
      <c r="W1101" s="945"/>
      <c r="X1101" s="945"/>
      <c r="Y1101" s="945"/>
      <c r="Z1101" s="945"/>
      <c r="AA1101" s="945"/>
      <c r="AB1101" s="945"/>
      <c r="AC1101" s="945"/>
      <c r="AD1101" s="945"/>
      <c r="AE1101" s="945"/>
      <c r="AF1101" s="945"/>
      <c r="AG1101" s="945"/>
      <c r="AH1101" s="945"/>
      <c r="AI1101" s="945"/>
      <c r="AJ1101" s="945"/>
      <c r="AK1101" s="945"/>
      <c r="AL1101" s="945"/>
      <c r="AM1101" s="945"/>
      <c r="AN1101" s="945"/>
      <c r="AO1101" s="945"/>
      <c r="AP1101" s="945"/>
      <c r="AQ1101" s="945"/>
      <c r="AR1101" s="945"/>
      <c r="AS1101" s="945"/>
      <c r="AT1101" s="945"/>
      <c r="AU1101" s="945"/>
      <c r="AV1101" s="945"/>
      <c r="AW1101" s="945"/>
      <c r="AX1101" s="945"/>
      <c r="AY1101" s="945"/>
      <c r="AZ1101" s="945"/>
      <c r="BA1101" s="945"/>
      <c r="BB1101" s="945"/>
      <c r="BC1101" s="945"/>
      <c r="BD1101" s="945"/>
      <c r="BE1101" s="945"/>
      <c r="BF1101" s="945"/>
      <c r="BG1101" s="945"/>
      <c r="BH1101" s="446"/>
      <c r="BI1101" s="911"/>
      <c r="BJ1101" s="911"/>
      <c r="BK1101" s="911"/>
      <c r="BL1101" s="911"/>
      <c r="BM1101" s="911"/>
      <c r="BN1101" s="911"/>
      <c r="BO1101" s="911"/>
      <c r="BP1101" s="945"/>
      <c r="BQ1101" s="945"/>
      <c r="BR1101" s="911"/>
      <c r="BS1101" s="160"/>
    </row>
    <row r="1102" spans="1:71" s="700" customFormat="1" ht="15">
      <c r="A1102" s="159" t="s">
        <v>277</v>
      </c>
      <c r="B1102" s="160" t="str">
        <f>"FY"&amp;RIGHT(MO.MRFP,4)</f>
        <v>FY2024</v>
      </c>
      <c r="C1102" s="945"/>
      <c r="D1102" s="945"/>
      <c r="E1102" s="945"/>
      <c r="F1102" s="945"/>
      <c r="G1102" s="945"/>
      <c r="H1102" s="945"/>
      <c r="I1102" s="945"/>
      <c r="J1102" s="945"/>
      <c r="K1102" s="945"/>
      <c r="L1102" s="945"/>
      <c r="M1102" s="945"/>
      <c r="N1102" s="945"/>
      <c r="O1102" s="945"/>
      <c r="P1102" s="945"/>
      <c r="Q1102" s="945"/>
      <c r="R1102" s="945"/>
      <c r="S1102" s="945"/>
      <c r="T1102" s="945"/>
      <c r="U1102" s="945"/>
      <c r="V1102" s="945"/>
      <c r="W1102" s="945"/>
      <c r="X1102" s="945"/>
      <c r="Y1102" s="945"/>
      <c r="Z1102" s="945"/>
      <c r="AA1102" s="945"/>
      <c r="AB1102" s="945"/>
      <c r="AC1102" s="945"/>
      <c r="AD1102" s="945"/>
      <c r="AE1102" s="945"/>
      <c r="AF1102" s="945"/>
      <c r="AG1102" s="945"/>
      <c r="AH1102" s="945"/>
      <c r="AI1102" s="945"/>
      <c r="AJ1102" s="945"/>
      <c r="AK1102" s="945"/>
      <c r="AL1102" s="945"/>
      <c r="AM1102" s="945"/>
      <c r="AN1102" s="945"/>
      <c r="AO1102" s="945"/>
      <c r="AP1102" s="945"/>
      <c r="AQ1102" s="945"/>
      <c r="AR1102" s="945"/>
      <c r="AS1102" s="945"/>
      <c r="AT1102" s="945"/>
      <c r="AU1102" s="945"/>
      <c r="AV1102" s="945"/>
      <c r="AW1102" s="945"/>
      <c r="AX1102" s="945"/>
      <c r="AY1102" s="945"/>
      <c r="AZ1102" s="945"/>
      <c r="BA1102" s="945"/>
      <c r="BB1102" s="945"/>
      <c r="BC1102" s="945"/>
      <c r="BD1102" s="945"/>
      <c r="BE1102" s="945"/>
      <c r="BF1102" s="945"/>
      <c r="BG1102" s="945"/>
      <c r="BH1102" s="446"/>
      <c r="BI1102" s="911"/>
      <c r="BJ1102" s="911"/>
      <c r="BK1102" s="911"/>
      <c r="BL1102" s="911"/>
      <c r="BM1102" s="911"/>
      <c r="BN1102" s="911"/>
      <c r="BO1102" s="911"/>
      <c r="BP1102" s="945"/>
      <c r="BQ1102" s="945"/>
      <c r="BR1102" s="911"/>
      <c r="BS1102" s="160"/>
    </row>
    <row r="1103" spans="1:71" s="700" customFormat="1" ht="15">
      <c r="A1103" s="159" t="s">
        <v>319</v>
      </c>
      <c r="B1103" s="160" t="str">
        <f>"FY"&amp;RIGHT(MO.MRFP,4)+IF(LEFT(MO.MRFP,2)="FY",1,0)</f>
        <v>FY2024</v>
      </c>
      <c r="C1103" s="945"/>
      <c r="D1103" s="945"/>
      <c r="E1103" s="945"/>
      <c r="F1103" s="945"/>
      <c r="G1103" s="945"/>
      <c r="H1103" s="945"/>
      <c r="I1103" s="945"/>
      <c r="J1103" s="945"/>
      <c r="K1103" s="945"/>
      <c r="L1103" s="945"/>
      <c r="M1103" s="945"/>
      <c r="N1103" s="945"/>
      <c r="O1103" s="945"/>
      <c r="P1103" s="945"/>
      <c r="Q1103" s="945"/>
      <c r="R1103" s="945"/>
      <c r="S1103" s="945"/>
      <c r="T1103" s="945"/>
      <c r="U1103" s="945"/>
      <c r="V1103" s="945"/>
      <c r="W1103" s="945"/>
      <c r="X1103" s="945"/>
      <c r="Y1103" s="945"/>
      <c r="Z1103" s="945"/>
      <c r="AA1103" s="945"/>
      <c r="AB1103" s="945"/>
      <c r="AC1103" s="945"/>
      <c r="AD1103" s="945"/>
      <c r="AE1103" s="945"/>
      <c r="AF1103" s="945"/>
      <c r="AG1103" s="945"/>
      <c r="AH1103" s="945"/>
      <c r="AI1103" s="945"/>
      <c r="AJ1103" s="945"/>
      <c r="AK1103" s="945"/>
      <c r="AL1103" s="945"/>
      <c r="AM1103" s="945"/>
      <c r="AN1103" s="945"/>
      <c r="AO1103" s="945"/>
      <c r="AP1103" s="945"/>
      <c r="AQ1103" s="945"/>
      <c r="AR1103" s="945"/>
      <c r="AS1103" s="945"/>
      <c r="AT1103" s="945"/>
      <c r="AU1103" s="945"/>
      <c r="AV1103" s="945"/>
      <c r="AW1103" s="945"/>
      <c r="AX1103" s="945"/>
      <c r="AY1103" s="945"/>
      <c r="AZ1103" s="945"/>
      <c r="BA1103" s="945"/>
      <c r="BB1103" s="945"/>
      <c r="BC1103" s="945"/>
      <c r="BD1103" s="945"/>
      <c r="BE1103" s="945"/>
      <c r="BF1103" s="945"/>
      <c r="BG1103" s="945"/>
      <c r="BH1103" s="446"/>
      <c r="BI1103" s="911"/>
      <c r="BJ1103" s="911"/>
      <c r="BK1103" s="911"/>
      <c r="BL1103" s="911"/>
      <c r="BM1103" s="911"/>
      <c r="BN1103" s="911"/>
      <c r="BO1103" s="911"/>
      <c r="BP1103" s="945"/>
      <c r="BQ1103" s="945"/>
      <c r="BR1103" s="911"/>
      <c r="BS1103" s="160"/>
    </row>
    <row r="1104" spans="1:71" s="700" customFormat="1" ht="15">
      <c r="A1104" s="159" t="s">
        <v>720</v>
      </c>
      <c r="B1104" s="160">
        <f>COUNTA(tb_KPIs)-1</f>
        <v>40</v>
      </c>
      <c r="C1104" s="945"/>
      <c r="D1104" s="945"/>
      <c r="E1104" s="945"/>
      <c r="F1104" s="945"/>
      <c r="G1104" s="945"/>
      <c r="H1104" s="945"/>
      <c r="I1104" s="945"/>
      <c r="J1104" s="945"/>
      <c r="K1104" s="945"/>
      <c r="L1104" s="945"/>
      <c r="M1104" s="945"/>
      <c r="N1104" s="945"/>
      <c r="O1104" s="945"/>
      <c r="P1104" s="945"/>
      <c r="Q1104" s="945"/>
      <c r="R1104" s="945"/>
      <c r="S1104" s="945"/>
      <c r="T1104" s="945"/>
      <c r="U1104" s="945"/>
      <c r="V1104" s="945"/>
      <c r="W1104" s="945"/>
      <c r="X1104" s="945"/>
      <c r="Y1104" s="945"/>
      <c r="Z1104" s="945"/>
      <c r="AA1104" s="945"/>
      <c r="AB1104" s="945"/>
      <c r="AC1104" s="945"/>
      <c r="AD1104" s="945"/>
      <c r="AE1104" s="945"/>
      <c r="AF1104" s="945"/>
      <c r="AG1104" s="945"/>
      <c r="AH1104" s="945"/>
      <c r="AI1104" s="945"/>
      <c r="AJ1104" s="945"/>
      <c r="AK1104" s="945"/>
      <c r="AL1104" s="945"/>
      <c r="AM1104" s="945"/>
      <c r="AN1104" s="945"/>
      <c r="AO1104" s="945"/>
      <c r="AP1104" s="945"/>
      <c r="AQ1104" s="945"/>
      <c r="AR1104" s="945"/>
      <c r="AS1104" s="945"/>
      <c r="AT1104" s="945"/>
      <c r="AU1104" s="945"/>
      <c r="AV1104" s="945"/>
      <c r="AW1104" s="945"/>
      <c r="AX1104" s="945"/>
      <c r="AY1104" s="945"/>
      <c r="AZ1104" s="945"/>
      <c r="BA1104" s="945"/>
      <c r="BB1104" s="945"/>
      <c r="BC1104" s="945"/>
      <c r="BD1104" s="945"/>
      <c r="BE1104" s="945"/>
      <c r="BF1104" s="945"/>
      <c r="BG1104" s="945"/>
      <c r="BH1104" s="446"/>
      <c r="BI1104" s="911"/>
      <c r="BJ1104" s="911"/>
      <c r="BK1104" s="911"/>
      <c r="BL1104" s="911"/>
      <c r="BM1104" s="911"/>
      <c r="BN1104" s="911"/>
      <c r="BO1104" s="911"/>
      <c r="BP1104" s="945"/>
      <c r="BQ1104" s="945"/>
      <c r="BR1104" s="911"/>
      <c r="BS1104" s="160"/>
    </row>
    <row r="1105" spans="1:71" s="700" customFormat="1" ht="15">
      <c r="A1105" s="161" t="s">
        <v>278</v>
      </c>
      <c r="B1105" s="162">
        <f>IF(MO.DataSourceName="Bloomberg",1,IF(MO.DataSourceName="Capital IQ",2,IF(MO.DataSourceName="FactSet",3,IF(MO.DataSourceName="Refinitiv",4,1))))</f>
        <v>1</v>
      </c>
      <c r="C1105" s="945"/>
      <c r="D1105" s="945"/>
      <c r="E1105" s="945"/>
      <c r="F1105" s="945"/>
      <c r="G1105" s="945"/>
      <c r="H1105" s="945"/>
      <c r="I1105" s="945"/>
      <c r="J1105" s="945"/>
      <c r="K1105" s="945"/>
      <c r="L1105" s="945"/>
      <c r="M1105" s="945"/>
      <c r="N1105" s="945"/>
      <c r="O1105" s="945"/>
      <c r="P1105" s="945"/>
      <c r="Q1105" s="945"/>
      <c r="R1105" s="945"/>
      <c r="S1105" s="945"/>
      <c r="T1105" s="945"/>
      <c r="U1105" s="945"/>
      <c r="V1105" s="945"/>
      <c r="W1105" s="945"/>
      <c r="X1105" s="945"/>
      <c r="Y1105" s="945"/>
      <c r="Z1105" s="945"/>
      <c r="AA1105" s="945"/>
      <c r="AB1105" s="945"/>
      <c r="AC1105" s="945"/>
      <c r="AD1105" s="945"/>
      <c r="AE1105" s="945"/>
      <c r="AF1105" s="945"/>
      <c r="AG1105" s="945"/>
      <c r="AH1105" s="945"/>
      <c r="AI1105" s="945"/>
      <c r="AJ1105" s="945"/>
      <c r="AK1105" s="945"/>
      <c r="AL1105" s="945"/>
      <c r="AM1105" s="945"/>
      <c r="AN1105" s="945"/>
      <c r="AO1105" s="945"/>
      <c r="AP1105" s="945"/>
      <c r="AQ1105" s="945"/>
      <c r="AR1105" s="945"/>
      <c r="AS1105" s="945"/>
      <c r="AT1105" s="945"/>
      <c r="AU1105" s="945"/>
      <c r="AV1105" s="945"/>
      <c r="AW1105" s="945"/>
      <c r="AX1105" s="945"/>
      <c r="AY1105" s="945"/>
      <c r="AZ1105" s="945"/>
      <c r="BA1105" s="945"/>
      <c r="BB1105" s="945"/>
      <c r="BC1105" s="945"/>
      <c r="BD1105" s="945"/>
      <c r="BE1105" s="945"/>
      <c r="BF1105" s="945"/>
      <c r="BG1105" s="945"/>
      <c r="BH1105" s="446"/>
      <c r="BI1105" s="911"/>
      <c r="BJ1105" s="911"/>
      <c r="BK1105" s="911"/>
      <c r="BL1105" s="911"/>
      <c r="BM1105" s="911"/>
      <c r="BN1105" s="911"/>
      <c r="BO1105" s="911"/>
      <c r="BP1105" s="945"/>
      <c r="BQ1105" s="945"/>
      <c r="BR1105" s="911"/>
      <c r="BS1105" s="160"/>
    </row>
    <row r="1106" spans="1:71" ht="15">
      <c r="A1106" s="457"/>
      <c r="B1106" s="457"/>
      <c r="C1106" s="384"/>
      <c r="D1106" s="384"/>
      <c r="E1106" s="384"/>
      <c r="F1106" s="384"/>
      <c r="G1106" s="384"/>
      <c r="H1106" s="384"/>
      <c r="I1106" s="384"/>
      <c r="J1106" s="384"/>
      <c r="K1106" s="384"/>
      <c r="L1106" s="384"/>
      <c r="M1106" s="384"/>
      <c r="N1106" s="384"/>
      <c r="O1106" s="384"/>
      <c r="P1106" s="384"/>
      <c r="Q1106" s="384"/>
      <c r="R1106" s="384"/>
      <c r="S1106" s="384"/>
      <c r="T1106" s="384"/>
      <c r="U1106" s="384"/>
      <c r="V1106" s="384"/>
      <c r="W1106" s="384"/>
      <c r="X1106" s="384"/>
      <c r="Y1106" s="384"/>
      <c r="Z1106" s="384"/>
      <c r="AA1106" s="384"/>
      <c r="AB1106" s="384"/>
      <c r="AC1106" s="384"/>
      <c r="AD1106" s="384"/>
      <c r="AE1106" s="384"/>
      <c r="AF1106" s="384"/>
      <c r="AG1106" s="384"/>
      <c r="AH1106" s="384"/>
      <c r="AI1106" s="384"/>
      <c r="AJ1106" s="384"/>
      <c r="AK1106" s="384"/>
      <c r="AL1106" s="384"/>
      <c r="AM1106" s="384"/>
      <c r="AN1106" s="384"/>
      <c r="AO1106" s="384"/>
      <c r="AP1106" s="384"/>
      <c r="AQ1106" s="384"/>
      <c r="AR1106" s="384"/>
      <c r="AS1106" s="384"/>
      <c r="AT1106" s="384"/>
      <c r="AU1106" s="384"/>
      <c r="AV1106" s="384"/>
      <c r="AW1106" s="384"/>
      <c r="AX1106" s="384"/>
      <c r="AY1106" s="384"/>
      <c r="AZ1106" s="384"/>
      <c r="BA1106" s="384"/>
      <c r="BB1106" s="384"/>
      <c r="BC1106" s="384"/>
      <c r="BD1106" s="384"/>
      <c r="BE1106" s="384"/>
      <c r="BF1106" s="384"/>
      <c r="BG1106" s="384"/>
      <c r="BH1106" s="459"/>
      <c r="BI1106" s="386"/>
      <c r="BJ1106" s="386"/>
      <c r="BK1106" s="386"/>
      <c r="BL1106" s="386"/>
      <c r="BM1106" s="386"/>
      <c r="BN1106" s="386"/>
      <c r="BO1106" s="386"/>
      <c r="BP1106" s="384"/>
      <c r="BQ1106" s="384"/>
      <c r="BR1106" s="386"/>
      <c r="BS1106" s="155"/>
    </row>
    <row r="1107" spans="1:71" ht="15">
      <c r="A1107" s="331" t="s">
        <v>791</v>
      </c>
      <c r="B1107" s="163"/>
      <c r="C1107" s="222"/>
      <c r="D1107" s="222"/>
      <c r="E1107" s="222"/>
      <c r="F1107" s="222"/>
      <c r="G1107" s="222"/>
      <c r="H1107" s="222"/>
      <c r="I1107" s="222"/>
      <c r="J1107" s="222"/>
      <c r="K1107" s="222"/>
      <c r="L1107" s="222"/>
      <c r="M1107" s="222"/>
      <c r="N1107" s="222"/>
      <c r="O1107" s="222"/>
      <c r="P1107" s="222"/>
      <c r="Q1107" s="222"/>
      <c r="R1107" s="222"/>
      <c r="S1107" s="222"/>
      <c r="T1107" s="222"/>
      <c r="U1107" s="222"/>
      <c r="V1107" s="222"/>
      <c r="W1107" s="222"/>
      <c r="X1107" s="222"/>
      <c r="Y1107" s="222"/>
      <c r="Z1107" s="222"/>
      <c r="AA1107" s="222"/>
      <c r="AB1107" s="222"/>
      <c r="AC1107" s="222"/>
      <c r="AD1107" s="222"/>
      <c r="AE1107" s="222"/>
      <c r="AF1107" s="222"/>
      <c r="AG1107" s="222"/>
      <c r="AH1107" s="222"/>
      <c r="AI1107" s="222"/>
      <c r="AJ1107" s="222"/>
      <c r="AK1107" s="222"/>
      <c r="AL1107" s="222"/>
      <c r="AM1107" s="222"/>
      <c r="AN1107" s="222"/>
      <c r="AO1107" s="222"/>
      <c r="AP1107" s="222"/>
      <c r="AQ1107" s="222"/>
      <c r="AR1107" s="222"/>
      <c r="AS1107" s="222"/>
      <c r="AT1107" s="222"/>
      <c r="AU1107" s="222"/>
      <c r="AV1107" s="222"/>
      <c r="AW1107" s="222"/>
      <c r="AX1107" s="222"/>
      <c r="AY1107" s="222"/>
      <c r="AZ1107" s="222"/>
      <c r="BA1107" s="222"/>
      <c r="BB1107" s="222"/>
      <c r="BC1107" s="222"/>
      <c r="BD1107" s="222"/>
      <c r="BE1107" s="222"/>
      <c r="BF1107" s="222"/>
      <c r="BG1107" s="222"/>
      <c r="BH1107" s="222"/>
      <c r="BI1107" s="163"/>
      <c r="BJ1107" s="163"/>
      <c r="BK1107" s="163"/>
      <c r="BL1107" s="163"/>
      <c r="BM1107" s="163"/>
      <c r="BN1107" s="163"/>
      <c r="BO1107" s="163"/>
      <c r="BP1107" s="222"/>
      <c r="BQ1107" s="222"/>
      <c r="BR1107" s="163"/>
      <c r="BS1107" s="155"/>
    </row>
    <row r="1108" spans="1:71" ht="15">
      <c r="A1108" s="155"/>
      <c r="B1108" s="155"/>
      <c r="C1108" s="221"/>
      <c r="D1108" s="221"/>
      <c r="E1108" s="221"/>
      <c r="F1108" s="221"/>
      <c r="G1108" s="221"/>
      <c r="H1108" s="221"/>
      <c r="I1108" s="221"/>
      <c r="J1108" s="221"/>
      <c r="K1108" s="221"/>
      <c r="L1108" s="221"/>
      <c r="M1108" s="221"/>
      <c r="N1108" s="221"/>
      <c r="O1108" s="221"/>
      <c r="P1108" s="221"/>
      <c r="Q1108" s="221"/>
      <c r="R1108" s="221"/>
      <c r="S1108" s="186"/>
      <c r="T1108" s="221"/>
      <c r="U1108" s="221"/>
      <c r="V1108" s="221"/>
      <c r="W1108" s="221"/>
      <c r="X1108" s="221"/>
      <c r="Y1108" s="221"/>
      <c r="Z1108" s="221"/>
      <c r="AA1108" s="221"/>
      <c r="AB1108" s="221"/>
      <c r="AC1108" s="221"/>
      <c r="AD1108" s="221"/>
      <c r="AE1108" s="221"/>
      <c r="AF1108" s="221"/>
      <c r="AG1108" s="221"/>
      <c r="AH1108" s="221"/>
      <c r="AI1108" s="221"/>
      <c r="AJ1108" s="221"/>
      <c r="AK1108" s="221"/>
      <c r="AL1108" s="221"/>
      <c r="AM1108" s="221"/>
      <c r="AN1108" s="221"/>
      <c r="AO1108" s="221"/>
      <c r="AP1108" s="221"/>
      <c r="AQ1108" s="221"/>
      <c r="AR1108" s="221"/>
      <c r="AS1108" s="221"/>
      <c r="AT1108" s="221"/>
      <c r="AU1108" s="221"/>
      <c r="AV1108" s="221"/>
      <c r="AW1108" s="221"/>
      <c r="AX1108" s="221"/>
      <c r="AY1108" s="221"/>
      <c r="AZ1108" s="221"/>
      <c r="BA1108" s="221"/>
      <c r="BB1108" s="221"/>
      <c r="BC1108" s="221"/>
      <c r="BD1108" s="221"/>
      <c r="BE1108" s="221"/>
      <c r="BF1108" s="221"/>
      <c r="BG1108" s="221"/>
      <c r="BH1108" s="221"/>
      <c r="BI1108" s="155"/>
      <c r="BJ1108" s="155"/>
      <c r="BK1108" s="155"/>
      <c r="BL1108" s="155"/>
      <c r="BM1108" s="155"/>
      <c r="BN1108" s="155"/>
      <c r="BO1108" s="155"/>
      <c r="BP1108" s="221"/>
      <c r="BQ1108" s="221"/>
      <c r="BR1108" s="155"/>
      <c r="BS1108" s="155"/>
    </row>
  </sheetData>
  <conditionalFormatting sqref="C600:BR600">
    <cfRule type="cellIs" priority="1162" dxfId="9" operator="equal">
      <formula>0</formula>
    </cfRule>
  </conditionalFormatting>
  <conditionalFormatting sqref="C600:BR600">
    <cfRule type="cellIs" priority="1161" dxfId="8" operator="notEqual">
      <formula>0</formula>
    </cfRule>
  </conditionalFormatting>
  <conditionalFormatting sqref="C866:BR866">
    <cfRule type="cellIs" priority="1160" dxfId="9" operator="equal">
      <formula>0</formula>
    </cfRule>
  </conditionalFormatting>
  <conditionalFormatting sqref="C866:BR866">
    <cfRule type="cellIs" priority="1159" dxfId="8" operator="notEqual">
      <formula>0</formula>
    </cfRule>
  </conditionalFormatting>
  <conditionalFormatting sqref="C933:BR933">
    <cfRule type="cellIs" priority="1158" dxfId="9" operator="equal">
      <formula>0</formula>
    </cfRule>
  </conditionalFormatting>
  <conditionalFormatting sqref="C933:BR933">
    <cfRule type="cellIs" priority="1157" dxfId="8" operator="notEqual">
      <formula>0</formula>
    </cfRule>
  </conditionalFormatting>
  <conditionalFormatting sqref="C936:BR956 C957:AO957 AQ957:BR957 C958:BR961">
    <cfRule type="cellIs" priority="1156" dxfId="9" operator="equal">
      <formula>0</formula>
    </cfRule>
  </conditionalFormatting>
  <conditionalFormatting sqref="C936:BR956 C957:AO957 AQ957:BR957 C958:BR961">
    <cfRule type="cellIs" priority="1155" dxfId="8" operator="notEqual">
      <formula>0</formula>
    </cfRule>
  </conditionalFormatting>
  <dataValidations count="1">
    <dataValidation type="list" allowBlank="1" showInputMessage="1" showErrorMessage="1" sqref="B720">
      <formula1>OFFSET(tb_ValuationToggle,1,0,4,1)</formula1>
    </dataValidation>
  </dataValidations>
  <hyperlinks>
    <hyperlink ref="A1" r:id="rId1" display="The Progressive Corporation"/>
  </hyperlinks>
  <pageMargins left="0" right="0" top="0.393700787401575" bottom="0" header="0.196850393700787" footer="0"/>
  <pageSetup fitToHeight="0" orientation="landscape" paperSize="1" scale="16" r:id="rId4"/>
  <headerFooter>
    <oddHeader>&amp;CThe Progressive Corporation&amp;RPage &amp;P</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65AAAA2-470F-4102-8A4E-B6C3C828C74F}">
  <dimension ref="A1:BS91"/>
  <sheetViews>
    <sheetView zoomScale="85" zoomScaleNormal="85" workbookViewId="0" topLeftCell="A1">
      <pane xSplit="2" ySplit="5" topLeftCell="C6" activePane="bottomRight" state="frozen"/>
      <selection pane="topLeft" activeCell="A1" sqref="A1"/>
      <selection pane="bottomLeft" activeCell="A6" sqref="A6"/>
      <selection pane="topRight" activeCell="C1" sqref="C1"/>
      <selection pane="bottomRight" activeCell="A1" sqref="A1"/>
    </sheetView>
  </sheetViews>
  <sheetFormatPr defaultColWidth="8.85428571428571" defaultRowHeight="14.45" customHeight="1" outlineLevelRow="1" outlineLevelCol="1"/>
  <cols>
    <col min="1" max="1" width="46.7142857142857" style="701" customWidth="1"/>
    <col min="2" max="2" width="9.71428571428571" style="701" customWidth="1"/>
    <col min="3" max="7" width="9.71428571428571" style="701" hidden="1" customWidth="1" outlineLevel="1"/>
    <col min="8" max="11" width="9.71428571428571" style="663" hidden="1" customWidth="1" outlineLevel="1"/>
    <col min="12" max="12" width="9.71428571428571" style="701" hidden="1" customWidth="1" outlineLevel="1"/>
    <col min="13" max="16" width="9.71428571428571" style="663" hidden="1" customWidth="1" outlineLevel="1"/>
    <col min="17" max="17" width="9.71428571428571" style="701" hidden="1" customWidth="1" outlineLevel="1"/>
    <col min="18" max="21" width="9.71428571428571" style="663" hidden="1" customWidth="1" outlineLevel="1"/>
    <col min="22" max="22" width="9.71428571428571" style="701" hidden="1" customWidth="1" outlineLevel="1"/>
    <col min="23" max="26" width="9.71428571428571" style="663" hidden="1" customWidth="1" outlineLevel="1"/>
    <col min="27" max="27" width="9.71428571428571" style="701" hidden="1" customWidth="1" outlineLevel="1"/>
    <col min="28" max="31" width="9.71428571428571" style="663" hidden="1" customWidth="1" outlineLevel="1"/>
    <col min="32" max="32" width="9.71428571428571" style="701" hidden="1" customWidth="1" outlineLevel="1"/>
    <col min="33" max="36" width="9.71428571428571" style="663" hidden="1" customWidth="1" outlineLevel="1"/>
    <col min="37" max="37" width="9.71428571428571" style="701" hidden="1" customWidth="1" outlineLevel="1"/>
    <col min="38" max="41" width="9.71428571428571" style="663" hidden="1" customWidth="1" outlineLevel="1"/>
    <col min="42" max="42" width="9.71428571428571" style="701" customWidth="1" collapsed="1"/>
    <col min="43" max="46" width="9.71428571428571" style="663" hidden="1" customWidth="1" outlineLevel="1"/>
    <col min="47" max="47" width="9.71428571428571" style="701" customWidth="1" collapsed="1"/>
    <col min="48" max="51" width="9.71428571428571" style="663" hidden="1" customWidth="1" outlineLevel="1"/>
    <col min="52" max="52" width="9.71428571428571" style="701" customWidth="1" collapsed="1"/>
    <col min="53" max="56" width="9.71428571428571" style="663" customWidth="1" outlineLevel="1"/>
    <col min="57" max="57" width="9.71428571428571" style="701" customWidth="1"/>
    <col min="58" max="61" width="9.71428571428571" style="663" customWidth="1" outlineLevel="1"/>
    <col min="62" max="62" width="9.71428571428571" style="701" customWidth="1"/>
    <col min="63" max="66" width="9.71428571428571" style="663" customWidth="1" outlineLevel="1"/>
    <col min="67" max="71" width="9.71428571428571" style="701" customWidth="1"/>
    <col min="72" max="16384" width="8.85714285714286" style="701"/>
  </cols>
  <sheetData>
    <row r="1" spans="1:71" s="955" customFormat="1" ht="28.5" customHeight="1">
      <c r="A1" s="871" t="str">
        <f>MO.CompanyName</f>
        <v>The Progressive Corporation</v>
      </c>
      <c r="B1" s="120"/>
      <c r="C1" s="1013"/>
      <c r="D1" s="1013"/>
      <c r="E1" s="1013"/>
      <c r="F1" s="1013"/>
      <c r="G1" s="1013"/>
      <c r="H1" s="1013"/>
      <c r="I1" s="1013"/>
      <c r="J1" s="1013"/>
      <c r="K1" s="1013"/>
      <c r="L1" s="1013"/>
      <c r="M1" s="1013"/>
      <c r="N1" s="1013"/>
      <c r="O1" s="1013"/>
      <c r="P1" s="1013"/>
      <c r="Q1" s="1013"/>
      <c r="R1" s="1013"/>
      <c r="S1" s="1013"/>
      <c r="T1" s="1013"/>
      <c r="U1" s="1013"/>
      <c r="V1" s="1013"/>
      <c r="W1" s="1013"/>
      <c r="X1" s="1013"/>
      <c r="Y1" s="1013"/>
      <c r="Z1" s="1013"/>
      <c r="AA1" s="1013"/>
      <c r="AB1" s="1013"/>
      <c r="AC1" s="1013"/>
      <c r="AD1" s="1013"/>
      <c r="AE1" s="1013"/>
      <c r="AF1" s="1013"/>
      <c r="AG1" s="1013"/>
      <c r="AH1" s="1013"/>
      <c r="AI1" s="1013"/>
      <c r="AJ1" s="1013"/>
      <c r="AK1" s="1013"/>
      <c r="AL1" s="1013"/>
      <c r="AM1" s="1013"/>
      <c r="AN1" s="1013"/>
      <c r="AO1" s="1013"/>
      <c r="AP1" s="1013"/>
      <c r="AQ1" s="1013"/>
      <c r="AR1" s="1013"/>
      <c r="AS1" s="1013"/>
      <c r="AT1" s="1013"/>
      <c r="AU1" s="1013"/>
      <c r="AV1" s="1013"/>
      <c r="AW1" s="1013"/>
      <c r="AX1" s="1013"/>
      <c r="AY1" s="1013"/>
      <c r="AZ1" s="1013"/>
      <c r="BA1" s="1013"/>
      <c r="BB1" s="1013"/>
      <c r="BC1" s="1013"/>
      <c r="BD1" s="1013"/>
      <c r="BE1" s="1013"/>
      <c r="BF1" s="1013"/>
      <c r="BG1" s="1013"/>
      <c r="BH1" s="1014"/>
      <c r="BI1" s="1015"/>
      <c r="BJ1" s="1015"/>
      <c r="BK1" s="1015"/>
      <c r="BL1" s="1015"/>
      <c r="BM1" s="1015"/>
      <c r="BN1" s="1015"/>
      <c r="BO1" s="1015"/>
      <c r="BP1" s="1015"/>
      <c r="BQ1" s="1015"/>
      <c r="BR1" s="1015"/>
      <c r="BS1" s="872"/>
    </row>
    <row r="2" spans="1:71" s="955" customFormat="1" ht="15" customHeight="1">
      <c r="A2" s="873" t="str">
        <f>MO.Ticker</f>
        <v>PGR US</v>
      </c>
      <c r="B2" s="874"/>
      <c r="C2" s="891">
        <f>Model!C2</f>
        <v>39813</v>
      </c>
      <c r="D2" s="891">
        <f>Model!D2</f>
        <v>0</v>
      </c>
      <c r="E2" s="891">
        <f>Model!E2</f>
        <v>0</v>
      </c>
      <c r="F2" s="891">
        <f>Model!F2</f>
        <v>0</v>
      </c>
      <c r="G2" s="891">
        <f>Model!G2</f>
        <v>0</v>
      </c>
      <c r="H2" s="891">
        <f>Model!H2</f>
        <v>0</v>
      </c>
      <c r="I2" s="891">
        <f>Model!I2</f>
        <v>0</v>
      </c>
      <c r="J2" s="891">
        <f>Model!J2</f>
        <v>0</v>
      </c>
      <c r="K2" s="891">
        <f>Model!K2</f>
        <v>0</v>
      </c>
      <c r="L2" s="891">
        <f>Model!L2</f>
        <v>0</v>
      </c>
      <c r="M2" s="891">
        <f>Model!M2</f>
        <v>0</v>
      </c>
      <c r="N2" s="891">
        <f>Model!N2</f>
        <v>0</v>
      </c>
      <c r="O2" s="891">
        <f>Model!O2</f>
        <v>0</v>
      </c>
      <c r="P2" s="891">
        <f>Model!P2</f>
        <v>0</v>
      </c>
      <c r="Q2" s="891">
        <f>Model!Q2</f>
        <v>0</v>
      </c>
      <c r="R2" s="891">
        <f>Model!R2</f>
        <v>0</v>
      </c>
      <c r="S2" s="891">
        <f>Model!S2</f>
        <v>0</v>
      </c>
      <c r="T2" s="891">
        <f>Model!T2</f>
        <v>0</v>
      </c>
      <c r="U2" s="891">
        <f>Model!U2</f>
        <v>0</v>
      </c>
      <c r="V2" s="891">
        <f>Model!V2</f>
        <v>0</v>
      </c>
      <c r="W2" s="891">
        <f>Model!W2</f>
        <v>0</v>
      </c>
      <c r="X2" s="891">
        <f>Model!X2</f>
        <v>0</v>
      </c>
      <c r="Y2" s="891">
        <f>Model!Y2</f>
        <v>0</v>
      </c>
      <c r="Z2" s="891">
        <f>Model!Z2</f>
        <v>0</v>
      </c>
      <c r="AA2" s="891">
        <f>Model!AA2</f>
        <v>0</v>
      </c>
      <c r="AB2" s="891">
        <f>Model!AB2</f>
        <v>0</v>
      </c>
      <c r="AC2" s="891">
        <f>Model!AC2</f>
        <v>0</v>
      </c>
      <c r="AD2" s="891">
        <f>Model!AD2</f>
        <v>0</v>
      </c>
      <c r="AE2" s="891">
        <f>Model!AE2</f>
        <v>0</v>
      </c>
      <c r="AF2" s="891">
        <f>Model!AF2</f>
        <v>0</v>
      </c>
      <c r="AG2" s="891">
        <f>Model!AG2</f>
        <v>0</v>
      </c>
      <c r="AH2" s="891">
        <f>Model!AH2</f>
        <v>0</v>
      </c>
      <c r="AI2" s="891">
        <f>Model!AI2</f>
        <v>0</v>
      </c>
      <c r="AJ2" s="891">
        <f>Model!AJ2</f>
        <v>0</v>
      </c>
      <c r="AK2" s="891">
        <f>Model!AK2</f>
        <v>0</v>
      </c>
      <c r="AL2" s="891">
        <f>Model!AL2</f>
        <v>0</v>
      </c>
      <c r="AM2" s="891">
        <f>Model!AM2</f>
        <v>0</v>
      </c>
      <c r="AN2" s="891">
        <f>Model!AN2</f>
        <v>0</v>
      </c>
      <c r="AO2" s="891">
        <f>Model!AO2</f>
        <v>0</v>
      </c>
      <c r="AP2" s="891">
        <f>Model!AP2</f>
        <v>0</v>
      </c>
      <c r="AQ2" s="891">
        <f>Model!AQ2</f>
        <v>0</v>
      </c>
      <c r="AR2" s="891">
        <f>Model!AR2</f>
        <v>0</v>
      </c>
      <c r="AS2" s="891">
        <f>Model!AS2</f>
        <v>0</v>
      </c>
      <c r="AT2" s="891">
        <f>Model!AT2</f>
        <v>0</v>
      </c>
      <c r="AU2" s="891">
        <f>Model!AU2</f>
        <v>0</v>
      </c>
      <c r="AV2" s="891">
        <f>Model!AV2</f>
        <v>0</v>
      </c>
      <c r="AW2" s="891">
        <f>Model!AW2</f>
        <v>0</v>
      </c>
      <c r="AX2" s="891">
        <f>Model!AX2</f>
        <v>0</v>
      </c>
      <c r="AY2" s="891">
        <f>Model!AY2</f>
        <v>0</v>
      </c>
      <c r="AZ2" s="891">
        <f>Model!AZ2</f>
        <v>0</v>
      </c>
      <c r="BA2" s="891">
        <f>Model!BA2</f>
        <v>0</v>
      </c>
      <c r="BB2" s="891">
        <f>Model!BB2</f>
        <v>0</v>
      </c>
      <c r="BC2" s="891">
        <f>Model!BC2</f>
        <v>0</v>
      </c>
      <c r="BD2" s="891">
        <f>Model!BD2</f>
        <v>0</v>
      </c>
      <c r="BE2" s="891">
        <f>Model!BE2</f>
        <v>0</v>
      </c>
      <c r="BF2" s="891">
        <f>Model!BF2</f>
        <v>0</v>
      </c>
      <c r="BG2" s="891">
        <f>Model!BG2</f>
        <v>0</v>
      </c>
      <c r="BH2" s="899">
        <f>Model!BH2</f>
        <v>0</v>
      </c>
      <c r="BI2" s="875">
        <f>Model!BI2</f>
        <v>0</v>
      </c>
      <c r="BJ2" s="875">
        <f>Model!BJ2</f>
        <v>0</v>
      </c>
      <c r="BK2" s="875">
        <f>Model!BK2</f>
        <v>0</v>
      </c>
      <c r="BL2" s="875">
        <f>Model!BL2</f>
        <v>0</v>
      </c>
      <c r="BM2" s="875">
        <f>Model!BM2</f>
        <v>0</v>
      </c>
      <c r="BN2" s="875">
        <f>Model!BN2</f>
        <v>0</v>
      </c>
      <c r="BO2" s="875">
        <f>Model!BO2</f>
        <v>0</v>
      </c>
      <c r="BP2" s="875">
        <f>Model!BP2</f>
        <v>0</v>
      </c>
      <c r="BQ2" s="875">
        <f>Model!BQ2</f>
        <v>0</v>
      </c>
      <c r="BR2" s="875">
        <f>Model!BR2</f>
        <v>0</v>
      </c>
      <c r="BS2" s="872"/>
    </row>
    <row r="3" spans="1:71" s="955" customFormat="1" ht="15" customHeight="1">
      <c r="A3" s="876" t="str">
        <f ca="1">MO.TradingCurrency</f>
        <v>USD</v>
      </c>
      <c r="B3" s="877">
        <f ca="1">MO.LastPrice</f>
        <v>257.50</v>
      </c>
      <c r="C3" s="1555">
        <f t="shared" si="0" ref="C3:AH3">INDEX(MO_Common_FPDays,0,MATCH(C$5,MO_Common_ColumnHeader,0))</f>
        <v>365</v>
      </c>
      <c r="D3" s="1555">
        <f t="shared" si="0"/>
        <v>365</v>
      </c>
      <c r="E3" s="1555">
        <f t="shared" si="0"/>
        <v>365</v>
      </c>
      <c r="F3" s="1555">
        <f t="shared" si="0"/>
        <v>366</v>
      </c>
      <c r="G3" s="1555">
        <f t="shared" si="0"/>
        <v>365</v>
      </c>
      <c r="H3" s="893">
        <f t="shared" si="0"/>
        <v>90</v>
      </c>
      <c r="I3" s="893">
        <f t="shared" si="0"/>
        <v>91</v>
      </c>
      <c r="J3" s="893">
        <f t="shared" si="0"/>
        <v>92</v>
      </c>
      <c r="K3" s="893">
        <f t="shared" si="0"/>
        <v>92</v>
      </c>
      <c r="L3" s="1555">
        <f t="shared" si="0"/>
        <v>365</v>
      </c>
      <c r="M3" s="893">
        <f t="shared" si="0"/>
        <v>90</v>
      </c>
      <c r="N3" s="893">
        <f t="shared" si="0"/>
        <v>91</v>
      </c>
      <c r="O3" s="893">
        <f t="shared" si="0"/>
        <v>92</v>
      </c>
      <c r="P3" s="893">
        <f t="shared" si="0"/>
        <v>92</v>
      </c>
      <c r="Q3" s="1555">
        <f t="shared" si="0"/>
        <v>365</v>
      </c>
      <c r="R3" s="893">
        <f t="shared" si="0"/>
        <v>91</v>
      </c>
      <c r="S3" s="893">
        <f t="shared" si="0"/>
        <v>91</v>
      </c>
      <c r="T3" s="893">
        <f t="shared" si="0"/>
        <v>92</v>
      </c>
      <c r="U3" s="893">
        <f t="shared" si="0"/>
        <v>92</v>
      </c>
      <c r="V3" s="1555">
        <f t="shared" si="0"/>
        <v>366</v>
      </c>
      <c r="W3" s="893">
        <f t="shared" si="0"/>
        <v>90</v>
      </c>
      <c r="X3" s="893">
        <f t="shared" si="0"/>
        <v>91</v>
      </c>
      <c r="Y3" s="893">
        <f t="shared" si="0"/>
        <v>92</v>
      </c>
      <c r="Z3" s="893">
        <f t="shared" si="0"/>
        <v>92</v>
      </c>
      <c r="AA3" s="1555">
        <f t="shared" si="0"/>
        <v>365</v>
      </c>
      <c r="AB3" s="893">
        <f t="shared" si="0"/>
        <v>90</v>
      </c>
      <c r="AC3" s="893">
        <f t="shared" si="0"/>
        <v>91</v>
      </c>
      <c r="AD3" s="893">
        <f t="shared" si="0"/>
        <v>92</v>
      </c>
      <c r="AE3" s="893">
        <f t="shared" si="0"/>
        <v>92</v>
      </c>
      <c r="AF3" s="1555">
        <f t="shared" si="0"/>
        <v>365</v>
      </c>
      <c r="AG3" s="893">
        <f t="shared" si="0"/>
        <v>90</v>
      </c>
      <c r="AH3" s="893">
        <f t="shared" si="0"/>
        <v>91</v>
      </c>
      <c r="AI3" s="893">
        <f t="shared" si="1" ref="AI3:BR3">INDEX(MO_Common_FPDays,0,MATCH(AI$5,MO_Common_ColumnHeader,0))</f>
        <v>92</v>
      </c>
      <c r="AJ3" s="893">
        <f t="shared" si="1"/>
        <v>92</v>
      </c>
      <c r="AK3" s="1555">
        <f t="shared" si="1"/>
        <v>365</v>
      </c>
      <c r="AL3" s="893">
        <f t="shared" si="1"/>
        <v>91</v>
      </c>
      <c r="AM3" s="893">
        <f t="shared" si="1"/>
        <v>91</v>
      </c>
      <c r="AN3" s="893">
        <f t="shared" si="1"/>
        <v>92</v>
      </c>
      <c r="AO3" s="893">
        <f t="shared" si="1"/>
        <v>92</v>
      </c>
      <c r="AP3" s="1555">
        <f t="shared" si="1"/>
        <v>366</v>
      </c>
      <c r="AQ3" s="893">
        <f t="shared" si="1"/>
        <v>90</v>
      </c>
      <c r="AR3" s="893">
        <f t="shared" si="1"/>
        <v>91</v>
      </c>
      <c r="AS3" s="893">
        <f t="shared" si="1"/>
        <v>92</v>
      </c>
      <c r="AT3" s="893">
        <f t="shared" si="1"/>
        <v>92</v>
      </c>
      <c r="AU3" s="1555">
        <f t="shared" si="1"/>
        <v>365</v>
      </c>
      <c r="AV3" s="893">
        <f t="shared" si="1"/>
        <v>90</v>
      </c>
      <c r="AW3" s="893">
        <f t="shared" si="1"/>
        <v>91</v>
      </c>
      <c r="AX3" s="893">
        <f t="shared" si="1"/>
        <v>92</v>
      </c>
      <c r="AY3" s="893">
        <f t="shared" si="1"/>
        <v>92</v>
      </c>
      <c r="AZ3" s="1555">
        <f t="shared" si="1"/>
        <v>365</v>
      </c>
      <c r="BA3" s="893">
        <f t="shared" si="1"/>
        <v>90</v>
      </c>
      <c r="BB3" s="893">
        <f t="shared" si="1"/>
        <v>91</v>
      </c>
      <c r="BC3" s="893">
        <f t="shared" si="1"/>
        <v>92</v>
      </c>
      <c r="BD3" s="893">
        <f t="shared" si="1"/>
        <v>92</v>
      </c>
      <c r="BE3" s="1555">
        <f t="shared" si="1"/>
        <v>365</v>
      </c>
      <c r="BF3" s="893">
        <f t="shared" si="1"/>
        <v>91</v>
      </c>
      <c r="BG3" s="893">
        <f t="shared" si="1"/>
        <v>91</v>
      </c>
      <c r="BH3" s="900">
        <f t="shared" si="1"/>
        <v>92</v>
      </c>
      <c r="BI3" s="880">
        <f t="shared" si="1"/>
        <v>92</v>
      </c>
      <c r="BJ3" s="1556">
        <f t="shared" si="1"/>
        <v>366</v>
      </c>
      <c r="BK3" s="880">
        <f t="shared" si="1"/>
        <v>90</v>
      </c>
      <c r="BL3" s="880">
        <f t="shared" si="1"/>
        <v>91</v>
      </c>
      <c r="BM3" s="880">
        <f t="shared" si="1"/>
        <v>92</v>
      </c>
      <c r="BN3" s="880">
        <f t="shared" si="1"/>
        <v>92</v>
      </c>
      <c r="BO3" s="1556">
        <f t="shared" si="1"/>
        <v>365</v>
      </c>
      <c r="BP3" s="1556">
        <f t="shared" si="1"/>
        <v>365</v>
      </c>
      <c r="BQ3" s="1556">
        <f t="shared" si="1"/>
        <v>365</v>
      </c>
      <c r="BR3" s="1556">
        <f t="shared" si="1"/>
        <v>366</v>
      </c>
      <c r="BS3" s="872"/>
    </row>
    <row r="4" spans="1:71" s="955" customFormat="1" ht="15" customHeight="1">
      <c r="A4" s="879" t="str">
        <f>MO.DataSourceName</f>
        <v>Bloomberg</v>
      </c>
      <c r="B4" s="880" t="str">
        <f ca="1">MO.RealTime</f>
        <v>OFF</v>
      </c>
      <c r="C4" s="1557">
        <f t="shared" si="2" ref="C4:AH4">INDEX(MO_Common_QEndDate,0,MATCH(C$5,MO_Common_ColumnHeader,0))</f>
        <v>40178</v>
      </c>
      <c r="D4" s="1557">
        <f t="shared" si="2"/>
        <v>40543</v>
      </c>
      <c r="E4" s="1557">
        <f t="shared" si="2"/>
        <v>40908</v>
      </c>
      <c r="F4" s="1557">
        <f t="shared" si="2"/>
        <v>41274</v>
      </c>
      <c r="G4" s="1557">
        <f t="shared" si="2"/>
        <v>41639</v>
      </c>
      <c r="H4" s="895">
        <f t="shared" si="2"/>
        <v>41729</v>
      </c>
      <c r="I4" s="895">
        <f t="shared" si="2"/>
        <v>41820</v>
      </c>
      <c r="J4" s="895">
        <f t="shared" si="2"/>
        <v>41912</v>
      </c>
      <c r="K4" s="895">
        <f t="shared" si="2"/>
        <v>42004</v>
      </c>
      <c r="L4" s="1557">
        <f t="shared" si="2"/>
        <v>42004</v>
      </c>
      <c r="M4" s="895">
        <f t="shared" si="2"/>
        <v>42094</v>
      </c>
      <c r="N4" s="895">
        <f t="shared" si="2"/>
        <v>42185</v>
      </c>
      <c r="O4" s="895">
        <f t="shared" si="2"/>
        <v>42277</v>
      </c>
      <c r="P4" s="895">
        <f t="shared" si="2"/>
        <v>42369</v>
      </c>
      <c r="Q4" s="1557">
        <f t="shared" si="2"/>
        <v>42369</v>
      </c>
      <c r="R4" s="895">
        <f t="shared" si="2"/>
        <v>42460</v>
      </c>
      <c r="S4" s="895">
        <f t="shared" si="2"/>
        <v>42551</v>
      </c>
      <c r="T4" s="895">
        <f t="shared" si="2"/>
        <v>42643</v>
      </c>
      <c r="U4" s="895">
        <f t="shared" si="2"/>
        <v>42735</v>
      </c>
      <c r="V4" s="1557">
        <f t="shared" si="2"/>
        <v>42735</v>
      </c>
      <c r="W4" s="895">
        <f t="shared" si="2"/>
        <v>42825</v>
      </c>
      <c r="X4" s="895">
        <f t="shared" si="2"/>
        <v>42916</v>
      </c>
      <c r="Y4" s="895">
        <f t="shared" si="2"/>
        <v>43008</v>
      </c>
      <c r="Z4" s="895">
        <f t="shared" si="2"/>
        <v>43100</v>
      </c>
      <c r="AA4" s="1557">
        <f t="shared" si="2"/>
        <v>43100</v>
      </c>
      <c r="AB4" s="895">
        <f t="shared" si="2"/>
        <v>43190</v>
      </c>
      <c r="AC4" s="895">
        <f t="shared" si="2"/>
        <v>43281</v>
      </c>
      <c r="AD4" s="895">
        <f t="shared" si="2"/>
        <v>43373</v>
      </c>
      <c r="AE4" s="895">
        <f t="shared" si="2"/>
        <v>43465</v>
      </c>
      <c r="AF4" s="1557">
        <f t="shared" si="2"/>
        <v>43465</v>
      </c>
      <c r="AG4" s="895">
        <f t="shared" si="2"/>
        <v>43555</v>
      </c>
      <c r="AH4" s="895">
        <f t="shared" si="2"/>
        <v>43646</v>
      </c>
      <c r="AI4" s="895">
        <f t="shared" si="3" ref="AI4:BR4">INDEX(MO_Common_QEndDate,0,MATCH(AI$5,MO_Common_ColumnHeader,0))</f>
        <v>43738</v>
      </c>
      <c r="AJ4" s="895">
        <f t="shared" si="3"/>
        <v>43830</v>
      </c>
      <c r="AK4" s="1557">
        <f t="shared" si="3"/>
        <v>43830</v>
      </c>
      <c r="AL4" s="895">
        <f t="shared" si="3"/>
        <v>43921</v>
      </c>
      <c r="AM4" s="895">
        <f t="shared" si="3"/>
        <v>44012</v>
      </c>
      <c r="AN4" s="895">
        <f t="shared" si="3"/>
        <v>44104</v>
      </c>
      <c r="AO4" s="895">
        <f t="shared" si="3"/>
        <v>44196</v>
      </c>
      <c r="AP4" s="1557">
        <f t="shared" si="3"/>
        <v>44196</v>
      </c>
      <c r="AQ4" s="895">
        <f t="shared" si="3"/>
        <v>44286</v>
      </c>
      <c r="AR4" s="895">
        <f t="shared" si="3"/>
        <v>44377</v>
      </c>
      <c r="AS4" s="895">
        <f t="shared" si="3"/>
        <v>44469</v>
      </c>
      <c r="AT4" s="895">
        <f t="shared" si="3"/>
        <v>44561</v>
      </c>
      <c r="AU4" s="1557">
        <f t="shared" si="3"/>
        <v>44561</v>
      </c>
      <c r="AV4" s="895">
        <f t="shared" si="3"/>
        <v>44651</v>
      </c>
      <c r="AW4" s="895">
        <f t="shared" si="3"/>
        <v>44742</v>
      </c>
      <c r="AX4" s="895">
        <f t="shared" si="3"/>
        <v>44834</v>
      </c>
      <c r="AY4" s="895">
        <f t="shared" si="3"/>
        <v>44926</v>
      </c>
      <c r="AZ4" s="1557">
        <f t="shared" si="3"/>
        <v>44926</v>
      </c>
      <c r="BA4" s="895">
        <f t="shared" si="3"/>
        <v>45016</v>
      </c>
      <c r="BB4" s="895">
        <f t="shared" si="3"/>
        <v>45107</v>
      </c>
      <c r="BC4" s="895">
        <f t="shared" si="3"/>
        <v>45199</v>
      </c>
      <c r="BD4" s="895">
        <f t="shared" si="3"/>
        <v>45291</v>
      </c>
      <c r="BE4" s="1557">
        <f t="shared" si="3"/>
        <v>45291</v>
      </c>
      <c r="BF4" s="895">
        <f t="shared" si="3"/>
        <v>45382</v>
      </c>
      <c r="BG4" s="895">
        <f t="shared" si="3"/>
        <v>45473</v>
      </c>
      <c r="BH4" s="901">
        <f t="shared" si="3"/>
        <v>45565</v>
      </c>
      <c r="BI4" s="887">
        <f t="shared" si="3"/>
        <v>45657</v>
      </c>
      <c r="BJ4" s="1558">
        <f t="shared" si="3"/>
        <v>45657</v>
      </c>
      <c r="BK4" s="887">
        <f t="shared" si="3"/>
        <v>45747</v>
      </c>
      <c r="BL4" s="887">
        <f t="shared" si="3"/>
        <v>45838</v>
      </c>
      <c r="BM4" s="887">
        <f t="shared" si="3"/>
        <v>45930</v>
      </c>
      <c r="BN4" s="887">
        <f t="shared" si="3"/>
        <v>46022</v>
      </c>
      <c r="BO4" s="1558">
        <f t="shared" si="3"/>
        <v>46022</v>
      </c>
      <c r="BP4" s="1558">
        <f t="shared" si="3"/>
        <v>46387</v>
      </c>
      <c r="BQ4" s="1558">
        <f t="shared" si="3"/>
        <v>46752</v>
      </c>
      <c r="BR4" s="1558">
        <f t="shared" si="3"/>
        <v>47118</v>
      </c>
      <c r="BS4" s="872"/>
    </row>
    <row r="5" spans="1:71" s="955" customFormat="1" ht="15" customHeight="1">
      <c r="A5" s="882" t="str">
        <f>MO.ReportFX</f>
        <v>USD</v>
      </c>
      <c r="B5" s="883"/>
      <c r="C5" s="1559" t="str">
        <f>Model!C5</f>
        <v>FY2009</v>
      </c>
      <c r="D5" s="1559" t="str">
        <f>Model!D5</f>
        <v>FY2010</v>
      </c>
      <c r="E5" s="1559" t="str">
        <f>Model!E5</f>
        <v>FY2011</v>
      </c>
      <c r="F5" s="1559" t="str">
        <f>Model!F5</f>
        <v>FY2012</v>
      </c>
      <c r="G5" s="1559" t="str">
        <f>Model!G5</f>
        <v>FY2013</v>
      </c>
      <c r="H5" s="1544" t="str">
        <f>Model!H5</f>
        <v>Q1-2014</v>
      </c>
      <c r="I5" s="1544" t="str">
        <f>Model!I5</f>
        <v>Q2-2014</v>
      </c>
      <c r="J5" s="1544" t="str">
        <f>Model!J5</f>
        <v>Q3-2014</v>
      </c>
      <c r="K5" s="1544" t="str">
        <f>Model!K5</f>
        <v>Q4-2014</v>
      </c>
      <c r="L5" s="1559" t="str">
        <f>Model!L5</f>
        <v>FY2014</v>
      </c>
      <c r="M5" s="1544" t="str">
        <f>Model!M5</f>
        <v>Q1-2015</v>
      </c>
      <c r="N5" s="1544" t="str">
        <f>Model!N5</f>
        <v>Q2-2015</v>
      </c>
      <c r="O5" s="1544" t="str">
        <f>Model!O5</f>
        <v>Q3-2015</v>
      </c>
      <c r="P5" s="1544" t="str">
        <f>Model!P5</f>
        <v>Q4-2015</v>
      </c>
      <c r="Q5" s="1559" t="str">
        <f>Model!Q5</f>
        <v>FY2015</v>
      </c>
      <c r="R5" s="1544" t="str">
        <f>Model!R5</f>
        <v>Q1-2016</v>
      </c>
      <c r="S5" s="1544" t="str">
        <f>Model!S5</f>
        <v>Q2-2016</v>
      </c>
      <c r="T5" s="1544" t="str">
        <f>Model!T5</f>
        <v>Q3-2016</v>
      </c>
      <c r="U5" s="1544" t="str">
        <f>Model!U5</f>
        <v>Q4-2016</v>
      </c>
      <c r="V5" s="1559" t="str">
        <f>Model!V5</f>
        <v>FY2016</v>
      </c>
      <c r="W5" s="1544" t="str">
        <f>Model!W5</f>
        <v>Q1-2017</v>
      </c>
      <c r="X5" s="1544" t="str">
        <f>Model!X5</f>
        <v>Q2-2017</v>
      </c>
      <c r="Y5" s="1544" t="str">
        <f>Model!Y5</f>
        <v>Q3-2017</v>
      </c>
      <c r="Z5" s="1544" t="str">
        <f>Model!Z5</f>
        <v>Q4-2017</v>
      </c>
      <c r="AA5" s="1559" t="str">
        <f>Model!AA5</f>
        <v>FY2017</v>
      </c>
      <c r="AB5" s="1544" t="str">
        <f>Model!AB5</f>
        <v>Q1-2018</v>
      </c>
      <c r="AC5" s="1544" t="str">
        <f>Model!AC5</f>
        <v>Q2-2018</v>
      </c>
      <c r="AD5" s="1544" t="str">
        <f>Model!AD5</f>
        <v>Q3-2018</v>
      </c>
      <c r="AE5" s="1544" t="str">
        <f>Model!AE5</f>
        <v>Q4-2018</v>
      </c>
      <c r="AF5" s="1559" t="str">
        <f>Model!AF5</f>
        <v>FY2018</v>
      </c>
      <c r="AG5" s="1544" t="str">
        <f>Model!AG5</f>
        <v>Q1-2019</v>
      </c>
      <c r="AH5" s="1544" t="str">
        <f>Model!AH5</f>
        <v>Q2-2019</v>
      </c>
      <c r="AI5" s="1544" t="str">
        <f>Model!AI5</f>
        <v>Q3-2019</v>
      </c>
      <c r="AJ5" s="1544" t="str">
        <f>Model!AJ5</f>
        <v>Q4-2019</v>
      </c>
      <c r="AK5" s="1559" t="str">
        <f>Model!AK5</f>
        <v>FY2019</v>
      </c>
      <c r="AL5" s="1544" t="str">
        <f>Model!AL5</f>
        <v>Q1-2020</v>
      </c>
      <c r="AM5" s="1544" t="str">
        <f>Model!AM5</f>
        <v>Q2-2020</v>
      </c>
      <c r="AN5" s="1544" t="str">
        <f>Model!AN5</f>
        <v>Q3-2020</v>
      </c>
      <c r="AO5" s="1544" t="str">
        <f>Model!AO5</f>
        <v>Q4-2020</v>
      </c>
      <c r="AP5" s="1559" t="str">
        <f>Model!AP5</f>
        <v>FY2020</v>
      </c>
      <c r="AQ5" s="1544" t="str">
        <f>Model!AQ5</f>
        <v>Q1-2021</v>
      </c>
      <c r="AR5" s="1544" t="str">
        <f>Model!AR5</f>
        <v>Q2-2021</v>
      </c>
      <c r="AS5" s="1544" t="str">
        <f>Model!AS5</f>
        <v>Q3-2021</v>
      </c>
      <c r="AT5" s="1544" t="str">
        <f>Model!AT5</f>
        <v>Q4-2021</v>
      </c>
      <c r="AU5" s="1559" t="str">
        <f>Model!AU5</f>
        <v>FY2021</v>
      </c>
      <c r="AV5" s="1544" t="str">
        <f>Model!AV5</f>
        <v>Q1-2022</v>
      </c>
      <c r="AW5" s="1544" t="str">
        <f>Model!AW5</f>
        <v>Q2-2022</v>
      </c>
      <c r="AX5" s="1544" t="str">
        <f>Model!AX5</f>
        <v>Q3-2022</v>
      </c>
      <c r="AY5" s="1544" t="str">
        <f>Model!AY5</f>
        <v>Q4-2022</v>
      </c>
      <c r="AZ5" s="1559" t="str">
        <f>Model!AZ5</f>
        <v>FY2022</v>
      </c>
      <c r="BA5" s="1544" t="str">
        <f>Model!BA5</f>
        <v>Q1-2023</v>
      </c>
      <c r="BB5" s="1544" t="str">
        <f>Model!BB5</f>
        <v>Q2-2023</v>
      </c>
      <c r="BC5" s="1544" t="str">
        <f>Model!BC5</f>
        <v>Q3-2023</v>
      </c>
      <c r="BD5" s="1544" t="str">
        <f>Model!BD5</f>
        <v>Q4-2023</v>
      </c>
      <c r="BE5" s="1559" t="str">
        <f>Model!BE5</f>
        <v>FY2023</v>
      </c>
      <c r="BF5" s="1544" t="str">
        <f>Model!BF5</f>
        <v>Q1-2024</v>
      </c>
      <c r="BG5" s="1544" t="str">
        <f>Model!BG5</f>
        <v>Q2-2024</v>
      </c>
      <c r="BH5" s="1545" t="str">
        <f>Model!BH5</f>
        <v>Q3-2024</v>
      </c>
      <c r="BI5" s="1546" t="str">
        <f>Model!BI5</f>
        <v>Q4-2024</v>
      </c>
      <c r="BJ5" s="1560" t="str">
        <f>Model!BJ5</f>
        <v>FY2024</v>
      </c>
      <c r="BK5" s="1546" t="str">
        <f>Model!BK5</f>
        <v>Q1-2025</v>
      </c>
      <c r="BL5" s="1546" t="str">
        <f>Model!BL5</f>
        <v>Q2-2025</v>
      </c>
      <c r="BM5" s="1546" t="str">
        <f>Model!BM5</f>
        <v>Q3-2025</v>
      </c>
      <c r="BN5" s="1546" t="str">
        <f>Model!BN5</f>
        <v>Q4-2025</v>
      </c>
      <c r="BO5" s="1560" t="str">
        <f>Model!BO5</f>
        <v>FY2025</v>
      </c>
      <c r="BP5" s="1560" t="str">
        <f>Model!BP5</f>
        <v>FY2026</v>
      </c>
      <c r="BQ5" s="1560" t="str">
        <f>Model!BQ5</f>
        <v>FY2027</v>
      </c>
      <c r="BR5" s="1560" t="str">
        <f>Model!BR5</f>
        <v>FY2028</v>
      </c>
      <c r="BS5" s="872"/>
    </row>
    <row r="6" spans="1:71" s="704" customFormat="1" ht="15">
      <c r="A6" s="77" t="s">
        <v>793</v>
      </c>
      <c r="B6" s="77"/>
      <c r="C6" s="896"/>
      <c r="D6" s="896"/>
      <c r="E6" s="896"/>
      <c r="F6" s="896"/>
      <c r="G6" s="896"/>
      <c r="H6" s="896"/>
      <c r="I6" s="896"/>
      <c r="J6" s="896"/>
      <c r="K6" s="896"/>
      <c r="L6" s="896"/>
      <c r="M6" s="896"/>
      <c r="N6" s="896"/>
      <c r="O6" s="896"/>
      <c r="P6" s="896"/>
      <c r="Q6" s="896"/>
      <c r="R6" s="896"/>
      <c r="S6" s="896"/>
      <c r="T6" s="896"/>
      <c r="U6" s="896"/>
      <c r="V6" s="896"/>
      <c r="W6" s="896"/>
      <c r="X6" s="896"/>
      <c r="Y6" s="896"/>
      <c r="Z6" s="896"/>
      <c r="AA6" s="896"/>
      <c r="AB6" s="896"/>
      <c r="AC6" s="896"/>
      <c r="AD6" s="896"/>
      <c r="AE6" s="896"/>
      <c r="AF6" s="896"/>
      <c r="AG6" s="896"/>
      <c r="AH6" s="896"/>
      <c r="AI6" s="896"/>
      <c r="AJ6" s="896"/>
      <c r="AK6" s="896"/>
      <c r="AL6" s="896"/>
      <c r="AM6" s="896"/>
      <c r="AN6" s="896"/>
      <c r="AO6" s="896"/>
      <c r="AP6" s="896"/>
      <c r="AQ6" s="896"/>
      <c r="AR6" s="896"/>
      <c r="AS6" s="896"/>
      <c r="AT6" s="896"/>
      <c r="AU6" s="896"/>
      <c r="AV6" s="896"/>
      <c r="AW6" s="896"/>
      <c r="AX6" s="896"/>
      <c r="AY6" s="896"/>
      <c r="AZ6" s="896"/>
      <c r="BA6" s="896"/>
      <c r="BB6" s="896"/>
      <c r="BC6" s="896"/>
      <c r="BD6" s="896"/>
      <c r="BE6" s="896"/>
      <c r="BF6" s="896"/>
      <c r="BG6" s="896"/>
      <c r="BH6" s="902"/>
      <c r="BI6" s="77"/>
      <c r="BJ6" s="77"/>
      <c r="BK6" s="77"/>
      <c r="BL6" s="77"/>
      <c r="BM6" s="77"/>
      <c r="BN6" s="77"/>
      <c r="BO6" s="77"/>
      <c r="BP6" s="77"/>
      <c r="BQ6" s="77"/>
      <c r="BR6" s="77"/>
      <c r="BS6" s="884"/>
    </row>
    <row r="7" spans="1:71" s="705" customFormat="1" ht="15">
      <c r="A7" s="926" t="s">
        <v>794</v>
      </c>
      <c r="B7" s="888"/>
      <c r="C7" s="1513"/>
      <c r="D7" s="1513"/>
      <c r="E7" s="1513"/>
      <c r="F7" s="1513"/>
      <c r="G7" s="1513"/>
      <c r="H7" s="231"/>
      <c r="I7" s="231"/>
      <c r="J7" s="231"/>
      <c r="K7" s="231"/>
      <c r="L7" s="1513"/>
      <c r="M7" s="231"/>
      <c r="N7" s="231"/>
      <c r="O7" s="231"/>
      <c r="P7" s="231"/>
      <c r="Q7" s="1513"/>
      <c r="R7" s="231"/>
      <c r="S7" s="231"/>
      <c r="T7" s="231"/>
      <c r="U7" s="231"/>
      <c r="V7" s="1513"/>
      <c r="W7" s="231"/>
      <c r="X7" s="231"/>
      <c r="Y7" s="231"/>
      <c r="Z7" s="231"/>
      <c r="AA7" s="1513"/>
      <c r="AB7" s="231"/>
      <c r="AC7" s="231"/>
      <c r="AD7" s="231"/>
      <c r="AE7" s="231"/>
      <c r="AF7" s="1513"/>
      <c r="AG7" s="231"/>
      <c r="AH7" s="231"/>
      <c r="AI7" s="231"/>
      <c r="AJ7" s="231"/>
      <c r="AK7" s="1513"/>
      <c r="AL7" s="231"/>
      <c r="AM7" s="231"/>
      <c r="AN7" s="231"/>
      <c r="AO7" s="231"/>
      <c r="AP7" s="1431">
        <v>980.77</v>
      </c>
      <c r="AQ7" s="945"/>
      <c r="AR7" s="945"/>
      <c r="AS7" s="945"/>
      <c r="AT7" s="945"/>
      <c r="AU7" s="1431">
        <v>950</v>
      </c>
      <c r="AV7" s="945"/>
      <c r="AW7" s="945"/>
      <c r="AX7" s="945"/>
      <c r="AY7" s="945"/>
      <c r="AZ7" s="1431">
        <v>950</v>
      </c>
      <c r="BA7" s="945"/>
      <c r="BB7" s="945"/>
      <c r="BC7" s="945"/>
      <c r="BD7" s="945"/>
      <c r="BE7" s="1431">
        <v>994.23099999999999</v>
      </c>
      <c r="BF7" s="231"/>
      <c r="BG7" s="231"/>
      <c r="BH7" s="903"/>
      <c r="BI7" s="81"/>
      <c r="BJ7" s="1514"/>
      <c r="BK7" s="81"/>
      <c r="BL7" s="81"/>
      <c r="BM7" s="81"/>
      <c r="BN7" s="81"/>
      <c r="BO7" s="1514"/>
      <c r="BP7" s="1514"/>
      <c r="BQ7" s="1514"/>
      <c r="BR7" s="1514"/>
      <c r="BS7" s="885"/>
    </row>
    <row r="8" spans="1:71" s="705" customFormat="1" ht="15">
      <c r="A8" s="926" t="s">
        <v>795</v>
      </c>
      <c r="B8" s="888"/>
      <c r="C8" s="1513"/>
      <c r="D8" s="1513"/>
      <c r="E8" s="1513"/>
      <c r="F8" s="1513"/>
      <c r="G8" s="1513"/>
      <c r="H8" s="231"/>
      <c r="I8" s="231"/>
      <c r="J8" s="231"/>
      <c r="K8" s="231"/>
      <c r="L8" s="1513"/>
      <c r="M8" s="231"/>
      <c r="N8" s="231"/>
      <c r="O8" s="231"/>
      <c r="P8" s="231"/>
      <c r="Q8" s="1513"/>
      <c r="R8" s="231"/>
      <c r="S8" s="231"/>
      <c r="T8" s="231"/>
      <c r="U8" s="231"/>
      <c r="V8" s="1513"/>
      <c r="W8" s="231"/>
      <c r="X8" s="231"/>
      <c r="Y8" s="231"/>
      <c r="Z8" s="231"/>
      <c r="AA8" s="1513"/>
      <c r="AB8" s="231"/>
      <c r="AC8" s="231"/>
      <c r="AD8" s="231"/>
      <c r="AE8" s="231"/>
      <c r="AF8" s="1513"/>
      <c r="AG8" s="231"/>
      <c r="AH8" s="231"/>
      <c r="AI8" s="231"/>
      <c r="AJ8" s="231"/>
      <c r="AK8" s="1513"/>
      <c r="AL8" s="231"/>
      <c r="AM8" s="231"/>
      <c r="AN8" s="231"/>
      <c r="AO8" s="231"/>
      <c r="AP8" s="1431">
        <v>9500.0370000000003</v>
      </c>
      <c r="AQ8" s="945"/>
      <c r="AR8" s="945"/>
      <c r="AS8" s="945"/>
      <c r="AT8" s="945"/>
      <c r="AU8" s="1431">
        <v>9500.2119999999995</v>
      </c>
      <c r="AV8" s="945"/>
      <c r="AW8" s="945"/>
      <c r="AX8" s="945"/>
      <c r="AY8" s="945"/>
      <c r="AZ8" s="1431">
        <v>9500.2029999999995</v>
      </c>
      <c r="BA8" s="945"/>
      <c r="BB8" s="945"/>
      <c r="BC8" s="945"/>
      <c r="BD8" s="945"/>
      <c r="BE8" s="1431">
        <v>10000.106</v>
      </c>
      <c r="BF8" s="231"/>
      <c r="BG8" s="231"/>
      <c r="BH8" s="903"/>
      <c r="BI8" s="81"/>
      <c r="BJ8" s="1514"/>
      <c r="BK8" s="81"/>
      <c r="BL8" s="81"/>
      <c r="BM8" s="81"/>
      <c r="BN8" s="81"/>
      <c r="BO8" s="1514"/>
      <c r="BP8" s="1514"/>
      <c r="BQ8" s="1514"/>
      <c r="BR8" s="1514"/>
      <c r="BS8" s="885"/>
    </row>
    <row r="9" spans="1:71" s="705" customFormat="1" ht="15">
      <c r="A9" s="926" t="s">
        <v>796</v>
      </c>
      <c r="B9" s="888"/>
      <c r="C9" s="1513"/>
      <c r="D9" s="1513"/>
      <c r="E9" s="1513"/>
      <c r="F9" s="1513"/>
      <c r="G9" s="1513"/>
      <c r="H9" s="231"/>
      <c r="I9" s="231"/>
      <c r="J9" s="231"/>
      <c r="K9" s="231"/>
      <c r="L9" s="1513"/>
      <c r="M9" s="231"/>
      <c r="N9" s="231"/>
      <c r="O9" s="231"/>
      <c r="P9" s="231"/>
      <c r="Q9" s="1513"/>
      <c r="R9" s="231"/>
      <c r="S9" s="231"/>
      <c r="T9" s="231"/>
      <c r="U9" s="231"/>
      <c r="V9" s="1513"/>
      <c r="W9" s="231"/>
      <c r="X9" s="231"/>
      <c r="Y9" s="231"/>
      <c r="Z9" s="231"/>
      <c r="AA9" s="1513"/>
      <c r="AB9" s="231"/>
      <c r="AC9" s="231"/>
      <c r="AD9" s="231"/>
      <c r="AE9" s="231"/>
      <c r="AF9" s="1513"/>
      <c r="AG9" s="231"/>
      <c r="AH9" s="231"/>
      <c r="AI9" s="231"/>
      <c r="AJ9" s="231"/>
      <c r="AK9" s="1513"/>
      <c r="AL9" s="231"/>
      <c r="AM9" s="231"/>
      <c r="AN9" s="231"/>
      <c r="AO9" s="231"/>
      <c r="AP9" s="1431">
        <v>4707.6940000000004</v>
      </c>
      <c r="AQ9" s="945"/>
      <c r="AR9" s="945"/>
      <c r="AS9" s="945"/>
      <c r="AT9" s="945"/>
      <c r="AU9" s="1431">
        <v>3847.502</v>
      </c>
      <c r="AV9" s="945"/>
      <c r="AW9" s="945"/>
      <c r="AX9" s="945"/>
      <c r="AY9" s="945"/>
      <c r="AZ9" s="1431">
        <v>2042.501</v>
      </c>
      <c r="BA9" s="945"/>
      <c r="BB9" s="945"/>
      <c r="BC9" s="945"/>
      <c r="BD9" s="945"/>
      <c r="BE9" s="1431">
        <v>4424.3270000000002</v>
      </c>
      <c r="BF9" s="231"/>
      <c r="BG9" s="231"/>
      <c r="BH9" s="903"/>
      <c r="BI9" s="81"/>
      <c r="BJ9" s="1514"/>
      <c r="BK9" s="81"/>
      <c r="BL9" s="81"/>
      <c r="BM9" s="81"/>
      <c r="BN9" s="81"/>
      <c r="BO9" s="1514"/>
      <c r="BP9" s="1514"/>
      <c r="BQ9" s="1514"/>
      <c r="BR9" s="1514"/>
      <c r="BS9" s="885"/>
    </row>
    <row r="10" spans="1:71" s="705" customFormat="1" ht="15">
      <c r="A10" s="943" t="s">
        <v>797</v>
      </c>
      <c r="B10" s="888"/>
      <c r="C10" s="1513"/>
      <c r="D10" s="1513"/>
      <c r="E10" s="1513"/>
      <c r="F10" s="1513"/>
      <c r="G10" s="1513"/>
      <c r="H10" s="231"/>
      <c r="I10" s="231"/>
      <c r="J10" s="231"/>
      <c r="K10" s="231"/>
      <c r="L10" s="1513"/>
      <c r="M10" s="231"/>
      <c r="N10" s="231"/>
      <c r="O10" s="231"/>
      <c r="P10" s="231"/>
      <c r="Q10" s="1513"/>
      <c r="R10" s="231"/>
      <c r="S10" s="231"/>
      <c r="T10" s="231"/>
      <c r="U10" s="231"/>
      <c r="V10" s="1513"/>
      <c r="W10" s="231"/>
      <c r="X10" s="231"/>
      <c r="Y10" s="231"/>
      <c r="Z10" s="231"/>
      <c r="AA10" s="1513"/>
      <c r="AB10" s="231"/>
      <c r="AC10" s="231"/>
      <c r="AD10" s="231"/>
      <c r="AE10" s="231"/>
      <c r="AF10" s="1513"/>
      <c r="AG10" s="231"/>
      <c r="AH10" s="231"/>
      <c r="AI10" s="231"/>
      <c r="AJ10" s="231"/>
      <c r="AK10" s="1513"/>
      <c r="AL10" s="231"/>
      <c r="AM10" s="231"/>
      <c r="AN10" s="231"/>
      <c r="AO10" s="231"/>
      <c r="AP10" s="1431">
        <v>32.021999999999998</v>
      </c>
      <c r="AQ10" s="945"/>
      <c r="AR10" s="945"/>
      <c r="AS10" s="945"/>
      <c r="AT10" s="945"/>
      <c r="AU10" s="1431">
        <v>165.24700000000001</v>
      </c>
      <c r="AV10" s="945"/>
      <c r="AW10" s="945"/>
      <c r="AX10" s="945"/>
      <c r="AY10" s="945"/>
      <c r="AZ10" s="1431">
        <v>256.12200000000001</v>
      </c>
      <c r="BA10" s="945"/>
      <c r="BB10" s="945"/>
      <c r="BC10" s="945"/>
      <c r="BD10" s="945"/>
      <c r="BE10" s="1431">
        <v>217.95400000000001</v>
      </c>
      <c r="BF10" s="231"/>
      <c r="BG10" s="231"/>
      <c r="BH10" s="903"/>
      <c r="BI10" s="81"/>
      <c r="BJ10" s="1514"/>
      <c r="BK10" s="81"/>
      <c r="BL10" s="81"/>
      <c r="BM10" s="81"/>
      <c r="BN10" s="81"/>
      <c r="BO10" s="1514"/>
      <c r="BP10" s="1514"/>
      <c r="BQ10" s="1514"/>
      <c r="BR10" s="1514"/>
      <c r="BS10" s="885"/>
    </row>
    <row r="11" spans="1:71" s="705" customFormat="1" ht="15">
      <c r="A11" s="936" t="s">
        <v>860</v>
      </c>
      <c r="B11" s="914"/>
      <c r="C11" s="1561"/>
      <c r="D11" s="1561"/>
      <c r="E11" s="1561"/>
      <c r="F11" s="1561"/>
      <c r="G11" s="1561"/>
      <c r="H11" s="916"/>
      <c r="I11" s="916"/>
      <c r="J11" s="916"/>
      <c r="K11" s="916"/>
      <c r="L11" s="1561"/>
      <c r="M11" s="916"/>
      <c r="N11" s="916"/>
      <c r="O11" s="916"/>
      <c r="P11" s="916"/>
      <c r="Q11" s="1561"/>
      <c r="R11" s="916"/>
      <c r="S11" s="916"/>
      <c r="T11" s="916"/>
      <c r="U11" s="916"/>
      <c r="V11" s="1561"/>
      <c r="W11" s="916"/>
      <c r="X11" s="916"/>
      <c r="Y11" s="916"/>
      <c r="Z11" s="916"/>
      <c r="AA11" s="1561"/>
      <c r="AB11" s="916"/>
      <c r="AC11" s="916"/>
      <c r="AD11" s="916"/>
      <c r="AE11" s="916"/>
      <c r="AF11" s="1561"/>
      <c r="AG11" s="916"/>
      <c r="AH11" s="916"/>
      <c r="AI11" s="916"/>
      <c r="AJ11" s="916"/>
      <c r="AK11" s="1561"/>
      <c r="AL11" s="916"/>
      <c r="AM11" s="916"/>
      <c r="AN11" s="916"/>
      <c r="AO11" s="916"/>
      <c r="AP11" s="1562">
        <f>SUM(AP7:AP10)</f>
        <v>15220.523000000001</v>
      </c>
      <c r="AQ11" s="947"/>
      <c r="AR11" s="947"/>
      <c r="AS11" s="947"/>
      <c r="AT11" s="947"/>
      <c r="AU11" s="1562">
        <f>SUM(AU7:AU10)</f>
        <v>14462.960999999999</v>
      </c>
      <c r="AV11" s="947"/>
      <c r="AW11" s="947"/>
      <c r="AX11" s="947"/>
      <c r="AY11" s="947"/>
      <c r="AZ11" s="1562">
        <f>SUM(AZ7:AZ10)</f>
        <v>12748.825999999999</v>
      </c>
      <c r="BA11" s="947"/>
      <c r="BB11" s="947"/>
      <c r="BC11" s="947"/>
      <c r="BD11" s="947"/>
      <c r="BE11" s="1562">
        <f>SUM(BE7:BE10)</f>
        <v>15636.618</v>
      </c>
      <c r="BF11" s="916"/>
      <c r="BG11" s="916"/>
      <c r="BH11" s="917"/>
      <c r="BI11" s="916"/>
      <c r="BJ11" s="1561"/>
      <c r="BK11" s="916"/>
      <c r="BL11" s="916"/>
      <c r="BM11" s="916"/>
      <c r="BN11" s="916"/>
      <c r="BO11" s="1561"/>
      <c r="BP11" s="1561"/>
      <c r="BQ11" s="1561"/>
      <c r="BR11" s="1561"/>
      <c r="BS11" s="885"/>
    </row>
    <row r="12" spans="1:71" s="708" customFormat="1" ht="15">
      <c r="A12" s="925" t="s">
        <v>798</v>
      </c>
      <c r="B12" s="927"/>
      <c r="C12" s="1523"/>
      <c r="D12" s="1523"/>
      <c r="E12" s="1523"/>
      <c r="F12" s="1523"/>
      <c r="G12" s="1523"/>
      <c r="H12" s="235"/>
      <c r="I12" s="235"/>
      <c r="J12" s="235"/>
      <c r="K12" s="235"/>
      <c r="L12" s="1523"/>
      <c r="M12" s="235"/>
      <c r="N12" s="235"/>
      <c r="O12" s="235"/>
      <c r="P12" s="235"/>
      <c r="Q12" s="1523"/>
      <c r="R12" s="235"/>
      <c r="S12" s="235"/>
      <c r="T12" s="235"/>
      <c r="U12" s="235"/>
      <c r="V12" s="1523"/>
      <c r="W12" s="235"/>
      <c r="X12" s="235"/>
      <c r="Y12" s="235"/>
      <c r="Z12" s="235"/>
      <c r="AA12" s="1523"/>
      <c r="AB12" s="235"/>
      <c r="AC12" s="235"/>
      <c r="AD12" s="235"/>
      <c r="AE12" s="235"/>
      <c r="AF12" s="1523"/>
      <c r="AG12" s="235"/>
      <c r="AH12" s="235"/>
      <c r="AI12" s="235"/>
      <c r="AJ12" s="235"/>
      <c r="AK12" s="1523"/>
      <c r="AL12" s="235"/>
      <c r="AM12" s="235"/>
      <c r="AN12" s="235"/>
      <c r="AO12" s="235"/>
      <c r="AP12" s="1339">
        <f>SUM(AP8)/AP11</f>
        <v>0.62415969543227912</v>
      </c>
      <c r="AQ12" s="381"/>
      <c r="AR12" s="381"/>
      <c r="AS12" s="381"/>
      <c r="AT12" s="381"/>
      <c r="AU12" s="1339">
        <f>SUM(AU8)/AU11</f>
        <v>0.65686493934402501</v>
      </c>
      <c r="AV12" s="381"/>
      <c r="AW12" s="381"/>
      <c r="AX12" s="381"/>
      <c r="AY12" s="381"/>
      <c r="AZ12" s="1339">
        <f>SUM(AZ8)/AZ11</f>
        <v>0.74518257602700044</v>
      </c>
      <c r="BA12" s="381"/>
      <c r="BB12" s="381"/>
      <c r="BC12" s="381"/>
      <c r="BD12" s="381"/>
      <c r="BE12" s="1339">
        <f>SUM(BE8)/BE11</f>
        <v>0.63953125925311982</v>
      </c>
      <c r="BF12" s="235"/>
      <c r="BG12" s="235"/>
      <c r="BH12" s="928"/>
      <c r="BI12" s="87"/>
      <c r="BJ12" s="1524"/>
      <c r="BK12" s="87"/>
      <c r="BL12" s="87"/>
      <c r="BM12" s="87"/>
      <c r="BN12" s="87"/>
      <c r="BO12" s="1524"/>
      <c r="BP12" s="1524"/>
      <c r="BQ12" s="1524"/>
      <c r="BR12" s="1524"/>
      <c r="BS12" s="929"/>
    </row>
    <row r="13" spans="1:71" s="956" customFormat="1" ht="15">
      <c r="A13" s="926" t="s">
        <v>799</v>
      </c>
      <c r="B13" s="918"/>
      <c r="C13" s="1563"/>
      <c r="D13" s="1563"/>
      <c r="E13" s="1563"/>
      <c r="F13" s="1563"/>
      <c r="G13" s="1563"/>
      <c r="H13" s="920"/>
      <c r="I13" s="920"/>
      <c r="J13" s="920"/>
      <c r="K13" s="920"/>
      <c r="L13" s="1563"/>
      <c r="M13" s="920"/>
      <c r="N13" s="920"/>
      <c r="O13" s="920"/>
      <c r="P13" s="920"/>
      <c r="Q13" s="1563"/>
      <c r="R13" s="920"/>
      <c r="S13" s="920"/>
      <c r="T13" s="920"/>
      <c r="U13" s="920"/>
      <c r="V13" s="1563"/>
      <c r="W13" s="920"/>
      <c r="X13" s="920"/>
      <c r="Y13" s="920"/>
      <c r="Z13" s="920"/>
      <c r="AA13" s="1563"/>
      <c r="AB13" s="920"/>
      <c r="AC13" s="920"/>
      <c r="AD13" s="920"/>
      <c r="AE13" s="920"/>
      <c r="AF13" s="1563"/>
      <c r="AG13" s="920"/>
      <c r="AH13" s="920"/>
      <c r="AI13" s="920"/>
      <c r="AJ13" s="920"/>
      <c r="AK13" s="1563"/>
      <c r="AL13" s="920"/>
      <c r="AM13" s="920"/>
      <c r="AN13" s="920"/>
      <c r="AO13" s="920"/>
      <c r="AP13" s="1564">
        <f>Model!AP721</f>
        <v>57267.338999999993</v>
      </c>
      <c r="AQ13" s="1549">
        <f>Model!AQ721</f>
        <v>56106.959999999999</v>
      </c>
      <c r="AR13" s="1549">
        <f>Model!AR721</f>
        <v>57813.811999999991</v>
      </c>
      <c r="AS13" s="1549">
        <f>Model!AS721</f>
        <v>53535.635999999999</v>
      </c>
      <c r="AT13" s="1549">
        <f>Model!AT721</f>
        <v>60490.350000000013</v>
      </c>
      <c r="AU13" s="1564">
        <f>Model!AU721</f>
        <v>60490.350000000013</v>
      </c>
      <c r="AV13" s="1549">
        <f>Model!AV721</f>
        <v>68755.356000000014</v>
      </c>
      <c r="AW13" s="1549">
        <f>Model!AW721</f>
        <v>66683.952000000005</v>
      </c>
      <c r="AX13" s="1549">
        <f>Model!AX721</f>
        <v>69577.803</v>
      </c>
      <c r="AY13" s="1549">
        <f>Model!AY721</f>
        <v>76204.625</v>
      </c>
      <c r="AZ13" s="1564">
        <f>Model!AZ721</f>
        <v>76204.625</v>
      </c>
      <c r="BA13" s="1549">
        <f>Model!BA721</f>
        <v>84476.625</v>
      </c>
      <c r="BB13" s="1549">
        <f>Model!BB721</f>
        <v>77614.625000000015</v>
      </c>
      <c r="BC13" s="1549">
        <f>Model!BC721</f>
        <v>81866.610000000015</v>
      </c>
      <c r="BD13" s="1549">
        <f>Model!BD721</f>
        <v>93624.784000000029</v>
      </c>
      <c r="BE13" s="1564">
        <f>Model!BE721</f>
        <v>93624.784000000029</v>
      </c>
      <c r="BF13" s="1550">
        <f>Model!BF721</f>
        <v>121527.432</v>
      </c>
      <c r="BG13" s="1550">
        <f>Model!BG721</f>
        <v>122071.16700000002</v>
      </c>
      <c r="BH13" s="1551">
        <f>Model!BH721</f>
        <v>147596.57999999999</v>
      </c>
      <c r="BI13" s="922"/>
      <c r="BJ13" s="1565"/>
      <c r="BK13" s="922"/>
      <c r="BL13" s="922"/>
      <c r="BM13" s="922"/>
      <c r="BN13" s="922"/>
      <c r="BO13" s="1565"/>
      <c r="BP13" s="1565"/>
      <c r="BQ13" s="1565"/>
      <c r="BR13" s="1565"/>
      <c r="BS13" s="924"/>
    </row>
    <row r="14" spans="1:71" s="705" customFormat="1" ht="15">
      <c r="A14" s="905"/>
      <c r="B14" s="888"/>
      <c r="C14" s="1513"/>
      <c r="D14" s="1513"/>
      <c r="E14" s="1513"/>
      <c r="F14" s="1513"/>
      <c r="G14" s="1513"/>
      <c r="H14" s="231"/>
      <c r="I14" s="231"/>
      <c r="J14" s="231"/>
      <c r="K14" s="231"/>
      <c r="L14" s="1513"/>
      <c r="M14" s="231"/>
      <c r="N14" s="231"/>
      <c r="O14" s="231"/>
      <c r="P14" s="231"/>
      <c r="Q14" s="1513"/>
      <c r="R14" s="231"/>
      <c r="S14" s="231"/>
      <c r="T14" s="231"/>
      <c r="U14" s="231"/>
      <c r="V14" s="1513"/>
      <c r="W14" s="231"/>
      <c r="X14" s="231"/>
      <c r="Y14" s="231"/>
      <c r="Z14" s="231"/>
      <c r="AA14" s="1513"/>
      <c r="AB14" s="231"/>
      <c r="AC14" s="231"/>
      <c r="AD14" s="231"/>
      <c r="AE14" s="231"/>
      <c r="AF14" s="1513"/>
      <c r="AG14" s="231"/>
      <c r="AH14" s="231"/>
      <c r="AI14" s="231"/>
      <c r="AJ14" s="231"/>
      <c r="AK14" s="1513"/>
      <c r="AL14" s="231"/>
      <c r="AM14" s="231"/>
      <c r="AN14" s="231"/>
      <c r="AO14" s="231"/>
      <c r="AP14" s="1335"/>
      <c r="AQ14" s="945"/>
      <c r="AR14" s="945"/>
      <c r="AS14" s="945"/>
      <c r="AT14" s="945"/>
      <c r="AU14" s="1335"/>
      <c r="AV14" s="945"/>
      <c r="AW14" s="945"/>
      <c r="AX14" s="945"/>
      <c r="AY14" s="945"/>
      <c r="AZ14" s="1335"/>
      <c r="BA14" s="945"/>
      <c r="BB14" s="945"/>
      <c r="BC14" s="945"/>
      <c r="BD14" s="945"/>
      <c r="BE14" s="1335"/>
      <c r="BF14" s="231"/>
      <c r="BG14" s="231"/>
      <c r="BH14" s="903"/>
      <c r="BI14" s="81"/>
      <c r="BJ14" s="1514"/>
      <c r="BK14" s="81"/>
      <c r="BL14" s="81"/>
      <c r="BM14" s="81"/>
      <c r="BN14" s="81"/>
      <c r="BO14" s="1514"/>
      <c r="BP14" s="1514"/>
      <c r="BQ14" s="1514"/>
      <c r="BR14" s="1514"/>
      <c r="BS14" s="885"/>
    </row>
    <row r="15" spans="1:71" s="705" customFormat="1" ht="15">
      <c r="A15" s="906" t="s">
        <v>800</v>
      </c>
      <c r="B15" s="888"/>
      <c r="C15" s="1513"/>
      <c r="D15" s="1513"/>
      <c r="E15" s="1513"/>
      <c r="F15" s="1513"/>
      <c r="G15" s="1513"/>
      <c r="H15" s="231"/>
      <c r="I15" s="231"/>
      <c r="J15" s="231"/>
      <c r="K15" s="231"/>
      <c r="L15" s="1513"/>
      <c r="M15" s="231"/>
      <c r="N15" s="231"/>
      <c r="O15" s="231"/>
      <c r="P15" s="231"/>
      <c r="Q15" s="1513"/>
      <c r="R15" s="231"/>
      <c r="S15" s="231"/>
      <c r="T15" s="231"/>
      <c r="U15" s="231"/>
      <c r="V15" s="1513"/>
      <c r="W15" s="231"/>
      <c r="X15" s="231"/>
      <c r="Y15" s="231"/>
      <c r="Z15" s="231"/>
      <c r="AA15" s="1513"/>
      <c r="AB15" s="231"/>
      <c r="AC15" s="231"/>
      <c r="AD15" s="231"/>
      <c r="AE15" s="231"/>
      <c r="AF15" s="1513"/>
      <c r="AG15" s="231"/>
      <c r="AH15" s="231"/>
      <c r="AI15" s="231"/>
      <c r="AJ15" s="231"/>
      <c r="AK15" s="1513"/>
      <c r="AL15" s="231"/>
      <c r="AM15" s="231"/>
      <c r="AN15" s="231"/>
      <c r="AO15" s="231"/>
      <c r="AP15" s="1566">
        <v>565.35199999999998</v>
      </c>
      <c r="AQ15" s="439"/>
      <c r="AR15" s="439"/>
      <c r="AS15" s="439"/>
      <c r="AT15" s="439"/>
      <c r="AU15" s="1566">
        <v>532.56500000000005</v>
      </c>
      <c r="AV15" s="439"/>
      <c r="AW15" s="439"/>
      <c r="AX15" s="439"/>
      <c r="AY15" s="439"/>
      <c r="AZ15" s="1566">
        <v>549.06299999999999</v>
      </c>
      <c r="BA15" s="439"/>
      <c r="BB15" s="439"/>
      <c r="BC15" s="439"/>
      <c r="BD15" s="439"/>
      <c r="BE15" s="1566">
        <v>570.09699999999998</v>
      </c>
      <c r="BF15" s="231"/>
      <c r="BG15" s="231"/>
      <c r="BH15" s="903"/>
      <c r="BI15" s="81"/>
      <c r="BJ15" s="1514"/>
      <c r="BK15" s="81"/>
      <c r="BL15" s="81"/>
      <c r="BM15" s="81"/>
      <c r="BN15" s="81"/>
      <c r="BO15" s="1514"/>
      <c r="BP15" s="1514"/>
      <c r="BQ15" s="1514"/>
      <c r="BR15" s="1514"/>
      <c r="BS15" s="885"/>
    </row>
    <row r="16" spans="1:71" s="705" customFormat="1" ht="15">
      <c r="A16" s="906"/>
      <c r="B16" s="888"/>
      <c r="C16" s="1513"/>
      <c r="D16" s="1513"/>
      <c r="E16" s="1513"/>
      <c r="F16" s="1513"/>
      <c r="G16" s="1513"/>
      <c r="H16" s="231"/>
      <c r="I16" s="231"/>
      <c r="J16" s="231"/>
      <c r="K16" s="231"/>
      <c r="L16" s="1513"/>
      <c r="M16" s="231"/>
      <c r="N16" s="231"/>
      <c r="O16" s="231"/>
      <c r="P16" s="231"/>
      <c r="Q16" s="1513"/>
      <c r="R16" s="231"/>
      <c r="S16" s="231"/>
      <c r="T16" s="231"/>
      <c r="U16" s="231"/>
      <c r="V16" s="1513"/>
      <c r="W16" s="231"/>
      <c r="X16" s="231"/>
      <c r="Y16" s="231"/>
      <c r="Z16" s="231"/>
      <c r="AA16" s="1513"/>
      <c r="AB16" s="231"/>
      <c r="AC16" s="231"/>
      <c r="AD16" s="231"/>
      <c r="AE16" s="231"/>
      <c r="AF16" s="1513"/>
      <c r="AG16" s="231"/>
      <c r="AH16" s="231"/>
      <c r="AI16" s="231"/>
      <c r="AJ16" s="231"/>
      <c r="AK16" s="1513"/>
      <c r="AL16" s="231"/>
      <c r="AM16" s="231"/>
      <c r="AN16" s="231"/>
      <c r="AO16" s="231"/>
      <c r="AP16" s="1495"/>
      <c r="AQ16" s="439"/>
      <c r="AR16" s="439"/>
      <c r="AS16" s="439"/>
      <c r="AT16" s="439"/>
      <c r="AU16" s="1495"/>
      <c r="AV16" s="439"/>
      <c r="AW16" s="439"/>
      <c r="AX16" s="439"/>
      <c r="AY16" s="439"/>
      <c r="AZ16" s="1495"/>
      <c r="BA16" s="439"/>
      <c r="BB16" s="439"/>
      <c r="BC16" s="439"/>
      <c r="BD16" s="439"/>
      <c r="BE16" s="1495"/>
      <c r="BF16" s="231"/>
      <c r="BG16" s="231"/>
      <c r="BH16" s="903"/>
      <c r="BI16" s="81"/>
      <c r="BJ16" s="1514"/>
      <c r="BK16" s="81"/>
      <c r="BL16" s="81"/>
      <c r="BM16" s="81"/>
      <c r="BN16" s="81"/>
      <c r="BO16" s="1514"/>
      <c r="BP16" s="1514"/>
      <c r="BQ16" s="1514"/>
      <c r="BR16" s="1514"/>
      <c r="BS16" s="885"/>
    </row>
    <row r="17" spans="1:71" s="705" customFormat="1" ht="15">
      <c r="A17" s="926" t="s">
        <v>801</v>
      </c>
      <c r="B17" s="888"/>
      <c r="C17" s="1513"/>
      <c r="D17" s="1513"/>
      <c r="E17" s="1513"/>
      <c r="F17" s="1513"/>
      <c r="G17" s="1513"/>
      <c r="H17" s="231"/>
      <c r="I17" s="231"/>
      <c r="J17" s="231"/>
      <c r="K17" s="231"/>
      <c r="L17" s="1513"/>
      <c r="M17" s="231"/>
      <c r="N17" s="231"/>
      <c r="O17" s="231"/>
      <c r="P17" s="231"/>
      <c r="Q17" s="1513"/>
      <c r="R17" s="231"/>
      <c r="S17" s="231"/>
      <c r="T17" s="231"/>
      <c r="U17" s="231"/>
      <c r="V17" s="1513"/>
      <c r="W17" s="231"/>
      <c r="X17" s="231"/>
      <c r="Y17" s="231"/>
      <c r="Z17" s="231"/>
      <c r="AA17" s="1513"/>
      <c r="AB17" s="231"/>
      <c r="AC17" s="231"/>
      <c r="AD17" s="231"/>
      <c r="AE17" s="231"/>
      <c r="AF17" s="1513"/>
      <c r="AG17" s="231"/>
      <c r="AH17" s="231"/>
      <c r="AI17" s="231"/>
      <c r="AJ17" s="231"/>
      <c r="AK17" s="1513"/>
      <c r="AL17" s="231"/>
      <c r="AM17" s="231"/>
      <c r="AN17" s="231"/>
      <c r="AO17" s="231"/>
      <c r="AP17" s="1431">
        <v>672.115</v>
      </c>
      <c r="AQ17" s="945"/>
      <c r="AR17" s="945"/>
      <c r="AS17" s="945"/>
      <c r="AT17" s="945"/>
      <c r="AU17" s="1431">
        <v>650</v>
      </c>
      <c r="AV17" s="945"/>
      <c r="AW17" s="945"/>
      <c r="AX17" s="945"/>
      <c r="AY17" s="945"/>
      <c r="AZ17" s="1431">
        <v>672.11599999999999</v>
      </c>
      <c r="BA17" s="945"/>
      <c r="BB17" s="945"/>
      <c r="BC17" s="945"/>
      <c r="BD17" s="945"/>
      <c r="BE17" s="1431">
        <v>697.115</v>
      </c>
      <c r="BF17" s="231"/>
      <c r="BG17" s="231"/>
      <c r="BH17" s="903"/>
      <c r="BI17" s="81"/>
      <c r="BJ17" s="1514"/>
      <c r="BK17" s="81"/>
      <c r="BL17" s="81"/>
      <c r="BM17" s="81"/>
      <c r="BN17" s="81"/>
      <c r="BO17" s="1514"/>
      <c r="BP17" s="1514"/>
      <c r="BQ17" s="1514"/>
      <c r="BR17" s="1514"/>
      <c r="BS17" s="885"/>
    </row>
    <row r="18" spans="1:71" s="705" customFormat="1" ht="15">
      <c r="A18" s="926" t="s">
        <v>802</v>
      </c>
      <c r="B18" s="888"/>
      <c r="C18" s="1513"/>
      <c r="D18" s="1513"/>
      <c r="E18" s="1513"/>
      <c r="F18" s="1513"/>
      <c r="G18" s="1513"/>
      <c r="H18" s="231"/>
      <c r="I18" s="231"/>
      <c r="J18" s="231"/>
      <c r="K18" s="231"/>
      <c r="L18" s="1513"/>
      <c r="M18" s="231"/>
      <c r="N18" s="231"/>
      <c r="O18" s="231"/>
      <c r="P18" s="231"/>
      <c r="Q18" s="1513"/>
      <c r="R18" s="231"/>
      <c r="S18" s="231"/>
      <c r="T18" s="231"/>
      <c r="U18" s="231"/>
      <c r="V18" s="1513"/>
      <c r="W18" s="231"/>
      <c r="X18" s="231"/>
      <c r="Y18" s="231"/>
      <c r="Z18" s="231"/>
      <c r="AA18" s="1513"/>
      <c r="AB18" s="231"/>
      <c r="AC18" s="231"/>
      <c r="AD18" s="231"/>
      <c r="AE18" s="231"/>
      <c r="AF18" s="1513"/>
      <c r="AG18" s="231"/>
      <c r="AH18" s="231"/>
      <c r="AI18" s="231"/>
      <c r="AJ18" s="231"/>
      <c r="AK18" s="1513"/>
      <c r="AL18" s="231"/>
      <c r="AM18" s="231"/>
      <c r="AN18" s="231"/>
      <c r="AO18" s="231"/>
      <c r="AP18" s="1431">
        <v>2275.1370000000002</v>
      </c>
      <c r="AQ18" s="945"/>
      <c r="AR18" s="945"/>
      <c r="AS18" s="945"/>
      <c r="AT18" s="945"/>
      <c r="AU18" s="1431">
        <v>2437.643</v>
      </c>
      <c r="AV18" s="945"/>
      <c r="AW18" s="945"/>
      <c r="AX18" s="945"/>
      <c r="AY18" s="945"/>
      <c r="AZ18" s="1431">
        <v>2531.4450000000002</v>
      </c>
      <c r="BA18" s="945"/>
      <c r="BB18" s="945"/>
      <c r="BC18" s="945"/>
      <c r="BD18" s="945"/>
      <c r="BE18" s="1431">
        <v>2625.2240000000002</v>
      </c>
      <c r="BF18" s="231"/>
      <c r="BG18" s="231"/>
      <c r="BH18" s="903"/>
      <c r="BI18" s="81"/>
      <c r="BJ18" s="1514"/>
      <c r="BK18" s="81"/>
      <c r="BL18" s="81"/>
      <c r="BM18" s="81"/>
      <c r="BN18" s="81"/>
      <c r="BO18" s="1514"/>
      <c r="BP18" s="1514"/>
      <c r="BQ18" s="1514"/>
      <c r="BR18" s="1514"/>
      <c r="BS18" s="885"/>
    </row>
    <row r="19" spans="1:71" s="705" customFormat="1" ht="15">
      <c r="A19" s="926" t="s">
        <v>803</v>
      </c>
      <c r="B19" s="888"/>
      <c r="C19" s="1513"/>
      <c r="D19" s="1513"/>
      <c r="E19" s="1513"/>
      <c r="F19" s="1513"/>
      <c r="G19" s="1513"/>
      <c r="H19" s="231"/>
      <c r="I19" s="231"/>
      <c r="J19" s="231"/>
      <c r="K19" s="231"/>
      <c r="L19" s="1513"/>
      <c r="M19" s="231"/>
      <c r="N19" s="231"/>
      <c r="O19" s="231"/>
      <c r="P19" s="231"/>
      <c r="Q19" s="1513"/>
      <c r="R19" s="231"/>
      <c r="S19" s="231"/>
      <c r="T19" s="231"/>
      <c r="U19" s="231"/>
      <c r="V19" s="1513"/>
      <c r="W19" s="231"/>
      <c r="X19" s="231"/>
      <c r="Y19" s="231"/>
      <c r="Z19" s="231"/>
      <c r="AA19" s="1513"/>
      <c r="AB19" s="231"/>
      <c r="AC19" s="231"/>
      <c r="AD19" s="231"/>
      <c r="AE19" s="231"/>
      <c r="AF19" s="1513"/>
      <c r="AG19" s="231"/>
      <c r="AH19" s="231"/>
      <c r="AI19" s="231"/>
      <c r="AJ19" s="231"/>
      <c r="AK19" s="1513"/>
      <c r="AL19" s="231"/>
      <c r="AM19" s="231"/>
      <c r="AN19" s="231"/>
      <c r="AO19" s="231"/>
      <c r="AP19" s="1431">
        <v>1935.692</v>
      </c>
      <c r="AQ19" s="945"/>
      <c r="AR19" s="945"/>
      <c r="AS19" s="945"/>
      <c r="AT19" s="945"/>
      <c r="AU19" s="1431">
        <v>1579.50</v>
      </c>
      <c r="AV19" s="945"/>
      <c r="AW19" s="945"/>
      <c r="AX19" s="945"/>
      <c r="AY19" s="945"/>
      <c r="AZ19" s="1431">
        <v>867.029</v>
      </c>
      <c r="BA19" s="945"/>
      <c r="BB19" s="945"/>
      <c r="BC19" s="945"/>
      <c r="BD19" s="945"/>
      <c r="BE19" s="1431">
        <v>1861.298</v>
      </c>
      <c r="BF19" s="231"/>
      <c r="BG19" s="231"/>
      <c r="BH19" s="903"/>
      <c r="BI19" s="81"/>
      <c r="BJ19" s="1514"/>
      <c r="BK19" s="81"/>
      <c r="BL19" s="81"/>
      <c r="BM19" s="81"/>
      <c r="BN19" s="81"/>
      <c r="BO19" s="1514"/>
      <c r="BP19" s="1514"/>
      <c r="BQ19" s="1514"/>
      <c r="BR19" s="1514"/>
      <c r="BS19" s="885"/>
    </row>
    <row r="20" spans="1:71" s="705" customFormat="1" ht="15">
      <c r="A20" s="943" t="s">
        <v>804</v>
      </c>
      <c r="B20" s="888"/>
      <c r="C20" s="1513"/>
      <c r="D20" s="1513"/>
      <c r="E20" s="1513"/>
      <c r="F20" s="1513"/>
      <c r="G20" s="1513"/>
      <c r="H20" s="231"/>
      <c r="I20" s="231"/>
      <c r="J20" s="231"/>
      <c r="K20" s="231"/>
      <c r="L20" s="1513"/>
      <c r="M20" s="231"/>
      <c r="N20" s="231"/>
      <c r="O20" s="231"/>
      <c r="P20" s="231"/>
      <c r="Q20" s="1513"/>
      <c r="R20" s="231"/>
      <c r="S20" s="231"/>
      <c r="T20" s="231"/>
      <c r="U20" s="231"/>
      <c r="V20" s="1513"/>
      <c r="W20" s="231"/>
      <c r="X20" s="231"/>
      <c r="Y20" s="231"/>
      <c r="Z20" s="231"/>
      <c r="AA20" s="1513"/>
      <c r="AB20" s="231"/>
      <c r="AC20" s="231"/>
      <c r="AD20" s="231"/>
      <c r="AE20" s="231"/>
      <c r="AF20" s="1513"/>
      <c r="AG20" s="231"/>
      <c r="AH20" s="231"/>
      <c r="AI20" s="231"/>
      <c r="AJ20" s="231"/>
      <c r="AK20" s="1513"/>
      <c r="AL20" s="231"/>
      <c r="AM20" s="231"/>
      <c r="AN20" s="231"/>
      <c r="AO20" s="231"/>
      <c r="AP20" s="1431">
        <v>12.75</v>
      </c>
      <c r="AQ20" s="945"/>
      <c r="AR20" s="945"/>
      <c r="AS20" s="945"/>
      <c r="AT20" s="945"/>
      <c r="AU20" s="1431">
        <v>12</v>
      </c>
      <c r="AV20" s="945"/>
      <c r="AW20" s="945"/>
      <c r="AX20" s="945"/>
      <c r="AY20" s="945"/>
      <c r="AZ20" s="1431">
        <v>12</v>
      </c>
      <c r="BA20" s="945"/>
      <c r="BB20" s="945"/>
      <c r="BC20" s="945"/>
      <c r="BD20" s="945"/>
      <c r="BE20" s="1431">
        <v>12</v>
      </c>
      <c r="BF20" s="231"/>
      <c r="BG20" s="231"/>
      <c r="BH20" s="903"/>
      <c r="BI20" s="81"/>
      <c r="BJ20" s="1514"/>
      <c r="BK20" s="81"/>
      <c r="BL20" s="81"/>
      <c r="BM20" s="81"/>
      <c r="BN20" s="81"/>
      <c r="BO20" s="1514"/>
      <c r="BP20" s="1514"/>
      <c r="BQ20" s="1514"/>
      <c r="BR20" s="1514"/>
      <c r="BS20" s="885"/>
    </row>
    <row r="21" spans="1:71" s="705" customFormat="1" ht="15">
      <c r="A21" s="936" t="s">
        <v>861</v>
      </c>
      <c r="B21" s="914"/>
      <c r="C21" s="1561"/>
      <c r="D21" s="1561"/>
      <c r="E21" s="1561"/>
      <c r="F21" s="1561"/>
      <c r="G21" s="1561"/>
      <c r="H21" s="916"/>
      <c r="I21" s="916"/>
      <c r="J21" s="916"/>
      <c r="K21" s="916"/>
      <c r="L21" s="1561"/>
      <c r="M21" s="916"/>
      <c r="N21" s="916"/>
      <c r="O21" s="916"/>
      <c r="P21" s="916"/>
      <c r="Q21" s="1561"/>
      <c r="R21" s="916"/>
      <c r="S21" s="916"/>
      <c r="T21" s="916"/>
      <c r="U21" s="916"/>
      <c r="V21" s="1561"/>
      <c r="W21" s="916"/>
      <c r="X21" s="916"/>
      <c r="Y21" s="916"/>
      <c r="Z21" s="916"/>
      <c r="AA21" s="1561"/>
      <c r="AB21" s="916"/>
      <c r="AC21" s="916"/>
      <c r="AD21" s="916"/>
      <c r="AE21" s="916"/>
      <c r="AF21" s="1561"/>
      <c r="AG21" s="916"/>
      <c r="AH21" s="916"/>
      <c r="AI21" s="916"/>
      <c r="AJ21" s="916"/>
      <c r="AK21" s="1561"/>
      <c r="AL21" s="916"/>
      <c r="AM21" s="916"/>
      <c r="AN21" s="916"/>
      <c r="AO21" s="916"/>
      <c r="AP21" s="1562">
        <f>SUM(AP17:AP20)</f>
        <v>4895.6940000000004</v>
      </c>
      <c r="AQ21" s="947"/>
      <c r="AR21" s="947"/>
      <c r="AS21" s="947"/>
      <c r="AT21" s="947"/>
      <c r="AU21" s="1562">
        <f>SUM(AU17:AU20)</f>
        <v>4679.143</v>
      </c>
      <c r="AV21" s="947"/>
      <c r="AW21" s="947"/>
      <c r="AX21" s="947"/>
      <c r="AY21" s="947"/>
      <c r="AZ21" s="1562">
        <f>SUM(AZ17:AZ20)</f>
        <v>4082.59</v>
      </c>
      <c r="BA21" s="947"/>
      <c r="BB21" s="947"/>
      <c r="BC21" s="947"/>
      <c r="BD21" s="947"/>
      <c r="BE21" s="1562">
        <f>SUM(BE17:BE20)</f>
        <v>5195.6369999999997</v>
      </c>
      <c r="BF21" s="916"/>
      <c r="BG21" s="916"/>
      <c r="BH21" s="917"/>
      <c r="BI21" s="916"/>
      <c r="BJ21" s="1561"/>
      <c r="BK21" s="916"/>
      <c r="BL21" s="916"/>
      <c r="BM21" s="916"/>
      <c r="BN21" s="916"/>
      <c r="BO21" s="1561"/>
      <c r="BP21" s="1561"/>
      <c r="BQ21" s="1561"/>
      <c r="BR21" s="1561"/>
      <c r="BS21" s="885"/>
    </row>
    <row r="22" spans="1:71" s="708" customFormat="1" ht="15">
      <c r="A22" s="925" t="s">
        <v>805</v>
      </c>
      <c r="B22" s="927"/>
      <c r="C22" s="1523"/>
      <c r="D22" s="1523"/>
      <c r="E22" s="1523"/>
      <c r="F22" s="1523"/>
      <c r="G22" s="1523"/>
      <c r="H22" s="235"/>
      <c r="I22" s="235"/>
      <c r="J22" s="235"/>
      <c r="K22" s="235"/>
      <c r="L22" s="1523"/>
      <c r="M22" s="235"/>
      <c r="N22" s="235"/>
      <c r="O22" s="235"/>
      <c r="P22" s="235"/>
      <c r="Q22" s="1523"/>
      <c r="R22" s="235"/>
      <c r="S22" s="235"/>
      <c r="T22" s="235"/>
      <c r="U22" s="235"/>
      <c r="V22" s="1523"/>
      <c r="W22" s="235"/>
      <c r="X22" s="235"/>
      <c r="Y22" s="235"/>
      <c r="Z22" s="235"/>
      <c r="AA22" s="1523"/>
      <c r="AB22" s="235"/>
      <c r="AC22" s="235"/>
      <c r="AD22" s="235"/>
      <c r="AE22" s="235"/>
      <c r="AF22" s="1523"/>
      <c r="AG22" s="235"/>
      <c r="AH22" s="235"/>
      <c r="AI22" s="235"/>
      <c r="AJ22" s="235"/>
      <c r="AK22" s="1523"/>
      <c r="AL22" s="235"/>
      <c r="AM22" s="235"/>
      <c r="AN22" s="235"/>
      <c r="AO22" s="235"/>
      <c r="AP22" s="1339">
        <f>SUM(AP18)/AP21</f>
        <v>0.464722059834622</v>
      </c>
      <c r="AQ22" s="381"/>
      <c r="AR22" s="381"/>
      <c r="AS22" s="381"/>
      <c r="AT22" s="381"/>
      <c r="AU22" s="1339">
        <f>SUM(AU18)/AU21</f>
        <v>0.52095928677537751</v>
      </c>
      <c r="AV22" s="381"/>
      <c r="AW22" s="381"/>
      <c r="AX22" s="381"/>
      <c r="AY22" s="381"/>
      <c r="AZ22" s="1339">
        <f>SUM(AZ18)/AZ21</f>
        <v>0.62005859025765508</v>
      </c>
      <c r="BA22" s="381"/>
      <c r="BB22" s="381"/>
      <c r="BC22" s="381"/>
      <c r="BD22" s="381"/>
      <c r="BE22" s="1339">
        <f>SUM(BE18)/BE21</f>
        <v>0.50527471414958369</v>
      </c>
      <c r="BF22" s="235"/>
      <c r="BG22" s="235"/>
      <c r="BH22" s="928"/>
      <c r="BI22" s="87"/>
      <c r="BJ22" s="1524"/>
      <c r="BK22" s="87"/>
      <c r="BL22" s="87"/>
      <c r="BM22" s="87"/>
      <c r="BN22" s="87"/>
      <c r="BO22" s="1524"/>
      <c r="BP22" s="1524"/>
      <c r="BQ22" s="1524"/>
      <c r="BR22" s="1524"/>
      <c r="BS22" s="929"/>
    </row>
    <row r="23" spans="1:71" s="705" customFormat="1" ht="15">
      <c r="A23" s="906"/>
      <c r="B23" s="888"/>
      <c r="C23" s="1513"/>
      <c r="D23" s="1513"/>
      <c r="E23" s="1513"/>
      <c r="F23" s="1513"/>
      <c r="G23" s="1513"/>
      <c r="H23" s="231"/>
      <c r="I23" s="231"/>
      <c r="J23" s="231"/>
      <c r="K23" s="231"/>
      <c r="L23" s="1513"/>
      <c r="M23" s="231"/>
      <c r="N23" s="231"/>
      <c r="O23" s="231"/>
      <c r="P23" s="231"/>
      <c r="Q23" s="1513"/>
      <c r="R23" s="231"/>
      <c r="S23" s="231"/>
      <c r="T23" s="231"/>
      <c r="U23" s="231"/>
      <c r="V23" s="1513"/>
      <c r="W23" s="231"/>
      <c r="X23" s="231"/>
      <c r="Y23" s="231"/>
      <c r="Z23" s="231"/>
      <c r="AA23" s="1513"/>
      <c r="AB23" s="231"/>
      <c r="AC23" s="231"/>
      <c r="AD23" s="231"/>
      <c r="AE23" s="231"/>
      <c r="AF23" s="1513"/>
      <c r="AG23" s="231"/>
      <c r="AH23" s="231"/>
      <c r="AI23" s="231"/>
      <c r="AJ23" s="231"/>
      <c r="AK23" s="1513"/>
      <c r="AL23" s="231"/>
      <c r="AM23" s="231"/>
      <c r="AN23" s="231"/>
      <c r="AO23" s="231"/>
      <c r="AP23" s="1495"/>
      <c r="AQ23" s="439"/>
      <c r="AR23" s="439"/>
      <c r="AS23" s="439"/>
      <c r="AT23" s="439"/>
      <c r="AU23" s="1495"/>
      <c r="AV23" s="439"/>
      <c r="AW23" s="439"/>
      <c r="AX23" s="439"/>
      <c r="AY23" s="439"/>
      <c r="AZ23" s="1495"/>
      <c r="BA23" s="439"/>
      <c r="BB23" s="439"/>
      <c r="BC23" s="439"/>
      <c r="BD23" s="439"/>
      <c r="BE23" s="1495"/>
      <c r="BF23" s="231"/>
      <c r="BG23" s="231"/>
      <c r="BH23" s="903"/>
      <c r="BI23" s="81"/>
      <c r="BJ23" s="1514"/>
      <c r="BK23" s="81"/>
      <c r="BL23" s="81"/>
      <c r="BM23" s="81"/>
      <c r="BN23" s="81"/>
      <c r="BO23" s="1514"/>
      <c r="BP23" s="1514"/>
      <c r="BQ23" s="1514"/>
      <c r="BR23" s="1514"/>
      <c r="BS23" s="885"/>
    </row>
    <row r="24" spans="1:71" s="705" customFormat="1" ht="15">
      <c r="A24" s="906" t="s">
        <v>806</v>
      </c>
      <c r="B24" s="888"/>
      <c r="C24" s="1513"/>
      <c r="D24" s="1513"/>
      <c r="E24" s="1513"/>
      <c r="F24" s="1513"/>
      <c r="G24" s="1513"/>
      <c r="H24" s="231"/>
      <c r="I24" s="231"/>
      <c r="J24" s="231"/>
      <c r="K24" s="231"/>
      <c r="L24" s="1513"/>
      <c r="M24" s="231"/>
      <c r="N24" s="231"/>
      <c r="O24" s="231"/>
      <c r="P24" s="231"/>
      <c r="Q24" s="1513"/>
      <c r="R24" s="231"/>
      <c r="S24" s="231"/>
      <c r="T24" s="231"/>
      <c r="U24" s="231"/>
      <c r="V24" s="1513"/>
      <c r="W24" s="231"/>
      <c r="X24" s="231"/>
      <c r="Y24" s="231"/>
      <c r="Z24" s="231"/>
      <c r="AA24" s="1513"/>
      <c r="AB24" s="231"/>
      <c r="AC24" s="231"/>
      <c r="AD24" s="231"/>
      <c r="AE24" s="231"/>
      <c r="AF24" s="1513"/>
      <c r="AG24" s="231"/>
      <c r="AH24" s="231"/>
      <c r="AI24" s="231"/>
      <c r="AJ24" s="231"/>
      <c r="AK24" s="1513"/>
      <c r="AL24" s="231"/>
      <c r="AM24" s="231"/>
      <c r="AN24" s="231"/>
      <c r="AO24" s="231"/>
      <c r="AP24" s="1566">
        <v>420.725</v>
      </c>
      <c r="AQ24" s="439"/>
      <c r="AR24" s="439"/>
      <c r="AS24" s="439"/>
      <c r="AT24" s="439"/>
      <c r="AU24" s="1566">
        <v>399.21899999999999</v>
      </c>
      <c r="AV24" s="439"/>
      <c r="AW24" s="439"/>
      <c r="AX24" s="439"/>
      <c r="AY24" s="439"/>
      <c r="AZ24" s="1566">
        <v>420.67899999999997</v>
      </c>
      <c r="BA24" s="439"/>
      <c r="BB24" s="439"/>
      <c r="BC24" s="439"/>
      <c r="BD24" s="439"/>
      <c r="BE24" s="1566">
        <v>400.335</v>
      </c>
      <c r="BF24" s="231"/>
      <c r="BG24" s="231"/>
      <c r="BH24" s="903"/>
      <c r="BI24" s="81"/>
      <c r="BJ24" s="1514"/>
      <c r="BK24" s="81"/>
      <c r="BL24" s="81"/>
      <c r="BM24" s="81"/>
      <c r="BN24" s="81"/>
      <c r="BO24" s="1514"/>
      <c r="BP24" s="1514"/>
      <c r="BQ24" s="1514"/>
      <c r="BR24" s="1514"/>
      <c r="BS24" s="885"/>
    </row>
    <row r="25" spans="1:71" s="705" customFormat="1" ht="15">
      <c r="A25" s="904"/>
      <c r="B25" s="888"/>
      <c r="C25" s="1513"/>
      <c r="D25" s="1513"/>
      <c r="E25" s="1513"/>
      <c r="F25" s="1513"/>
      <c r="G25" s="1513"/>
      <c r="H25" s="231"/>
      <c r="I25" s="231"/>
      <c r="J25" s="231"/>
      <c r="K25" s="231"/>
      <c r="L25" s="1513"/>
      <c r="M25" s="231"/>
      <c r="N25" s="231"/>
      <c r="O25" s="231"/>
      <c r="P25" s="231"/>
      <c r="Q25" s="1513"/>
      <c r="R25" s="231"/>
      <c r="S25" s="231"/>
      <c r="T25" s="231"/>
      <c r="U25" s="231"/>
      <c r="V25" s="1513"/>
      <c r="W25" s="231"/>
      <c r="X25" s="231"/>
      <c r="Y25" s="231"/>
      <c r="Z25" s="231"/>
      <c r="AA25" s="1513"/>
      <c r="AB25" s="231"/>
      <c r="AC25" s="231"/>
      <c r="AD25" s="231"/>
      <c r="AE25" s="231"/>
      <c r="AF25" s="1513"/>
      <c r="AG25" s="231"/>
      <c r="AH25" s="231"/>
      <c r="AI25" s="231"/>
      <c r="AJ25" s="231"/>
      <c r="AK25" s="1513"/>
      <c r="AL25" s="231"/>
      <c r="AM25" s="231"/>
      <c r="AN25" s="231"/>
      <c r="AO25" s="231"/>
      <c r="AP25" s="1495"/>
      <c r="AQ25" s="439"/>
      <c r="AR25" s="439"/>
      <c r="AS25" s="439"/>
      <c r="AT25" s="439"/>
      <c r="AU25" s="1495"/>
      <c r="AV25" s="439"/>
      <c r="AW25" s="439"/>
      <c r="AX25" s="439"/>
      <c r="AY25" s="439"/>
      <c r="AZ25" s="1495"/>
      <c r="BA25" s="439"/>
      <c r="BB25" s="439"/>
      <c r="BC25" s="439"/>
      <c r="BD25" s="439"/>
      <c r="BE25" s="1495"/>
      <c r="BF25" s="231"/>
      <c r="BG25" s="231"/>
      <c r="BH25" s="903"/>
      <c r="BI25" s="81"/>
      <c r="BJ25" s="1514"/>
      <c r="BK25" s="81"/>
      <c r="BL25" s="81"/>
      <c r="BM25" s="81"/>
      <c r="BN25" s="81"/>
      <c r="BO25" s="1514"/>
      <c r="BP25" s="1514"/>
      <c r="BQ25" s="1514"/>
      <c r="BR25" s="1514"/>
      <c r="BS25" s="885"/>
    </row>
    <row r="26" spans="1:71" s="705" customFormat="1" ht="15">
      <c r="A26" s="926" t="s">
        <v>807</v>
      </c>
      <c r="B26" s="888"/>
      <c r="C26" s="1513"/>
      <c r="D26" s="1513"/>
      <c r="E26" s="1513"/>
      <c r="F26" s="1513"/>
      <c r="G26" s="1513"/>
      <c r="H26" s="231"/>
      <c r="I26" s="231"/>
      <c r="J26" s="231"/>
      <c r="K26" s="231"/>
      <c r="L26" s="1513"/>
      <c r="M26" s="231"/>
      <c r="N26" s="231"/>
      <c r="O26" s="231"/>
      <c r="P26" s="231"/>
      <c r="Q26" s="1513"/>
      <c r="R26" s="231"/>
      <c r="S26" s="231"/>
      <c r="T26" s="231"/>
      <c r="U26" s="231"/>
      <c r="V26" s="1513"/>
      <c r="W26" s="231"/>
      <c r="X26" s="231"/>
      <c r="Y26" s="231"/>
      <c r="Z26" s="231"/>
      <c r="AA26" s="1513"/>
      <c r="AB26" s="231"/>
      <c r="AC26" s="231"/>
      <c r="AD26" s="231"/>
      <c r="AE26" s="231"/>
      <c r="AF26" s="1513"/>
      <c r="AG26" s="231"/>
      <c r="AH26" s="231"/>
      <c r="AI26" s="231"/>
      <c r="AJ26" s="231"/>
      <c r="AK26" s="1513"/>
      <c r="AL26" s="231"/>
      <c r="AM26" s="231"/>
      <c r="AN26" s="231"/>
      <c r="AO26" s="231"/>
      <c r="AP26" s="1495"/>
      <c r="AQ26" s="439"/>
      <c r="AR26" s="439"/>
      <c r="AS26" s="439"/>
      <c r="AT26" s="439"/>
      <c r="AU26" s="1431">
        <v>76.923000000000002</v>
      </c>
      <c r="AV26" s="439"/>
      <c r="AW26" s="439"/>
      <c r="AX26" s="439"/>
      <c r="AY26" s="439"/>
      <c r="AZ26" s="1495"/>
      <c r="BA26" s="439"/>
      <c r="BB26" s="439"/>
      <c r="BC26" s="439"/>
      <c r="BD26" s="439"/>
      <c r="BE26" s="1495"/>
      <c r="BF26" s="231"/>
      <c r="BG26" s="231"/>
      <c r="BH26" s="903"/>
      <c r="BI26" s="81"/>
      <c r="BJ26" s="1514"/>
      <c r="BK26" s="81"/>
      <c r="BL26" s="81"/>
      <c r="BM26" s="81"/>
      <c r="BN26" s="81"/>
      <c r="BO26" s="1514"/>
      <c r="BP26" s="1514"/>
      <c r="BQ26" s="1514"/>
      <c r="BR26" s="1514"/>
      <c r="BS26" s="885"/>
    </row>
    <row r="27" spans="1:71" s="705" customFormat="1" ht="15">
      <c r="A27" s="926" t="s">
        <v>808</v>
      </c>
      <c r="B27" s="888"/>
      <c r="C27" s="1513"/>
      <c r="D27" s="1513"/>
      <c r="E27" s="1513"/>
      <c r="F27" s="1513"/>
      <c r="G27" s="1513"/>
      <c r="H27" s="231"/>
      <c r="I27" s="231"/>
      <c r="J27" s="231"/>
      <c r="K27" s="231"/>
      <c r="L27" s="1513"/>
      <c r="M27" s="231"/>
      <c r="N27" s="231"/>
      <c r="O27" s="231"/>
      <c r="P27" s="231"/>
      <c r="Q27" s="1513"/>
      <c r="R27" s="231"/>
      <c r="S27" s="231"/>
      <c r="T27" s="231"/>
      <c r="U27" s="231"/>
      <c r="V27" s="1513"/>
      <c r="W27" s="231"/>
      <c r="X27" s="231"/>
      <c r="Y27" s="231"/>
      <c r="Z27" s="231"/>
      <c r="AA27" s="1513"/>
      <c r="AB27" s="231"/>
      <c r="AC27" s="231"/>
      <c r="AD27" s="231"/>
      <c r="AE27" s="231"/>
      <c r="AF27" s="1513"/>
      <c r="AG27" s="231"/>
      <c r="AH27" s="231"/>
      <c r="AI27" s="231"/>
      <c r="AJ27" s="231"/>
      <c r="AK27" s="1513"/>
      <c r="AL27" s="231"/>
      <c r="AM27" s="231"/>
      <c r="AN27" s="231"/>
      <c r="AO27" s="231"/>
      <c r="AP27" s="1495"/>
      <c r="AQ27" s="439"/>
      <c r="AR27" s="439"/>
      <c r="AS27" s="439"/>
      <c r="AT27" s="439"/>
      <c r="AU27" s="1431">
        <v>300</v>
      </c>
      <c r="AV27" s="439"/>
      <c r="AW27" s="439"/>
      <c r="AX27" s="439"/>
      <c r="AY27" s="439"/>
      <c r="AZ27" s="1495"/>
      <c r="BA27" s="439"/>
      <c r="BB27" s="439"/>
      <c r="BC27" s="439"/>
      <c r="BD27" s="439"/>
      <c r="BE27" s="1495"/>
      <c r="BF27" s="231"/>
      <c r="BG27" s="231"/>
      <c r="BH27" s="903"/>
      <c r="BI27" s="81"/>
      <c r="BJ27" s="1514"/>
      <c r="BK27" s="81"/>
      <c r="BL27" s="81"/>
      <c r="BM27" s="81"/>
      <c r="BN27" s="81"/>
      <c r="BO27" s="1514"/>
      <c r="BP27" s="1514"/>
      <c r="BQ27" s="1514"/>
      <c r="BR27" s="1514"/>
      <c r="BS27" s="885"/>
    </row>
    <row r="28" spans="1:71" s="705" customFormat="1" ht="15">
      <c r="A28" s="926" t="s">
        <v>809</v>
      </c>
      <c r="B28" s="888"/>
      <c r="C28" s="1513"/>
      <c r="D28" s="1513"/>
      <c r="E28" s="1513"/>
      <c r="F28" s="1513"/>
      <c r="G28" s="1513"/>
      <c r="H28" s="231"/>
      <c r="I28" s="231"/>
      <c r="J28" s="231"/>
      <c r="K28" s="231"/>
      <c r="L28" s="1513"/>
      <c r="M28" s="231"/>
      <c r="N28" s="231"/>
      <c r="O28" s="231"/>
      <c r="P28" s="231"/>
      <c r="Q28" s="1513"/>
      <c r="R28" s="231"/>
      <c r="S28" s="231"/>
      <c r="T28" s="231"/>
      <c r="U28" s="231"/>
      <c r="V28" s="1513"/>
      <c r="W28" s="231"/>
      <c r="X28" s="231"/>
      <c r="Y28" s="231"/>
      <c r="Z28" s="231"/>
      <c r="AA28" s="1513"/>
      <c r="AB28" s="231"/>
      <c r="AC28" s="231"/>
      <c r="AD28" s="231"/>
      <c r="AE28" s="231"/>
      <c r="AF28" s="1513"/>
      <c r="AG28" s="231"/>
      <c r="AH28" s="231"/>
      <c r="AI28" s="231"/>
      <c r="AJ28" s="231"/>
      <c r="AK28" s="1513"/>
      <c r="AL28" s="231"/>
      <c r="AM28" s="231"/>
      <c r="AN28" s="231"/>
      <c r="AO28" s="231"/>
      <c r="AP28" s="1495"/>
      <c r="AQ28" s="439"/>
      <c r="AR28" s="439"/>
      <c r="AS28" s="439"/>
      <c r="AT28" s="439"/>
      <c r="AU28" s="1431">
        <v>2500.08</v>
      </c>
      <c r="AV28" s="439"/>
      <c r="AW28" s="439"/>
      <c r="AX28" s="439"/>
      <c r="AY28" s="439"/>
      <c r="AZ28" s="1495"/>
      <c r="BA28" s="439"/>
      <c r="BB28" s="439"/>
      <c r="BC28" s="439"/>
      <c r="BD28" s="439"/>
      <c r="BE28" s="1495"/>
      <c r="BF28" s="231"/>
      <c r="BG28" s="231"/>
      <c r="BH28" s="903"/>
      <c r="BI28" s="81"/>
      <c r="BJ28" s="1514"/>
      <c r="BK28" s="81"/>
      <c r="BL28" s="81"/>
      <c r="BM28" s="81"/>
      <c r="BN28" s="81"/>
      <c r="BO28" s="1514"/>
      <c r="BP28" s="1514"/>
      <c r="BQ28" s="1514"/>
      <c r="BR28" s="1514"/>
      <c r="BS28" s="885"/>
    </row>
    <row r="29" spans="1:71" s="705" customFormat="1" ht="15">
      <c r="A29" s="926" t="s">
        <v>810</v>
      </c>
      <c r="B29" s="888"/>
      <c r="C29" s="1513"/>
      <c r="D29" s="1513"/>
      <c r="E29" s="1513"/>
      <c r="F29" s="1513"/>
      <c r="G29" s="1513"/>
      <c r="H29" s="231"/>
      <c r="I29" s="231"/>
      <c r="J29" s="231"/>
      <c r="K29" s="231"/>
      <c r="L29" s="1513"/>
      <c r="M29" s="231"/>
      <c r="N29" s="231"/>
      <c r="O29" s="231"/>
      <c r="P29" s="231"/>
      <c r="Q29" s="1513"/>
      <c r="R29" s="231"/>
      <c r="S29" s="231"/>
      <c r="T29" s="231"/>
      <c r="U29" s="231"/>
      <c r="V29" s="1513"/>
      <c r="W29" s="231"/>
      <c r="X29" s="231"/>
      <c r="Y29" s="231"/>
      <c r="Z29" s="231"/>
      <c r="AA29" s="1513"/>
      <c r="AB29" s="231"/>
      <c r="AC29" s="231"/>
      <c r="AD29" s="231"/>
      <c r="AE29" s="231"/>
      <c r="AF29" s="1513"/>
      <c r="AG29" s="231"/>
      <c r="AH29" s="231"/>
      <c r="AI29" s="231"/>
      <c r="AJ29" s="231"/>
      <c r="AK29" s="1513"/>
      <c r="AL29" s="231"/>
      <c r="AM29" s="231"/>
      <c r="AN29" s="231"/>
      <c r="AO29" s="231"/>
      <c r="AP29" s="1495"/>
      <c r="AQ29" s="439"/>
      <c r="AR29" s="439"/>
      <c r="AS29" s="439"/>
      <c r="AT29" s="439"/>
      <c r="AU29" s="1431">
        <v>124.61499999999999</v>
      </c>
      <c r="AV29" s="439"/>
      <c r="AW29" s="439"/>
      <c r="AX29" s="439"/>
      <c r="AY29" s="439"/>
      <c r="AZ29" s="1495"/>
      <c r="BA29" s="439"/>
      <c r="BB29" s="439"/>
      <c r="BC29" s="439"/>
      <c r="BD29" s="439"/>
      <c r="BE29" s="1495"/>
      <c r="BF29" s="231"/>
      <c r="BG29" s="231"/>
      <c r="BH29" s="903"/>
      <c r="BI29" s="81"/>
      <c r="BJ29" s="1514"/>
      <c r="BK29" s="81"/>
      <c r="BL29" s="81"/>
      <c r="BM29" s="81"/>
      <c r="BN29" s="81"/>
      <c r="BO29" s="1514"/>
      <c r="BP29" s="1514"/>
      <c r="BQ29" s="1514"/>
      <c r="BR29" s="1514"/>
      <c r="BS29" s="885"/>
    </row>
    <row r="30" spans="1:71" s="705" customFormat="1" ht="15">
      <c r="A30" s="926" t="s">
        <v>811</v>
      </c>
      <c r="B30" s="888"/>
      <c r="C30" s="1513"/>
      <c r="D30" s="1513"/>
      <c r="E30" s="1513"/>
      <c r="F30" s="1513"/>
      <c r="G30" s="1513"/>
      <c r="H30" s="231"/>
      <c r="I30" s="231"/>
      <c r="J30" s="231"/>
      <c r="K30" s="231"/>
      <c r="L30" s="1513"/>
      <c r="M30" s="231"/>
      <c r="N30" s="231"/>
      <c r="O30" s="231"/>
      <c r="P30" s="231"/>
      <c r="Q30" s="1513"/>
      <c r="R30" s="231"/>
      <c r="S30" s="231"/>
      <c r="T30" s="231"/>
      <c r="U30" s="231"/>
      <c r="V30" s="1513"/>
      <c r="W30" s="231"/>
      <c r="X30" s="231"/>
      <c r="Y30" s="231"/>
      <c r="Z30" s="231"/>
      <c r="AA30" s="1513"/>
      <c r="AB30" s="231"/>
      <c r="AC30" s="231"/>
      <c r="AD30" s="231"/>
      <c r="AE30" s="231"/>
      <c r="AF30" s="1513"/>
      <c r="AG30" s="231"/>
      <c r="AH30" s="231"/>
      <c r="AI30" s="231"/>
      <c r="AJ30" s="231"/>
      <c r="AK30" s="1513"/>
      <c r="AL30" s="231"/>
      <c r="AM30" s="231"/>
      <c r="AN30" s="231"/>
      <c r="AO30" s="231"/>
      <c r="AP30" s="1495"/>
      <c r="AQ30" s="439"/>
      <c r="AR30" s="439"/>
      <c r="AS30" s="439"/>
      <c r="AT30" s="439"/>
      <c r="AU30" s="1431">
        <v>11.154</v>
      </c>
      <c r="AV30" s="439"/>
      <c r="AW30" s="439"/>
      <c r="AX30" s="439"/>
      <c r="AY30" s="439"/>
      <c r="AZ30" s="1495"/>
      <c r="BA30" s="439"/>
      <c r="BB30" s="439"/>
      <c r="BC30" s="439"/>
      <c r="BD30" s="439"/>
      <c r="BE30" s="1495"/>
      <c r="BF30" s="231"/>
      <c r="BG30" s="231"/>
      <c r="BH30" s="903"/>
      <c r="BI30" s="81"/>
      <c r="BJ30" s="1514"/>
      <c r="BK30" s="81"/>
      <c r="BL30" s="81"/>
      <c r="BM30" s="81"/>
      <c r="BN30" s="81"/>
      <c r="BO30" s="1514"/>
      <c r="BP30" s="1514"/>
      <c r="BQ30" s="1514"/>
      <c r="BR30" s="1514"/>
      <c r="BS30" s="885"/>
    </row>
    <row r="31" spans="1:71" s="705" customFormat="1" ht="15">
      <c r="A31" s="936" t="s">
        <v>862</v>
      </c>
      <c r="B31" s="914"/>
      <c r="C31" s="1561"/>
      <c r="D31" s="1561"/>
      <c r="E31" s="1561"/>
      <c r="F31" s="1561"/>
      <c r="G31" s="1561"/>
      <c r="H31" s="916"/>
      <c r="I31" s="916"/>
      <c r="J31" s="916"/>
      <c r="K31" s="916"/>
      <c r="L31" s="1561"/>
      <c r="M31" s="916"/>
      <c r="N31" s="916"/>
      <c r="O31" s="916"/>
      <c r="P31" s="916"/>
      <c r="Q31" s="1561"/>
      <c r="R31" s="916"/>
      <c r="S31" s="916"/>
      <c r="T31" s="916"/>
      <c r="U31" s="916"/>
      <c r="V31" s="1561"/>
      <c r="W31" s="916"/>
      <c r="X31" s="916"/>
      <c r="Y31" s="916"/>
      <c r="Z31" s="916"/>
      <c r="AA31" s="1561"/>
      <c r="AB31" s="916"/>
      <c r="AC31" s="916"/>
      <c r="AD31" s="916"/>
      <c r="AE31" s="916"/>
      <c r="AF31" s="1561"/>
      <c r="AG31" s="916"/>
      <c r="AH31" s="916"/>
      <c r="AI31" s="916"/>
      <c r="AJ31" s="916"/>
      <c r="AK31" s="1561"/>
      <c r="AL31" s="916"/>
      <c r="AM31" s="916"/>
      <c r="AN31" s="916"/>
      <c r="AO31" s="916"/>
      <c r="AP31" s="1562"/>
      <c r="AQ31" s="947"/>
      <c r="AR31" s="947"/>
      <c r="AS31" s="947"/>
      <c r="AT31" s="947"/>
      <c r="AU31" s="1562">
        <f>SUM(AU26:AU30)</f>
        <v>3012.7719999999995</v>
      </c>
      <c r="AV31" s="947"/>
      <c r="AW31" s="947"/>
      <c r="AX31" s="947"/>
      <c r="AY31" s="947"/>
      <c r="AZ31" s="1562"/>
      <c r="BA31" s="947"/>
      <c r="BB31" s="947"/>
      <c r="BC31" s="947"/>
      <c r="BD31" s="947"/>
      <c r="BE31" s="1562"/>
      <c r="BF31" s="916"/>
      <c r="BG31" s="916"/>
      <c r="BH31" s="917"/>
      <c r="BI31" s="916"/>
      <c r="BJ31" s="1561"/>
      <c r="BK31" s="916"/>
      <c r="BL31" s="916"/>
      <c r="BM31" s="916"/>
      <c r="BN31" s="916"/>
      <c r="BO31" s="1561"/>
      <c r="BP31" s="1561"/>
      <c r="BQ31" s="1561"/>
      <c r="BR31" s="1561"/>
      <c r="BS31" s="885"/>
    </row>
    <row r="32" spans="1:71" s="708" customFormat="1" ht="15">
      <c r="A32" s="925" t="s">
        <v>812</v>
      </c>
      <c r="B32" s="927"/>
      <c r="C32" s="1523"/>
      <c r="D32" s="1523"/>
      <c r="E32" s="1523"/>
      <c r="F32" s="1523"/>
      <c r="G32" s="1523"/>
      <c r="H32" s="235"/>
      <c r="I32" s="235"/>
      <c r="J32" s="235"/>
      <c r="K32" s="235"/>
      <c r="L32" s="1523"/>
      <c r="M32" s="235"/>
      <c r="N32" s="235"/>
      <c r="O32" s="235"/>
      <c r="P32" s="235"/>
      <c r="Q32" s="1523"/>
      <c r="R32" s="235"/>
      <c r="S32" s="235"/>
      <c r="T32" s="235"/>
      <c r="U32" s="235"/>
      <c r="V32" s="1523"/>
      <c r="W32" s="235"/>
      <c r="X32" s="235"/>
      <c r="Y32" s="235"/>
      <c r="Z32" s="235"/>
      <c r="AA32" s="1523"/>
      <c r="AB32" s="235"/>
      <c r="AC32" s="235"/>
      <c r="AD32" s="235"/>
      <c r="AE32" s="235"/>
      <c r="AF32" s="1523"/>
      <c r="AG32" s="235"/>
      <c r="AH32" s="235"/>
      <c r="AI32" s="235"/>
      <c r="AJ32" s="235"/>
      <c r="AK32" s="1523"/>
      <c r="AL32" s="235"/>
      <c r="AM32" s="235"/>
      <c r="AN32" s="235"/>
      <c r="AO32" s="235"/>
      <c r="AP32" s="1331"/>
      <c r="AQ32" s="289"/>
      <c r="AR32" s="289"/>
      <c r="AS32" s="289"/>
      <c r="AT32" s="289"/>
      <c r="AU32" s="1339">
        <f>SUM(AU28)/AU31</f>
        <v>0.82982714921673473</v>
      </c>
      <c r="AV32" s="289"/>
      <c r="AW32" s="289"/>
      <c r="AX32" s="289"/>
      <c r="AY32" s="289"/>
      <c r="AZ32" s="1331"/>
      <c r="BA32" s="289"/>
      <c r="BB32" s="289"/>
      <c r="BC32" s="289"/>
      <c r="BD32" s="289"/>
      <c r="BE32" s="1331"/>
      <c r="BF32" s="235"/>
      <c r="BG32" s="235"/>
      <c r="BH32" s="928"/>
      <c r="BI32" s="87"/>
      <c r="BJ32" s="1524"/>
      <c r="BK32" s="87"/>
      <c r="BL32" s="87"/>
      <c r="BM32" s="87"/>
      <c r="BN32" s="87"/>
      <c r="BO32" s="1524"/>
      <c r="BP32" s="1524"/>
      <c r="BQ32" s="1524"/>
      <c r="BR32" s="1524"/>
      <c r="BS32" s="929"/>
    </row>
    <row r="33" spans="1:71" s="705" customFormat="1" ht="15">
      <c r="A33" s="904"/>
      <c r="B33" s="888"/>
      <c r="C33" s="1513"/>
      <c r="D33" s="1513"/>
      <c r="E33" s="1513"/>
      <c r="F33" s="1513"/>
      <c r="G33" s="1513"/>
      <c r="H33" s="231"/>
      <c r="I33" s="231"/>
      <c r="J33" s="231"/>
      <c r="K33" s="231"/>
      <c r="L33" s="1513"/>
      <c r="M33" s="231"/>
      <c r="N33" s="231"/>
      <c r="O33" s="231"/>
      <c r="P33" s="231"/>
      <c r="Q33" s="1513"/>
      <c r="R33" s="231"/>
      <c r="S33" s="231"/>
      <c r="T33" s="231"/>
      <c r="U33" s="231"/>
      <c r="V33" s="1513"/>
      <c r="W33" s="231"/>
      <c r="X33" s="231"/>
      <c r="Y33" s="231"/>
      <c r="Z33" s="231"/>
      <c r="AA33" s="1513"/>
      <c r="AB33" s="231"/>
      <c r="AC33" s="231"/>
      <c r="AD33" s="231"/>
      <c r="AE33" s="231"/>
      <c r="AF33" s="1513"/>
      <c r="AG33" s="231"/>
      <c r="AH33" s="231"/>
      <c r="AI33" s="231"/>
      <c r="AJ33" s="231"/>
      <c r="AK33" s="1513"/>
      <c r="AL33" s="231"/>
      <c r="AM33" s="231"/>
      <c r="AN33" s="231"/>
      <c r="AO33" s="231"/>
      <c r="AP33" s="1495"/>
      <c r="AQ33" s="439"/>
      <c r="AR33" s="439"/>
      <c r="AS33" s="439"/>
      <c r="AT33" s="439"/>
      <c r="AU33" s="1495"/>
      <c r="AV33" s="439"/>
      <c r="AW33" s="439"/>
      <c r="AX33" s="439"/>
      <c r="AY33" s="439"/>
      <c r="AZ33" s="1495"/>
      <c r="BA33" s="439"/>
      <c r="BB33" s="439"/>
      <c r="BC33" s="439"/>
      <c r="BD33" s="439"/>
      <c r="BE33" s="1495"/>
      <c r="BF33" s="231"/>
      <c r="BG33" s="231"/>
      <c r="BH33" s="903"/>
      <c r="BI33" s="81"/>
      <c r="BJ33" s="1514"/>
      <c r="BK33" s="81"/>
      <c r="BL33" s="81"/>
      <c r="BM33" s="81"/>
      <c r="BN33" s="81"/>
      <c r="BO33" s="1514"/>
      <c r="BP33" s="1514"/>
      <c r="BQ33" s="1514"/>
      <c r="BR33" s="1514"/>
      <c r="BS33" s="885"/>
    </row>
    <row r="34" spans="1:71" s="705" customFormat="1" ht="15">
      <c r="A34" s="906" t="s">
        <v>813</v>
      </c>
      <c r="B34" s="888"/>
      <c r="C34" s="1513"/>
      <c r="D34" s="1513"/>
      <c r="E34" s="1513"/>
      <c r="F34" s="1513"/>
      <c r="G34" s="1513"/>
      <c r="H34" s="231"/>
      <c r="I34" s="231"/>
      <c r="J34" s="231"/>
      <c r="K34" s="231"/>
      <c r="L34" s="1513"/>
      <c r="M34" s="231"/>
      <c r="N34" s="231"/>
      <c r="O34" s="231"/>
      <c r="P34" s="231"/>
      <c r="Q34" s="1513"/>
      <c r="R34" s="231"/>
      <c r="S34" s="231"/>
      <c r="T34" s="231"/>
      <c r="U34" s="231"/>
      <c r="V34" s="1513"/>
      <c r="W34" s="231"/>
      <c r="X34" s="231"/>
      <c r="Y34" s="231"/>
      <c r="Z34" s="231"/>
      <c r="AA34" s="1513"/>
      <c r="AB34" s="231"/>
      <c r="AC34" s="231"/>
      <c r="AD34" s="231"/>
      <c r="AE34" s="231"/>
      <c r="AF34" s="1513"/>
      <c r="AG34" s="231"/>
      <c r="AH34" s="231"/>
      <c r="AI34" s="231"/>
      <c r="AJ34" s="231"/>
      <c r="AK34" s="1513"/>
      <c r="AL34" s="231"/>
      <c r="AM34" s="231"/>
      <c r="AN34" s="231"/>
      <c r="AO34" s="231"/>
      <c r="AP34" s="1495"/>
      <c r="AQ34" s="439"/>
      <c r="AR34" s="439"/>
      <c r="AS34" s="439"/>
      <c r="AT34" s="439"/>
      <c r="AU34" s="1566">
        <v>3.645</v>
      </c>
      <c r="AV34" s="439"/>
      <c r="AW34" s="439"/>
      <c r="AX34" s="439"/>
      <c r="AY34" s="439"/>
      <c r="AZ34" s="1495"/>
      <c r="BA34" s="439"/>
      <c r="BB34" s="439"/>
      <c r="BC34" s="439"/>
      <c r="BD34" s="439"/>
      <c r="BE34" s="1495"/>
      <c r="BF34" s="231"/>
      <c r="BG34" s="231"/>
      <c r="BH34" s="903"/>
      <c r="BI34" s="81"/>
      <c r="BJ34" s="1514"/>
      <c r="BK34" s="81"/>
      <c r="BL34" s="81"/>
      <c r="BM34" s="81"/>
      <c r="BN34" s="81"/>
      <c r="BO34" s="1514"/>
      <c r="BP34" s="1514"/>
      <c r="BQ34" s="1514"/>
      <c r="BR34" s="1514"/>
      <c r="BS34" s="885"/>
    </row>
    <row r="35" spans="1:71" s="705" customFormat="1" ht="15">
      <c r="A35" s="904"/>
      <c r="B35" s="888"/>
      <c r="C35" s="1513"/>
      <c r="D35" s="1513"/>
      <c r="E35" s="1513"/>
      <c r="F35" s="1513"/>
      <c r="G35" s="1513"/>
      <c r="H35" s="231"/>
      <c r="I35" s="231"/>
      <c r="J35" s="231"/>
      <c r="K35" s="231"/>
      <c r="L35" s="1513"/>
      <c r="M35" s="231"/>
      <c r="N35" s="231"/>
      <c r="O35" s="231"/>
      <c r="P35" s="231"/>
      <c r="Q35" s="1513"/>
      <c r="R35" s="231"/>
      <c r="S35" s="231"/>
      <c r="T35" s="231"/>
      <c r="U35" s="231"/>
      <c r="V35" s="1513"/>
      <c r="W35" s="231"/>
      <c r="X35" s="231"/>
      <c r="Y35" s="231"/>
      <c r="Z35" s="231"/>
      <c r="AA35" s="1513"/>
      <c r="AB35" s="231"/>
      <c r="AC35" s="231"/>
      <c r="AD35" s="231"/>
      <c r="AE35" s="231"/>
      <c r="AF35" s="1513"/>
      <c r="AG35" s="231"/>
      <c r="AH35" s="231"/>
      <c r="AI35" s="231"/>
      <c r="AJ35" s="231"/>
      <c r="AK35" s="1513"/>
      <c r="AL35" s="231"/>
      <c r="AM35" s="231"/>
      <c r="AN35" s="231"/>
      <c r="AO35" s="231"/>
      <c r="AP35" s="1495"/>
      <c r="AQ35" s="439"/>
      <c r="AR35" s="439"/>
      <c r="AS35" s="439"/>
      <c r="AT35" s="439"/>
      <c r="AU35" s="1495"/>
      <c r="AV35" s="439"/>
      <c r="AW35" s="439"/>
      <c r="AX35" s="439"/>
      <c r="AY35" s="439"/>
      <c r="AZ35" s="1495"/>
      <c r="BA35" s="439"/>
      <c r="BB35" s="439"/>
      <c r="BC35" s="439"/>
      <c r="BD35" s="439"/>
      <c r="BE35" s="1495"/>
      <c r="BF35" s="231"/>
      <c r="BG35" s="231"/>
      <c r="BH35" s="903"/>
      <c r="BI35" s="81"/>
      <c r="BJ35" s="1514"/>
      <c r="BK35" s="81"/>
      <c r="BL35" s="81"/>
      <c r="BM35" s="81"/>
      <c r="BN35" s="81"/>
      <c r="BO35" s="1514"/>
      <c r="BP35" s="1514"/>
      <c r="BQ35" s="1514"/>
      <c r="BR35" s="1514"/>
      <c r="BS35" s="885"/>
    </row>
    <row r="36" spans="1:71" ht="15">
      <c r="A36" s="77" t="s">
        <v>814</v>
      </c>
      <c r="B36" s="889"/>
      <c r="C36" s="897"/>
      <c r="D36" s="897"/>
      <c r="E36" s="897"/>
      <c r="F36" s="897"/>
      <c r="G36" s="897"/>
      <c r="H36" s="897"/>
      <c r="I36" s="897"/>
      <c r="J36" s="897"/>
      <c r="K36" s="897"/>
      <c r="L36" s="897"/>
      <c r="M36" s="897"/>
      <c r="N36" s="897"/>
      <c r="O36" s="897"/>
      <c r="P36" s="897"/>
      <c r="Q36" s="897"/>
      <c r="R36" s="897"/>
      <c r="S36" s="897"/>
      <c r="T36" s="897"/>
      <c r="U36" s="897"/>
      <c r="V36" s="897"/>
      <c r="W36" s="897"/>
      <c r="X36" s="897"/>
      <c r="Y36" s="897"/>
      <c r="Z36" s="897"/>
      <c r="AA36" s="897"/>
      <c r="AB36" s="897"/>
      <c r="AC36" s="897"/>
      <c r="AD36" s="897"/>
      <c r="AE36" s="897"/>
      <c r="AF36" s="897"/>
      <c r="AG36" s="897"/>
      <c r="AH36" s="897"/>
      <c r="AI36" s="897"/>
      <c r="AJ36" s="897"/>
      <c r="AK36" s="897"/>
      <c r="AL36" s="897"/>
      <c r="AM36" s="897"/>
      <c r="AN36" s="897"/>
      <c r="AO36" s="897"/>
      <c r="AP36" s="897"/>
      <c r="AQ36" s="897"/>
      <c r="AR36" s="897"/>
      <c r="AS36" s="897"/>
      <c r="AT36" s="897"/>
      <c r="AU36" s="897"/>
      <c r="AV36" s="897"/>
      <c r="AW36" s="897"/>
      <c r="AX36" s="897"/>
      <c r="AY36" s="897"/>
      <c r="AZ36" s="897"/>
      <c r="BA36" s="897"/>
      <c r="BB36" s="897"/>
      <c r="BC36" s="897"/>
      <c r="BD36" s="897"/>
      <c r="BE36" s="897"/>
      <c r="BF36" s="897"/>
      <c r="BG36" s="897"/>
      <c r="BH36" s="954"/>
      <c r="BI36" s="890"/>
      <c r="BJ36" s="890"/>
      <c r="BK36" s="890"/>
      <c r="BL36" s="890"/>
      <c r="BM36" s="890"/>
      <c r="BN36" s="890"/>
      <c r="BO36" s="890"/>
      <c r="BP36" s="890"/>
      <c r="BQ36" s="890"/>
      <c r="BR36" s="890"/>
      <c r="BS36" s="886"/>
    </row>
    <row r="37" spans="1:71" s="705" customFormat="1" ht="15">
      <c r="A37" s="905" t="s">
        <v>815</v>
      </c>
      <c r="B37" s="888"/>
      <c r="C37" s="1513"/>
      <c r="D37" s="1513"/>
      <c r="E37" s="1513"/>
      <c r="F37" s="1513"/>
      <c r="G37" s="1513"/>
      <c r="H37" s="231"/>
      <c r="I37" s="231"/>
      <c r="J37" s="231"/>
      <c r="K37" s="231"/>
      <c r="L37" s="1513"/>
      <c r="M37" s="231"/>
      <c r="N37" s="231"/>
      <c r="O37" s="231"/>
      <c r="P37" s="231"/>
      <c r="Q37" s="1513"/>
      <c r="R37" s="231"/>
      <c r="S37" s="231"/>
      <c r="T37" s="231"/>
      <c r="U37" s="231"/>
      <c r="V37" s="1513"/>
      <c r="W37" s="231"/>
      <c r="X37" s="231"/>
      <c r="Y37" s="231"/>
      <c r="Z37" s="231"/>
      <c r="AA37" s="1513"/>
      <c r="AB37" s="231"/>
      <c r="AC37" s="231"/>
      <c r="AD37" s="231"/>
      <c r="AE37" s="231"/>
      <c r="AF37" s="1513"/>
      <c r="AG37" s="231"/>
      <c r="AH37" s="231"/>
      <c r="AI37" s="231"/>
      <c r="AJ37" s="231"/>
      <c r="AK37" s="1513"/>
      <c r="AL37" s="231"/>
      <c r="AM37" s="231"/>
      <c r="AN37" s="231"/>
      <c r="AO37" s="231"/>
      <c r="AP37" s="1431">
        <v>13</v>
      </c>
      <c r="AQ37" s="945"/>
      <c r="AR37" s="945"/>
      <c r="AS37" s="945"/>
      <c r="AT37" s="945"/>
      <c r="AU37" s="1431">
        <v>12</v>
      </c>
      <c r="AV37" s="945"/>
      <c r="AW37" s="945"/>
      <c r="AX37" s="945"/>
      <c r="AY37" s="945"/>
      <c r="AZ37" s="1431">
        <v>12</v>
      </c>
      <c r="BA37" s="945"/>
      <c r="BB37" s="945"/>
      <c r="BC37" s="945"/>
      <c r="BD37" s="945"/>
      <c r="BE37" s="1431">
        <v>12</v>
      </c>
      <c r="BF37" s="231"/>
      <c r="BG37" s="231"/>
      <c r="BH37" s="903"/>
      <c r="BI37" s="81"/>
      <c r="BJ37" s="1514"/>
      <c r="BK37" s="81"/>
      <c r="BL37" s="81"/>
      <c r="BM37" s="81"/>
      <c r="BN37" s="81"/>
      <c r="BO37" s="1514"/>
      <c r="BP37" s="1514"/>
      <c r="BQ37" s="1514"/>
      <c r="BR37" s="1514"/>
      <c r="BS37" s="885"/>
    </row>
    <row r="38" spans="1:71" s="705" customFormat="1" ht="15">
      <c r="A38" s="905" t="s">
        <v>816</v>
      </c>
      <c r="B38" s="888"/>
      <c r="C38" s="1513"/>
      <c r="D38" s="1513"/>
      <c r="E38" s="1513"/>
      <c r="F38" s="1513"/>
      <c r="G38" s="1513"/>
      <c r="H38" s="231"/>
      <c r="I38" s="231"/>
      <c r="J38" s="231"/>
      <c r="K38" s="231"/>
      <c r="L38" s="1513"/>
      <c r="M38" s="231"/>
      <c r="N38" s="231"/>
      <c r="O38" s="231"/>
      <c r="P38" s="231"/>
      <c r="Q38" s="1513"/>
      <c r="R38" s="231"/>
      <c r="S38" s="231"/>
      <c r="T38" s="231"/>
      <c r="U38" s="231"/>
      <c r="V38" s="1513"/>
      <c r="W38" s="231"/>
      <c r="X38" s="231"/>
      <c r="Y38" s="231"/>
      <c r="Z38" s="231"/>
      <c r="AA38" s="1513"/>
      <c r="AB38" s="231"/>
      <c r="AC38" s="231"/>
      <c r="AD38" s="231"/>
      <c r="AE38" s="231"/>
      <c r="AF38" s="1513"/>
      <c r="AG38" s="231"/>
      <c r="AH38" s="231"/>
      <c r="AI38" s="231"/>
      <c r="AJ38" s="231"/>
      <c r="AK38" s="1513"/>
      <c r="AL38" s="231"/>
      <c r="AM38" s="231"/>
      <c r="AN38" s="231"/>
      <c r="AO38" s="231"/>
      <c r="AP38" s="1431">
        <v>12</v>
      </c>
      <c r="AQ38" s="945"/>
      <c r="AR38" s="945"/>
      <c r="AS38" s="945"/>
      <c r="AT38" s="945"/>
      <c r="AU38" s="1431">
        <v>11</v>
      </c>
      <c r="AV38" s="945"/>
      <c r="AW38" s="945"/>
      <c r="AX38" s="945"/>
      <c r="AY38" s="945"/>
      <c r="AZ38" s="1431">
        <v>11</v>
      </c>
      <c r="BA38" s="945"/>
      <c r="BB38" s="945"/>
      <c r="BC38" s="945"/>
      <c r="BD38" s="945"/>
      <c r="BE38" s="1431">
        <v>11</v>
      </c>
      <c r="BF38" s="231"/>
      <c r="BG38" s="231"/>
      <c r="BH38" s="903"/>
      <c r="BI38" s="81"/>
      <c r="BJ38" s="1514"/>
      <c r="BK38" s="81"/>
      <c r="BL38" s="81"/>
      <c r="BM38" s="81"/>
      <c r="BN38" s="81"/>
      <c r="BO38" s="1514"/>
      <c r="BP38" s="1514"/>
      <c r="BQ38" s="1514"/>
      <c r="BR38" s="1514"/>
      <c r="BS38" s="885"/>
    </row>
    <row r="39" spans="1:71" s="705" customFormat="1" ht="15">
      <c r="A39" s="905"/>
      <c r="B39" s="888"/>
      <c r="C39" s="1513"/>
      <c r="D39" s="1513"/>
      <c r="E39" s="1513"/>
      <c r="F39" s="1513"/>
      <c r="G39" s="1513"/>
      <c r="H39" s="231"/>
      <c r="I39" s="231"/>
      <c r="J39" s="231"/>
      <c r="K39" s="231"/>
      <c r="L39" s="1513"/>
      <c r="M39" s="231"/>
      <c r="N39" s="231"/>
      <c r="O39" s="231"/>
      <c r="P39" s="231"/>
      <c r="Q39" s="1513"/>
      <c r="R39" s="231"/>
      <c r="S39" s="231"/>
      <c r="T39" s="231"/>
      <c r="U39" s="231"/>
      <c r="V39" s="1513"/>
      <c r="W39" s="231"/>
      <c r="X39" s="231"/>
      <c r="Y39" s="231"/>
      <c r="Z39" s="231"/>
      <c r="AA39" s="1513"/>
      <c r="AB39" s="231"/>
      <c r="AC39" s="231"/>
      <c r="AD39" s="231"/>
      <c r="AE39" s="231"/>
      <c r="AF39" s="1513"/>
      <c r="AG39" s="231"/>
      <c r="AH39" s="231"/>
      <c r="AI39" s="231"/>
      <c r="AJ39" s="231"/>
      <c r="AK39" s="1513"/>
      <c r="AL39" s="231"/>
      <c r="AM39" s="231"/>
      <c r="AN39" s="231"/>
      <c r="AO39" s="231"/>
      <c r="AP39" s="1335"/>
      <c r="AQ39" s="945"/>
      <c r="AR39" s="945"/>
      <c r="AS39" s="945"/>
      <c r="AT39" s="945"/>
      <c r="AU39" s="1335"/>
      <c r="AV39" s="945"/>
      <c r="AW39" s="945"/>
      <c r="AX39" s="945"/>
      <c r="AY39" s="945"/>
      <c r="AZ39" s="1335"/>
      <c r="BA39" s="945"/>
      <c r="BB39" s="945"/>
      <c r="BC39" s="945"/>
      <c r="BD39" s="945"/>
      <c r="BE39" s="1335"/>
      <c r="BF39" s="231"/>
      <c r="BG39" s="231"/>
      <c r="BH39" s="903"/>
      <c r="BI39" s="81"/>
      <c r="BJ39" s="1514"/>
      <c r="BK39" s="81"/>
      <c r="BL39" s="81"/>
      <c r="BM39" s="81"/>
      <c r="BN39" s="81"/>
      <c r="BO39" s="1514"/>
      <c r="BP39" s="1514"/>
      <c r="BQ39" s="1514"/>
      <c r="BR39" s="1514"/>
      <c r="BS39" s="885"/>
    </row>
    <row r="40" spans="1:71" s="705" customFormat="1" ht="15">
      <c r="A40" s="905" t="s">
        <v>817</v>
      </c>
      <c r="B40" s="888"/>
      <c r="C40" s="1513"/>
      <c r="D40" s="1513"/>
      <c r="E40" s="1513"/>
      <c r="F40" s="1513"/>
      <c r="G40" s="1513"/>
      <c r="H40" s="231"/>
      <c r="I40" s="231"/>
      <c r="J40" s="231"/>
      <c r="K40" s="231"/>
      <c r="L40" s="1513"/>
      <c r="M40" s="231"/>
      <c r="N40" s="231"/>
      <c r="O40" s="231"/>
      <c r="P40" s="231"/>
      <c r="Q40" s="1513"/>
      <c r="R40" s="231"/>
      <c r="S40" s="231"/>
      <c r="T40" s="231"/>
      <c r="U40" s="231"/>
      <c r="V40" s="1513"/>
      <c r="W40" s="231"/>
      <c r="X40" s="231"/>
      <c r="Y40" s="231"/>
      <c r="Z40" s="231"/>
      <c r="AA40" s="1513"/>
      <c r="AB40" s="231"/>
      <c r="AC40" s="231"/>
      <c r="AD40" s="231"/>
      <c r="AE40" s="231"/>
      <c r="AF40" s="1513"/>
      <c r="AG40" s="231"/>
      <c r="AH40" s="231"/>
      <c r="AI40" s="231"/>
      <c r="AJ40" s="231"/>
      <c r="AK40" s="1513"/>
      <c r="AL40" s="231"/>
      <c r="AM40" s="231"/>
      <c r="AN40" s="231"/>
      <c r="AO40" s="231"/>
      <c r="AP40" s="1431">
        <v>12</v>
      </c>
      <c r="AQ40" s="945"/>
      <c r="AR40" s="945"/>
      <c r="AS40" s="945"/>
      <c r="AT40" s="945"/>
      <c r="AU40" s="1431">
        <v>12</v>
      </c>
      <c r="AV40" s="945"/>
      <c r="AW40" s="945"/>
      <c r="AX40" s="945"/>
      <c r="AY40" s="945"/>
      <c r="AZ40" s="1431">
        <v>12</v>
      </c>
      <c r="BA40" s="945"/>
      <c r="BB40" s="945"/>
      <c r="BC40" s="945"/>
      <c r="BD40" s="945"/>
      <c r="BE40" s="1431">
        <v>12</v>
      </c>
      <c r="BF40" s="231"/>
      <c r="BG40" s="231"/>
      <c r="BH40" s="903"/>
      <c r="BI40" s="81"/>
      <c r="BJ40" s="1514"/>
      <c r="BK40" s="81"/>
      <c r="BL40" s="81"/>
      <c r="BM40" s="81"/>
      <c r="BN40" s="81"/>
      <c r="BO40" s="1514"/>
      <c r="BP40" s="1514"/>
      <c r="BQ40" s="1514"/>
      <c r="BR40" s="1514"/>
      <c r="BS40" s="885"/>
    </row>
    <row r="41" spans="1:71" s="705" customFormat="1" ht="15">
      <c r="A41" s="906"/>
      <c r="B41" s="888"/>
      <c r="C41" s="1513"/>
      <c r="D41" s="1513"/>
      <c r="E41" s="1513"/>
      <c r="F41" s="1513"/>
      <c r="G41" s="1513"/>
      <c r="H41" s="231"/>
      <c r="I41" s="231"/>
      <c r="J41" s="231"/>
      <c r="K41" s="231"/>
      <c r="L41" s="1513"/>
      <c r="M41" s="231"/>
      <c r="N41" s="231"/>
      <c r="O41" s="231"/>
      <c r="P41" s="231"/>
      <c r="Q41" s="1513"/>
      <c r="R41" s="231"/>
      <c r="S41" s="231"/>
      <c r="T41" s="231"/>
      <c r="U41" s="231"/>
      <c r="V41" s="1513"/>
      <c r="W41" s="231"/>
      <c r="X41" s="231"/>
      <c r="Y41" s="231"/>
      <c r="Z41" s="231"/>
      <c r="AA41" s="1513"/>
      <c r="AB41" s="231"/>
      <c r="AC41" s="231"/>
      <c r="AD41" s="231"/>
      <c r="AE41" s="231"/>
      <c r="AF41" s="1513"/>
      <c r="AG41" s="231"/>
      <c r="AH41" s="231"/>
      <c r="AI41" s="231"/>
      <c r="AJ41" s="231"/>
      <c r="AK41" s="1513"/>
      <c r="AL41" s="231"/>
      <c r="AM41" s="231"/>
      <c r="AN41" s="231"/>
      <c r="AO41" s="231"/>
      <c r="AP41" s="1495"/>
      <c r="AQ41" s="439"/>
      <c r="AR41" s="439"/>
      <c r="AS41" s="439"/>
      <c r="AT41" s="439"/>
      <c r="AU41" s="1495"/>
      <c r="AV41" s="439"/>
      <c r="AW41" s="439"/>
      <c r="AX41" s="439"/>
      <c r="AY41" s="439"/>
      <c r="AZ41" s="1495"/>
      <c r="BA41" s="439"/>
      <c r="BB41" s="439"/>
      <c r="BC41" s="439"/>
      <c r="BD41" s="439"/>
      <c r="BE41" s="1495"/>
      <c r="BF41" s="231"/>
      <c r="BG41" s="231"/>
      <c r="BH41" s="903"/>
      <c r="BI41" s="81"/>
      <c r="BJ41" s="1514"/>
      <c r="BK41" s="81"/>
      <c r="BL41" s="81"/>
      <c r="BM41" s="81"/>
      <c r="BN41" s="81"/>
      <c r="BO41" s="1514"/>
      <c r="BP41" s="1514"/>
      <c r="BQ41" s="1514"/>
      <c r="BR41" s="1514"/>
      <c r="BS41" s="885"/>
    </row>
    <row r="42" spans="1:71" ht="15">
      <c r="A42" s="77" t="s">
        <v>818</v>
      </c>
      <c r="B42" s="889"/>
      <c r="C42" s="897"/>
      <c r="D42" s="897"/>
      <c r="E42" s="897"/>
      <c r="F42" s="897"/>
      <c r="G42" s="897"/>
      <c r="H42" s="897"/>
      <c r="I42" s="897"/>
      <c r="J42" s="897"/>
      <c r="K42" s="897"/>
      <c r="L42" s="897"/>
      <c r="M42" s="897"/>
      <c r="N42" s="897"/>
      <c r="O42" s="897"/>
      <c r="P42" s="897"/>
      <c r="Q42" s="897"/>
      <c r="R42" s="897"/>
      <c r="S42" s="897"/>
      <c r="T42" s="897"/>
      <c r="U42" s="897"/>
      <c r="V42" s="897"/>
      <c r="W42" s="897"/>
      <c r="X42" s="897"/>
      <c r="Y42" s="897"/>
      <c r="Z42" s="897"/>
      <c r="AA42" s="897"/>
      <c r="AB42" s="897"/>
      <c r="AC42" s="897"/>
      <c r="AD42" s="897"/>
      <c r="AE42" s="897"/>
      <c r="AF42" s="897"/>
      <c r="AG42" s="897"/>
      <c r="AH42" s="897"/>
      <c r="AI42" s="897"/>
      <c r="AJ42" s="897"/>
      <c r="AK42" s="897"/>
      <c r="AL42" s="897"/>
      <c r="AM42" s="897"/>
      <c r="AN42" s="897"/>
      <c r="AO42" s="897"/>
      <c r="AP42" s="897"/>
      <c r="AQ42" s="897"/>
      <c r="AR42" s="897"/>
      <c r="AS42" s="897"/>
      <c r="AT42" s="897"/>
      <c r="AU42" s="897"/>
      <c r="AV42" s="897"/>
      <c r="AW42" s="897"/>
      <c r="AX42" s="897"/>
      <c r="AY42" s="897"/>
      <c r="AZ42" s="897"/>
      <c r="BA42" s="897"/>
      <c r="BB42" s="897"/>
      <c r="BC42" s="897"/>
      <c r="BD42" s="897"/>
      <c r="BE42" s="897"/>
      <c r="BF42" s="897"/>
      <c r="BG42" s="897"/>
      <c r="BH42" s="954"/>
      <c r="BI42" s="890"/>
      <c r="BJ42" s="890"/>
      <c r="BK42" s="890"/>
      <c r="BL42" s="890"/>
      <c r="BM42" s="890"/>
      <c r="BN42" s="890"/>
      <c r="BO42" s="890"/>
      <c r="BP42" s="890"/>
      <c r="BQ42" s="890"/>
      <c r="BR42" s="890"/>
      <c r="BS42" s="886"/>
    </row>
    <row r="43" spans="1:71" s="705" customFormat="1" ht="15" hidden="1" outlineLevel="1">
      <c r="A43" s="948" t="s">
        <v>819</v>
      </c>
      <c r="B43" s="888"/>
      <c r="C43" s="1513"/>
      <c r="D43" s="1513"/>
      <c r="E43" s="1513"/>
      <c r="F43" s="1513"/>
      <c r="G43" s="1513"/>
      <c r="H43" s="231"/>
      <c r="I43" s="231"/>
      <c r="J43" s="231"/>
      <c r="K43" s="231"/>
      <c r="L43" s="1513"/>
      <c r="M43" s="231"/>
      <c r="N43" s="231"/>
      <c r="O43" s="231"/>
      <c r="P43" s="231"/>
      <c r="Q43" s="1513"/>
      <c r="R43" s="231"/>
      <c r="S43" s="231"/>
      <c r="T43" s="231"/>
      <c r="U43" s="231"/>
      <c r="V43" s="1513"/>
      <c r="W43" s="231"/>
      <c r="X43" s="231"/>
      <c r="Y43" s="231"/>
      <c r="Z43" s="231"/>
      <c r="AA43" s="1513"/>
      <c r="AB43" s="231"/>
      <c r="AC43" s="231"/>
      <c r="AD43" s="231"/>
      <c r="AE43" s="231"/>
      <c r="AF43" s="1513"/>
      <c r="AG43" s="231"/>
      <c r="AH43" s="231"/>
      <c r="AI43" s="231"/>
      <c r="AJ43" s="231"/>
      <c r="AK43" s="1513"/>
      <c r="AL43" s="231"/>
      <c r="AM43" s="231"/>
      <c r="AN43" s="231"/>
      <c r="AO43" s="231"/>
      <c r="AP43" s="1335"/>
      <c r="AQ43" s="945"/>
      <c r="AR43" s="945"/>
      <c r="AS43" s="945"/>
      <c r="AT43" s="945"/>
      <c r="AU43" s="1335"/>
      <c r="AV43" s="945"/>
      <c r="AW43" s="945"/>
      <c r="AX43" s="945"/>
      <c r="AY43" s="945"/>
      <c r="AZ43" s="1335"/>
      <c r="BA43" s="945"/>
      <c r="BB43" s="945"/>
      <c r="BC43" s="945"/>
      <c r="BD43" s="945"/>
      <c r="BE43" s="1431">
        <v>120</v>
      </c>
      <c r="BF43" s="231"/>
      <c r="BG43" s="231"/>
      <c r="BH43" s="903"/>
      <c r="BI43" s="81"/>
      <c r="BJ43" s="1514"/>
      <c r="BK43" s="81"/>
      <c r="BL43" s="81"/>
      <c r="BM43" s="81"/>
      <c r="BN43" s="81"/>
      <c r="BO43" s="1514"/>
      <c r="BP43" s="1514"/>
      <c r="BQ43" s="1514"/>
      <c r="BR43" s="1514"/>
      <c r="BS43" s="885"/>
    </row>
    <row r="44" spans="1:71" s="705" customFormat="1" ht="15" hidden="1" outlineLevel="1">
      <c r="A44" s="948" t="s">
        <v>820</v>
      </c>
      <c r="B44" s="888"/>
      <c r="C44" s="1513"/>
      <c r="D44" s="1513"/>
      <c r="E44" s="1513"/>
      <c r="F44" s="1513"/>
      <c r="G44" s="1513"/>
      <c r="H44" s="231"/>
      <c r="I44" s="231"/>
      <c r="J44" s="231"/>
      <c r="K44" s="231"/>
      <c r="L44" s="1513"/>
      <c r="M44" s="231"/>
      <c r="N44" s="231"/>
      <c r="O44" s="231"/>
      <c r="P44" s="231"/>
      <c r="Q44" s="1513"/>
      <c r="R44" s="231"/>
      <c r="S44" s="231"/>
      <c r="T44" s="231"/>
      <c r="U44" s="231"/>
      <c r="V44" s="1513"/>
      <c r="W44" s="231"/>
      <c r="X44" s="231"/>
      <c r="Y44" s="231"/>
      <c r="Z44" s="231"/>
      <c r="AA44" s="1513"/>
      <c r="AB44" s="231"/>
      <c r="AC44" s="231"/>
      <c r="AD44" s="231"/>
      <c r="AE44" s="231"/>
      <c r="AF44" s="1513"/>
      <c r="AG44" s="231"/>
      <c r="AH44" s="231"/>
      <c r="AI44" s="231"/>
      <c r="AJ44" s="231"/>
      <c r="AK44" s="1513"/>
      <c r="AL44" s="231"/>
      <c r="AM44" s="231"/>
      <c r="AN44" s="231"/>
      <c r="AO44" s="231"/>
      <c r="AP44" s="1431">
        <v>110</v>
      </c>
      <c r="AQ44" s="945"/>
      <c r="AR44" s="945"/>
      <c r="AS44" s="945"/>
      <c r="AT44" s="945"/>
      <c r="AU44" s="1431">
        <v>132.50</v>
      </c>
      <c r="AV44" s="945"/>
      <c r="AW44" s="945"/>
      <c r="AX44" s="945"/>
      <c r="AY44" s="945"/>
      <c r="AZ44" s="1431">
        <v>140</v>
      </c>
      <c r="BA44" s="945"/>
      <c r="BB44" s="945"/>
      <c r="BC44" s="945"/>
      <c r="BD44" s="945"/>
      <c r="BE44" s="1335"/>
      <c r="BF44" s="231"/>
      <c r="BG44" s="231"/>
      <c r="BH44" s="903"/>
      <c r="BI44" s="81"/>
      <c r="BJ44" s="1514"/>
      <c r="BK44" s="81"/>
      <c r="BL44" s="81"/>
      <c r="BM44" s="81"/>
      <c r="BN44" s="81"/>
      <c r="BO44" s="1514"/>
      <c r="BP44" s="1514"/>
      <c r="BQ44" s="1514"/>
      <c r="BR44" s="1514"/>
      <c r="BS44" s="885"/>
    </row>
    <row r="45" spans="1:71" s="705" customFormat="1" ht="15" hidden="1" outlineLevel="1">
      <c r="A45" s="948" t="s">
        <v>821</v>
      </c>
      <c r="B45" s="888"/>
      <c r="C45" s="1513"/>
      <c r="D45" s="1513"/>
      <c r="E45" s="1513"/>
      <c r="F45" s="1513"/>
      <c r="G45" s="1513"/>
      <c r="H45" s="231"/>
      <c r="I45" s="231"/>
      <c r="J45" s="231"/>
      <c r="K45" s="231"/>
      <c r="L45" s="1513"/>
      <c r="M45" s="231"/>
      <c r="N45" s="231"/>
      <c r="O45" s="231"/>
      <c r="P45" s="231"/>
      <c r="Q45" s="1513"/>
      <c r="R45" s="231"/>
      <c r="S45" s="231"/>
      <c r="T45" s="231"/>
      <c r="U45" s="231"/>
      <c r="V45" s="1513"/>
      <c r="W45" s="231"/>
      <c r="X45" s="231"/>
      <c r="Y45" s="231"/>
      <c r="Z45" s="231"/>
      <c r="AA45" s="1513"/>
      <c r="AB45" s="231"/>
      <c r="AC45" s="231"/>
      <c r="AD45" s="231"/>
      <c r="AE45" s="231"/>
      <c r="AF45" s="1513"/>
      <c r="AG45" s="231"/>
      <c r="AH45" s="231"/>
      <c r="AI45" s="231"/>
      <c r="AJ45" s="231"/>
      <c r="AK45" s="1513"/>
      <c r="AL45" s="231"/>
      <c r="AM45" s="231"/>
      <c r="AN45" s="231"/>
      <c r="AO45" s="231"/>
      <c r="AP45" s="1431">
        <v>116</v>
      </c>
      <c r="AQ45" s="945"/>
      <c r="AR45" s="945"/>
      <c r="AS45" s="945"/>
      <c r="AT45" s="945"/>
      <c r="AU45" s="1431">
        <v>130</v>
      </c>
      <c r="AV45" s="945"/>
      <c r="AW45" s="945"/>
      <c r="AX45" s="945"/>
      <c r="AY45" s="945"/>
      <c r="AZ45" s="1431">
        <v>136</v>
      </c>
      <c r="BA45" s="945"/>
      <c r="BB45" s="945"/>
      <c r="BC45" s="945"/>
      <c r="BD45" s="945"/>
      <c r="BE45" s="1335"/>
      <c r="BF45" s="231"/>
      <c r="BG45" s="231"/>
      <c r="BH45" s="903"/>
      <c r="BI45" s="81"/>
      <c r="BJ45" s="1514"/>
      <c r="BK45" s="81"/>
      <c r="BL45" s="81"/>
      <c r="BM45" s="81"/>
      <c r="BN45" s="81"/>
      <c r="BO45" s="1514"/>
      <c r="BP45" s="1514"/>
      <c r="BQ45" s="1514"/>
      <c r="BR45" s="1514"/>
      <c r="BS45" s="885"/>
    </row>
    <row r="46" spans="1:71" s="705" customFormat="1" ht="15" hidden="1" outlineLevel="1">
      <c r="A46" s="948" t="s">
        <v>822</v>
      </c>
      <c r="B46" s="888"/>
      <c r="C46" s="1513"/>
      <c r="D46" s="1513"/>
      <c r="E46" s="1513"/>
      <c r="F46" s="1513"/>
      <c r="G46" s="1513"/>
      <c r="H46" s="231"/>
      <c r="I46" s="231"/>
      <c r="J46" s="231"/>
      <c r="K46" s="231"/>
      <c r="L46" s="1513"/>
      <c r="M46" s="231"/>
      <c r="N46" s="231"/>
      <c r="O46" s="231"/>
      <c r="P46" s="231"/>
      <c r="Q46" s="1513"/>
      <c r="R46" s="231"/>
      <c r="S46" s="231"/>
      <c r="T46" s="231"/>
      <c r="U46" s="231"/>
      <c r="V46" s="1513"/>
      <c r="W46" s="231"/>
      <c r="X46" s="231"/>
      <c r="Y46" s="231"/>
      <c r="Z46" s="231"/>
      <c r="AA46" s="1513"/>
      <c r="AB46" s="231"/>
      <c r="AC46" s="231"/>
      <c r="AD46" s="231"/>
      <c r="AE46" s="231"/>
      <c r="AF46" s="1513"/>
      <c r="AG46" s="231"/>
      <c r="AH46" s="231"/>
      <c r="AI46" s="231"/>
      <c r="AJ46" s="231"/>
      <c r="AK46" s="1513"/>
      <c r="AL46" s="231"/>
      <c r="AM46" s="231"/>
      <c r="AN46" s="231"/>
      <c r="AO46" s="231"/>
      <c r="AP46" s="1335"/>
      <c r="AQ46" s="945"/>
      <c r="AR46" s="945"/>
      <c r="AS46" s="945"/>
      <c r="AT46" s="945"/>
      <c r="AU46" s="1335"/>
      <c r="AV46" s="945"/>
      <c r="AW46" s="945"/>
      <c r="AX46" s="945"/>
      <c r="AY46" s="945"/>
      <c r="AZ46" s="1335"/>
      <c r="BA46" s="945"/>
      <c r="BB46" s="945"/>
      <c r="BC46" s="945"/>
      <c r="BD46" s="945"/>
      <c r="BE46" s="1431">
        <v>136</v>
      </c>
      <c r="BF46" s="231"/>
      <c r="BG46" s="231"/>
      <c r="BH46" s="903"/>
      <c r="BI46" s="81"/>
      <c r="BJ46" s="1514"/>
      <c r="BK46" s="81"/>
      <c r="BL46" s="81"/>
      <c r="BM46" s="81"/>
      <c r="BN46" s="81"/>
      <c r="BO46" s="1514"/>
      <c r="BP46" s="1514"/>
      <c r="BQ46" s="1514"/>
      <c r="BR46" s="1514"/>
      <c r="BS46" s="885"/>
    </row>
    <row r="47" spans="1:71" s="705" customFormat="1" ht="15" hidden="1" outlineLevel="1">
      <c r="A47" s="948" t="s">
        <v>823</v>
      </c>
      <c r="B47" s="888"/>
      <c r="C47" s="1513"/>
      <c r="D47" s="1513"/>
      <c r="E47" s="1513"/>
      <c r="F47" s="1513"/>
      <c r="G47" s="1513"/>
      <c r="H47" s="231"/>
      <c r="I47" s="231"/>
      <c r="J47" s="231"/>
      <c r="K47" s="231"/>
      <c r="L47" s="1513"/>
      <c r="M47" s="231"/>
      <c r="N47" s="231"/>
      <c r="O47" s="231"/>
      <c r="P47" s="231"/>
      <c r="Q47" s="1513"/>
      <c r="R47" s="231"/>
      <c r="S47" s="231"/>
      <c r="T47" s="231"/>
      <c r="U47" s="231"/>
      <c r="V47" s="1513"/>
      <c r="W47" s="231"/>
      <c r="X47" s="231"/>
      <c r="Y47" s="231"/>
      <c r="Z47" s="231"/>
      <c r="AA47" s="1513"/>
      <c r="AB47" s="231"/>
      <c r="AC47" s="231"/>
      <c r="AD47" s="231"/>
      <c r="AE47" s="231"/>
      <c r="AF47" s="1513"/>
      <c r="AG47" s="231"/>
      <c r="AH47" s="231"/>
      <c r="AI47" s="231"/>
      <c r="AJ47" s="231"/>
      <c r="AK47" s="1513"/>
      <c r="AL47" s="231"/>
      <c r="AM47" s="231"/>
      <c r="AN47" s="231"/>
      <c r="AO47" s="231"/>
      <c r="AP47" s="1335"/>
      <c r="AQ47" s="945"/>
      <c r="AR47" s="945"/>
      <c r="AS47" s="945"/>
      <c r="AT47" s="945"/>
      <c r="AU47" s="1335"/>
      <c r="AV47" s="945"/>
      <c r="AW47" s="945"/>
      <c r="AX47" s="945"/>
      <c r="AY47" s="945"/>
      <c r="AZ47" s="1335"/>
      <c r="BA47" s="945"/>
      <c r="BB47" s="945"/>
      <c r="BC47" s="945"/>
      <c r="BD47" s="945"/>
      <c r="BE47" s="1335"/>
      <c r="BF47" s="231"/>
      <c r="BG47" s="231"/>
      <c r="BH47" s="903"/>
      <c r="BI47" s="81"/>
      <c r="BJ47" s="1514"/>
      <c r="BK47" s="81"/>
      <c r="BL47" s="81"/>
      <c r="BM47" s="81"/>
      <c r="BN47" s="81"/>
      <c r="BO47" s="1514"/>
      <c r="BP47" s="1514"/>
      <c r="BQ47" s="1514"/>
      <c r="BR47" s="1514"/>
      <c r="BS47" s="885"/>
    </row>
    <row r="48" spans="1:71" s="705" customFormat="1" ht="15" hidden="1" outlineLevel="1">
      <c r="A48" s="948" t="s">
        <v>824</v>
      </c>
      <c r="B48" s="888"/>
      <c r="C48" s="1513"/>
      <c r="D48" s="1513"/>
      <c r="E48" s="1513"/>
      <c r="F48" s="1513"/>
      <c r="G48" s="1513"/>
      <c r="H48" s="231"/>
      <c r="I48" s="231"/>
      <c r="J48" s="231"/>
      <c r="K48" s="231"/>
      <c r="L48" s="1513"/>
      <c r="M48" s="231"/>
      <c r="N48" s="231"/>
      <c r="O48" s="231"/>
      <c r="P48" s="231"/>
      <c r="Q48" s="1513"/>
      <c r="R48" s="231"/>
      <c r="S48" s="231"/>
      <c r="T48" s="231"/>
      <c r="U48" s="231"/>
      <c r="V48" s="1513"/>
      <c r="W48" s="231"/>
      <c r="X48" s="231"/>
      <c r="Y48" s="231"/>
      <c r="Z48" s="231"/>
      <c r="AA48" s="1513"/>
      <c r="AB48" s="231"/>
      <c r="AC48" s="231"/>
      <c r="AD48" s="231"/>
      <c r="AE48" s="231"/>
      <c r="AF48" s="1513"/>
      <c r="AG48" s="231"/>
      <c r="AH48" s="231"/>
      <c r="AI48" s="231"/>
      <c r="AJ48" s="231"/>
      <c r="AK48" s="1513"/>
      <c r="AL48" s="231"/>
      <c r="AM48" s="231"/>
      <c r="AN48" s="231"/>
      <c r="AO48" s="231"/>
      <c r="AP48" s="1335"/>
      <c r="AQ48" s="945"/>
      <c r="AR48" s="945"/>
      <c r="AS48" s="945"/>
      <c r="AT48" s="945"/>
      <c r="AU48" s="1335"/>
      <c r="AV48" s="945"/>
      <c r="AW48" s="945"/>
      <c r="AX48" s="945"/>
      <c r="AY48" s="945"/>
      <c r="AZ48" s="1335"/>
      <c r="BA48" s="945"/>
      <c r="BB48" s="945"/>
      <c r="BC48" s="945"/>
      <c r="BD48" s="945"/>
      <c r="BE48" s="1335"/>
      <c r="BF48" s="231"/>
      <c r="BG48" s="231"/>
      <c r="BH48" s="903"/>
      <c r="BI48" s="81"/>
      <c r="BJ48" s="1514"/>
      <c r="BK48" s="81"/>
      <c r="BL48" s="81"/>
      <c r="BM48" s="81"/>
      <c r="BN48" s="81"/>
      <c r="BO48" s="1514"/>
      <c r="BP48" s="1514"/>
      <c r="BQ48" s="1514"/>
      <c r="BR48" s="1514"/>
      <c r="BS48" s="885"/>
    </row>
    <row r="49" spans="1:71" s="705" customFormat="1" ht="15" hidden="1" outlineLevel="1">
      <c r="A49" s="948" t="s">
        <v>825</v>
      </c>
      <c r="B49" s="888"/>
      <c r="C49" s="1513"/>
      <c r="D49" s="1513"/>
      <c r="E49" s="1513"/>
      <c r="F49" s="1513"/>
      <c r="G49" s="1513"/>
      <c r="H49" s="231"/>
      <c r="I49" s="231"/>
      <c r="J49" s="231"/>
      <c r="K49" s="231"/>
      <c r="L49" s="1513"/>
      <c r="M49" s="231"/>
      <c r="N49" s="231"/>
      <c r="O49" s="231"/>
      <c r="P49" s="231"/>
      <c r="Q49" s="1513"/>
      <c r="R49" s="231"/>
      <c r="S49" s="231"/>
      <c r="T49" s="231"/>
      <c r="U49" s="231"/>
      <c r="V49" s="1513"/>
      <c r="W49" s="231"/>
      <c r="X49" s="231"/>
      <c r="Y49" s="231"/>
      <c r="Z49" s="231"/>
      <c r="AA49" s="1513"/>
      <c r="AB49" s="231"/>
      <c r="AC49" s="231"/>
      <c r="AD49" s="231"/>
      <c r="AE49" s="231"/>
      <c r="AF49" s="1513"/>
      <c r="AG49" s="231"/>
      <c r="AH49" s="231"/>
      <c r="AI49" s="231"/>
      <c r="AJ49" s="231"/>
      <c r="AK49" s="1513"/>
      <c r="AL49" s="231"/>
      <c r="AM49" s="231"/>
      <c r="AN49" s="231"/>
      <c r="AO49" s="231"/>
      <c r="AP49" s="1431">
        <v>61.832999999999998</v>
      </c>
      <c r="AQ49" s="945"/>
      <c r="AR49" s="945"/>
      <c r="AS49" s="945"/>
      <c r="AT49" s="945"/>
      <c r="AU49" s="1335"/>
      <c r="AV49" s="945"/>
      <c r="AW49" s="945"/>
      <c r="AX49" s="945"/>
      <c r="AY49" s="945"/>
      <c r="AZ49" s="1335"/>
      <c r="BA49" s="945"/>
      <c r="BB49" s="945"/>
      <c r="BC49" s="945"/>
      <c r="BD49" s="945"/>
      <c r="BE49" s="1335"/>
      <c r="BF49" s="231"/>
      <c r="BG49" s="231"/>
      <c r="BH49" s="903"/>
      <c r="BI49" s="81"/>
      <c r="BJ49" s="1514"/>
      <c r="BK49" s="81"/>
      <c r="BL49" s="81"/>
      <c r="BM49" s="81"/>
      <c r="BN49" s="81"/>
      <c r="BO49" s="1514"/>
      <c r="BP49" s="1514"/>
      <c r="BQ49" s="1514"/>
      <c r="BR49" s="1514"/>
      <c r="BS49" s="885"/>
    </row>
    <row r="50" spans="1:71" s="705" customFormat="1" ht="15" hidden="1" outlineLevel="1">
      <c r="A50" s="948" t="s">
        <v>826</v>
      </c>
      <c r="B50" s="888"/>
      <c r="C50" s="1513"/>
      <c r="D50" s="1513"/>
      <c r="E50" s="1513"/>
      <c r="F50" s="1513"/>
      <c r="G50" s="1513"/>
      <c r="H50" s="231"/>
      <c r="I50" s="231"/>
      <c r="J50" s="231"/>
      <c r="K50" s="231"/>
      <c r="L50" s="1513"/>
      <c r="M50" s="231"/>
      <c r="N50" s="231"/>
      <c r="O50" s="231"/>
      <c r="P50" s="231"/>
      <c r="Q50" s="1513"/>
      <c r="R50" s="231"/>
      <c r="S50" s="231"/>
      <c r="T50" s="231"/>
      <c r="U50" s="231"/>
      <c r="V50" s="1513"/>
      <c r="W50" s="231"/>
      <c r="X50" s="231"/>
      <c r="Y50" s="231"/>
      <c r="Z50" s="231"/>
      <c r="AA50" s="1513"/>
      <c r="AB50" s="231"/>
      <c r="AC50" s="231"/>
      <c r="AD50" s="231"/>
      <c r="AE50" s="231"/>
      <c r="AF50" s="1513"/>
      <c r="AG50" s="231"/>
      <c r="AH50" s="231"/>
      <c r="AI50" s="231"/>
      <c r="AJ50" s="231"/>
      <c r="AK50" s="1513"/>
      <c r="AL50" s="231"/>
      <c r="AM50" s="231"/>
      <c r="AN50" s="231"/>
      <c r="AO50" s="231"/>
      <c r="AP50" s="1431">
        <v>110</v>
      </c>
      <c r="AQ50" s="945"/>
      <c r="AR50" s="945"/>
      <c r="AS50" s="945"/>
      <c r="AT50" s="945"/>
      <c r="AU50" s="1431">
        <v>118</v>
      </c>
      <c r="AV50" s="945"/>
      <c r="AW50" s="945"/>
      <c r="AX50" s="945"/>
      <c r="AY50" s="945"/>
      <c r="AZ50" s="1431">
        <v>124</v>
      </c>
      <c r="BA50" s="945"/>
      <c r="BB50" s="945"/>
      <c r="BC50" s="945"/>
      <c r="BD50" s="945"/>
      <c r="BE50" s="1335"/>
      <c r="BF50" s="231"/>
      <c r="BG50" s="231"/>
      <c r="BH50" s="903"/>
      <c r="BI50" s="81"/>
      <c r="BJ50" s="1514"/>
      <c r="BK50" s="81"/>
      <c r="BL50" s="81"/>
      <c r="BM50" s="81"/>
      <c r="BN50" s="81"/>
      <c r="BO50" s="1514"/>
      <c r="BP50" s="1514"/>
      <c r="BQ50" s="1514"/>
      <c r="BR50" s="1514"/>
      <c r="BS50" s="885"/>
    </row>
    <row r="51" spans="1:71" s="705" customFormat="1" ht="15" hidden="1" outlineLevel="1">
      <c r="A51" s="948" t="s">
        <v>827</v>
      </c>
      <c r="B51" s="888"/>
      <c r="C51" s="1513"/>
      <c r="D51" s="1513"/>
      <c r="E51" s="1513"/>
      <c r="F51" s="1513"/>
      <c r="G51" s="1513"/>
      <c r="H51" s="231"/>
      <c r="I51" s="231"/>
      <c r="J51" s="231"/>
      <c r="K51" s="231"/>
      <c r="L51" s="1513"/>
      <c r="M51" s="231"/>
      <c r="N51" s="231"/>
      <c r="O51" s="231"/>
      <c r="P51" s="231"/>
      <c r="Q51" s="1513"/>
      <c r="R51" s="231"/>
      <c r="S51" s="231"/>
      <c r="T51" s="231"/>
      <c r="U51" s="231"/>
      <c r="V51" s="1513"/>
      <c r="W51" s="231"/>
      <c r="X51" s="231"/>
      <c r="Y51" s="231"/>
      <c r="Z51" s="231"/>
      <c r="AA51" s="1513"/>
      <c r="AB51" s="231"/>
      <c r="AC51" s="231"/>
      <c r="AD51" s="231"/>
      <c r="AE51" s="231"/>
      <c r="AF51" s="1513"/>
      <c r="AG51" s="231"/>
      <c r="AH51" s="231"/>
      <c r="AI51" s="231"/>
      <c r="AJ51" s="231"/>
      <c r="AK51" s="1513"/>
      <c r="AL51" s="231"/>
      <c r="AM51" s="231"/>
      <c r="AN51" s="231"/>
      <c r="AO51" s="231"/>
      <c r="AP51" s="1335"/>
      <c r="AQ51" s="945"/>
      <c r="AR51" s="945"/>
      <c r="AS51" s="945"/>
      <c r="AT51" s="945"/>
      <c r="AU51" s="1335"/>
      <c r="AV51" s="945"/>
      <c r="AW51" s="945"/>
      <c r="AX51" s="945"/>
      <c r="AY51" s="945"/>
      <c r="AZ51" s="1335"/>
      <c r="BA51" s="945"/>
      <c r="BB51" s="945"/>
      <c r="BC51" s="945"/>
      <c r="BD51" s="945"/>
      <c r="BE51" s="1431">
        <v>124</v>
      </c>
      <c r="BF51" s="231"/>
      <c r="BG51" s="231"/>
      <c r="BH51" s="903"/>
      <c r="BI51" s="81"/>
      <c r="BJ51" s="1514"/>
      <c r="BK51" s="81"/>
      <c r="BL51" s="81"/>
      <c r="BM51" s="81"/>
      <c r="BN51" s="81"/>
      <c r="BO51" s="1514"/>
      <c r="BP51" s="1514"/>
      <c r="BQ51" s="1514"/>
      <c r="BR51" s="1514"/>
      <c r="BS51" s="885"/>
    </row>
    <row r="52" spans="1:71" s="705" customFormat="1" ht="15" hidden="1" outlineLevel="1">
      <c r="A52" s="948" t="s">
        <v>828</v>
      </c>
      <c r="B52" s="888"/>
      <c r="C52" s="1513"/>
      <c r="D52" s="1513"/>
      <c r="E52" s="1513"/>
      <c r="F52" s="1513"/>
      <c r="G52" s="1513"/>
      <c r="H52" s="231"/>
      <c r="I52" s="231"/>
      <c r="J52" s="231"/>
      <c r="K52" s="231"/>
      <c r="L52" s="1513"/>
      <c r="M52" s="231"/>
      <c r="N52" s="231"/>
      <c r="O52" s="231"/>
      <c r="P52" s="231"/>
      <c r="Q52" s="1513"/>
      <c r="R52" s="231"/>
      <c r="S52" s="231"/>
      <c r="T52" s="231"/>
      <c r="U52" s="231"/>
      <c r="V52" s="1513"/>
      <c r="W52" s="231"/>
      <c r="X52" s="231"/>
      <c r="Y52" s="231"/>
      <c r="Z52" s="231"/>
      <c r="AA52" s="1513"/>
      <c r="AB52" s="231"/>
      <c r="AC52" s="231"/>
      <c r="AD52" s="231"/>
      <c r="AE52" s="231"/>
      <c r="AF52" s="1513"/>
      <c r="AG52" s="231"/>
      <c r="AH52" s="231"/>
      <c r="AI52" s="231"/>
      <c r="AJ52" s="231"/>
      <c r="AK52" s="1513"/>
      <c r="AL52" s="231"/>
      <c r="AM52" s="231"/>
      <c r="AN52" s="231"/>
      <c r="AO52" s="231"/>
      <c r="AP52" s="1335"/>
      <c r="AQ52" s="945"/>
      <c r="AR52" s="945"/>
      <c r="AS52" s="945"/>
      <c r="AT52" s="945"/>
      <c r="AU52" s="1335"/>
      <c r="AV52" s="945"/>
      <c r="AW52" s="945"/>
      <c r="AX52" s="945"/>
      <c r="AY52" s="945"/>
      <c r="AZ52" s="1335"/>
      <c r="BA52" s="945"/>
      <c r="BB52" s="945"/>
      <c r="BC52" s="945"/>
      <c r="BD52" s="945"/>
      <c r="BE52" s="1335"/>
      <c r="BF52" s="231"/>
      <c r="BG52" s="231"/>
      <c r="BH52" s="903"/>
      <c r="BI52" s="81"/>
      <c r="BJ52" s="1514"/>
      <c r="BK52" s="81"/>
      <c r="BL52" s="81"/>
      <c r="BM52" s="81"/>
      <c r="BN52" s="81"/>
      <c r="BO52" s="1514"/>
      <c r="BP52" s="1514"/>
      <c r="BQ52" s="1514"/>
      <c r="BR52" s="1514"/>
      <c r="BS52" s="885"/>
    </row>
    <row r="53" spans="1:71" s="705" customFormat="1" ht="15" hidden="1" outlineLevel="1">
      <c r="A53" s="948" t="s">
        <v>829</v>
      </c>
      <c r="B53" s="888"/>
      <c r="C53" s="1513"/>
      <c r="D53" s="1513"/>
      <c r="E53" s="1513"/>
      <c r="F53" s="1513"/>
      <c r="G53" s="1513"/>
      <c r="H53" s="231"/>
      <c r="I53" s="231"/>
      <c r="J53" s="231"/>
      <c r="K53" s="231"/>
      <c r="L53" s="1513"/>
      <c r="M53" s="231"/>
      <c r="N53" s="231"/>
      <c r="O53" s="231"/>
      <c r="P53" s="231"/>
      <c r="Q53" s="1513"/>
      <c r="R53" s="231"/>
      <c r="S53" s="231"/>
      <c r="T53" s="231"/>
      <c r="U53" s="231"/>
      <c r="V53" s="1513"/>
      <c r="W53" s="231"/>
      <c r="X53" s="231"/>
      <c r="Y53" s="231"/>
      <c r="Z53" s="231"/>
      <c r="AA53" s="1513"/>
      <c r="AB53" s="231"/>
      <c r="AC53" s="231"/>
      <c r="AD53" s="231"/>
      <c r="AE53" s="231"/>
      <c r="AF53" s="1513"/>
      <c r="AG53" s="231"/>
      <c r="AH53" s="231"/>
      <c r="AI53" s="231"/>
      <c r="AJ53" s="231"/>
      <c r="AK53" s="1513"/>
      <c r="AL53" s="231"/>
      <c r="AM53" s="231"/>
      <c r="AN53" s="231"/>
      <c r="AO53" s="231"/>
      <c r="AP53" s="1431">
        <v>106</v>
      </c>
      <c r="AQ53" s="945"/>
      <c r="AR53" s="945"/>
      <c r="AS53" s="945"/>
      <c r="AT53" s="945"/>
      <c r="AU53" s="1431">
        <v>120</v>
      </c>
      <c r="AV53" s="945"/>
      <c r="AW53" s="945"/>
      <c r="AX53" s="945"/>
      <c r="AY53" s="945"/>
      <c r="AZ53" s="1335"/>
      <c r="BA53" s="945"/>
      <c r="BB53" s="945"/>
      <c r="BC53" s="945"/>
      <c r="BD53" s="945"/>
      <c r="BE53" s="1335"/>
      <c r="BF53" s="231"/>
      <c r="BG53" s="231"/>
      <c r="BH53" s="903"/>
      <c r="BI53" s="81"/>
      <c r="BJ53" s="1514"/>
      <c r="BK53" s="81"/>
      <c r="BL53" s="81"/>
      <c r="BM53" s="81"/>
      <c r="BN53" s="81"/>
      <c r="BO53" s="1514"/>
      <c r="BP53" s="1514"/>
      <c r="BQ53" s="1514"/>
      <c r="BR53" s="1514"/>
      <c r="BS53" s="885"/>
    </row>
    <row r="54" spans="1:71" s="705" customFormat="1" ht="15" hidden="1" outlineLevel="1">
      <c r="A54" s="949" t="s">
        <v>830</v>
      </c>
      <c r="B54" s="932"/>
      <c r="C54" s="1567"/>
      <c r="D54" s="1567"/>
      <c r="E54" s="1567"/>
      <c r="F54" s="1567"/>
      <c r="G54" s="1567"/>
      <c r="H54" s="934"/>
      <c r="I54" s="934"/>
      <c r="J54" s="934"/>
      <c r="K54" s="934"/>
      <c r="L54" s="1567"/>
      <c r="M54" s="934"/>
      <c r="N54" s="934"/>
      <c r="O54" s="934"/>
      <c r="P54" s="934"/>
      <c r="Q54" s="1567"/>
      <c r="R54" s="934"/>
      <c r="S54" s="934"/>
      <c r="T54" s="934"/>
      <c r="U54" s="934"/>
      <c r="V54" s="1567"/>
      <c r="W54" s="934"/>
      <c r="X54" s="934"/>
      <c r="Y54" s="934"/>
      <c r="Z54" s="934"/>
      <c r="AA54" s="1567"/>
      <c r="AB54" s="934"/>
      <c r="AC54" s="934"/>
      <c r="AD54" s="934"/>
      <c r="AE54" s="934"/>
      <c r="AF54" s="1567"/>
      <c r="AG54" s="934"/>
      <c r="AH54" s="934"/>
      <c r="AI54" s="934"/>
      <c r="AJ54" s="934"/>
      <c r="AK54" s="1567"/>
      <c r="AL54" s="934"/>
      <c r="AM54" s="934"/>
      <c r="AN54" s="934"/>
      <c r="AO54" s="934"/>
      <c r="AP54" s="1568"/>
      <c r="AQ54" s="951"/>
      <c r="AR54" s="951"/>
      <c r="AS54" s="951"/>
      <c r="AT54" s="951"/>
      <c r="AU54" s="1568"/>
      <c r="AV54" s="951"/>
      <c r="AW54" s="951"/>
      <c r="AX54" s="951"/>
      <c r="AY54" s="951"/>
      <c r="AZ54" s="1568"/>
      <c r="BA54" s="951"/>
      <c r="BB54" s="951"/>
      <c r="BC54" s="951"/>
      <c r="BD54" s="951"/>
      <c r="BE54" s="1568"/>
      <c r="BF54" s="934"/>
      <c r="BG54" s="934"/>
      <c r="BH54" s="935"/>
      <c r="BI54" s="934"/>
      <c r="BJ54" s="1567"/>
      <c r="BK54" s="934"/>
      <c r="BL54" s="934"/>
      <c r="BM54" s="934"/>
      <c r="BN54" s="934"/>
      <c r="BO54" s="1567"/>
      <c r="BP54" s="1567"/>
      <c r="BQ54" s="1567"/>
      <c r="BR54" s="1567"/>
      <c r="BS54" s="885"/>
    </row>
    <row r="55" spans="1:71" s="956" customFormat="1" ht="15" collapsed="1">
      <c r="A55" s="943" t="s">
        <v>831</v>
      </c>
      <c r="B55" s="952"/>
      <c r="C55" s="1563"/>
      <c r="D55" s="1563"/>
      <c r="E55" s="1563"/>
      <c r="F55" s="1563"/>
      <c r="G55" s="1563"/>
      <c r="H55" s="920"/>
      <c r="I55" s="920"/>
      <c r="J55" s="920"/>
      <c r="K55" s="920"/>
      <c r="L55" s="1563"/>
      <c r="M55" s="920"/>
      <c r="N55" s="920"/>
      <c r="O55" s="920"/>
      <c r="P55" s="920"/>
      <c r="Q55" s="1563"/>
      <c r="R55" s="920"/>
      <c r="S55" s="920"/>
      <c r="T55" s="920"/>
      <c r="U55" s="920"/>
      <c r="V55" s="1563"/>
      <c r="W55" s="920"/>
      <c r="X55" s="920"/>
      <c r="Y55" s="920"/>
      <c r="Z55" s="920"/>
      <c r="AA55" s="1563"/>
      <c r="AB55" s="920"/>
      <c r="AC55" s="920"/>
      <c r="AD55" s="920"/>
      <c r="AE55" s="920"/>
      <c r="AF55" s="1563"/>
      <c r="AG55" s="920"/>
      <c r="AH55" s="920"/>
      <c r="AI55" s="920"/>
      <c r="AJ55" s="920"/>
      <c r="AK55" s="1563"/>
      <c r="AL55" s="920"/>
      <c r="AM55" s="920"/>
      <c r="AN55" s="920"/>
      <c r="AO55" s="920"/>
      <c r="AP55" s="1335">
        <f>SUM(AP43:AP54)</f>
        <v>503.83299999999997</v>
      </c>
      <c r="AQ55" s="945"/>
      <c r="AR55" s="945"/>
      <c r="AS55" s="945"/>
      <c r="AT55" s="945"/>
      <c r="AU55" s="1335">
        <f>SUM(AU43:AU54)</f>
        <v>500.50</v>
      </c>
      <c r="AV55" s="945"/>
      <c r="AW55" s="945"/>
      <c r="AX55" s="945"/>
      <c r="AY55" s="945"/>
      <c r="AZ55" s="1335">
        <f>SUM(AZ43:AZ54)</f>
        <v>400</v>
      </c>
      <c r="BA55" s="945"/>
      <c r="BB55" s="945"/>
      <c r="BC55" s="945"/>
      <c r="BD55" s="945"/>
      <c r="BE55" s="1335">
        <f>SUM(BE43:BE54)</f>
        <v>380</v>
      </c>
      <c r="BF55" s="920"/>
      <c r="BG55" s="920"/>
      <c r="BH55" s="921"/>
      <c r="BI55" s="920"/>
      <c r="BJ55" s="1563"/>
      <c r="BK55" s="920"/>
      <c r="BL55" s="920"/>
      <c r="BM55" s="920"/>
      <c r="BN55" s="920"/>
      <c r="BO55" s="1563"/>
      <c r="BP55" s="1563"/>
      <c r="BQ55" s="1563"/>
      <c r="BR55" s="1563"/>
      <c r="BS55" s="924"/>
    </row>
    <row r="56" spans="1:71" s="705" customFormat="1" ht="15" hidden="1" outlineLevel="1">
      <c r="A56" s="948" t="s">
        <v>832</v>
      </c>
      <c r="B56" s="888"/>
      <c r="C56" s="1513"/>
      <c r="D56" s="1513"/>
      <c r="E56" s="1513"/>
      <c r="F56" s="1513"/>
      <c r="G56" s="1513"/>
      <c r="H56" s="231"/>
      <c r="I56" s="231"/>
      <c r="J56" s="231"/>
      <c r="K56" s="231"/>
      <c r="L56" s="1513"/>
      <c r="M56" s="231"/>
      <c r="N56" s="231"/>
      <c r="O56" s="231"/>
      <c r="P56" s="231"/>
      <c r="Q56" s="1513"/>
      <c r="R56" s="231"/>
      <c r="S56" s="231"/>
      <c r="T56" s="231"/>
      <c r="U56" s="231"/>
      <c r="V56" s="1513"/>
      <c r="W56" s="231"/>
      <c r="X56" s="231"/>
      <c r="Y56" s="231"/>
      <c r="Z56" s="231"/>
      <c r="AA56" s="1513"/>
      <c r="AB56" s="231"/>
      <c r="AC56" s="231"/>
      <c r="AD56" s="231"/>
      <c r="AE56" s="231"/>
      <c r="AF56" s="1513"/>
      <c r="AG56" s="231"/>
      <c r="AH56" s="231"/>
      <c r="AI56" s="231"/>
      <c r="AJ56" s="231"/>
      <c r="AK56" s="1513"/>
      <c r="AL56" s="231"/>
      <c r="AM56" s="231"/>
      <c r="AN56" s="231"/>
      <c r="AO56" s="231"/>
      <c r="AP56" s="1431">
        <v>280.072</v>
      </c>
      <c r="AQ56" s="945"/>
      <c r="AR56" s="945"/>
      <c r="AS56" s="945"/>
      <c r="AT56" s="945"/>
      <c r="AU56" s="1431">
        <v>310.07100000000003</v>
      </c>
      <c r="AV56" s="945"/>
      <c r="AW56" s="945"/>
      <c r="AX56" s="945"/>
      <c r="AY56" s="945"/>
      <c r="AZ56" s="1431">
        <v>325.07999999999998</v>
      </c>
      <c r="BA56" s="945"/>
      <c r="BB56" s="945"/>
      <c r="BC56" s="945"/>
      <c r="BD56" s="945"/>
      <c r="BE56" s="1431">
        <v>180.131</v>
      </c>
      <c r="BF56" s="231"/>
      <c r="BG56" s="231"/>
      <c r="BH56" s="903"/>
      <c r="BI56" s="81"/>
      <c r="BJ56" s="1514"/>
      <c r="BK56" s="81"/>
      <c r="BL56" s="81"/>
      <c r="BM56" s="81"/>
      <c r="BN56" s="81"/>
      <c r="BO56" s="1514"/>
      <c r="BP56" s="1514"/>
      <c r="BQ56" s="1514"/>
      <c r="BR56" s="1514"/>
      <c r="BS56" s="885"/>
    </row>
    <row r="57" spans="1:71" s="705" customFormat="1" ht="15" hidden="1" outlineLevel="1">
      <c r="A57" s="948" t="s">
        <v>833</v>
      </c>
      <c r="B57" s="888"/>
      <c r="C57" s="1513"/>
      <c r="D57" s="1513"/>
      <c r="E57" s="1513"/>
      <c r="F57" s="1513"/>
      <c r="G57" s="1513"/>
      <c r="H57" s="231"/>
      <c r="I57" s="231"/>
      <c r="J57" s="231"/>
      <c r="K57" s="231"/>
      <c r="L57" s="1513"/>
      <c r="M57" s="231"/>
      <c r="N57" s="231"/>
      <c r="O57" s="231"/>
      <c r="P57" s="231"/>
      <c r="Q57" s="1513"/>
      <c r="R57" s="231"/>
      <c r="S57" s="231"/>
      <c r="T57" s="231"/>
      <c r="U57" s="231"/>
      <c r="V57" s="1513"/>
      <c r="W57" s="231"/>
      <c r="X57" s="231"/>
      <c r="Y57" s="231"/>
      <c r="Z57" s="231"/>
      <c r="AA57" s="1513"/>
      <c r="AB57" s="231"/>
      <c r="AC57" s="231"/>
      <c r="AD57" s="231"/>
      <c r="AE57" s="231"/>
      <c r="AF57" s="1513"/>
      <c r="AG57" s="231"/>
      <c r="AH57" s="231"/>
      <c r="AI57" s="231"/>
      <c r="AJ57" s="231"/>
      <c r="AK57" s="1513"/>
      <c r="AL57" s="231"/>
      <c r="AM57" s="231"/>
      <c r="AN57" s="231"/>
      <c r="AO57" s="231"/>
      <c r="AP57" s="1431">
        <v>165.02799999999999</v>
      </c>
      <c r="AQ57" s="945"/>
      <c r="AR57" s="945"/>
      <c r="AS57" s="945"/>
      <c r="AT57" s="945"/>
      <c r="AU57" s="1431">
        <v>198.84299999999999</v>
      </c>
      <c r="AV57" s="945"/>
      <c r="AW57" s="945"/>
      <c r="AX57" s="945"/>
      <c r="AY57" s="945"/>
      <c r="AZ57" s="1431">
        <v>210.06200000000001</v>
      </c>
      <c r="BA57" s="945"/>
      <c r="BB57" s="945"/>
      <c r="BC57" s="945"/>
      <c r="BD57" s="945"/>
      <c r="BE57" s="1431">
        <v>325.03500000000003</v>
      </c>
      <c r="BF57" s="231"/>
      <c r="BG57" s="231"/>
      <c r="BH57" s="903"/>
      <c r="BI57" s="81"/>
      <c r="BJ57" s="1514"/>
      <c r="BK57" s="81"/>
      <c r="BL57" s="81"/>
      <c r="BM57" s="81"/>
      <c r="BN57" s="81"/>
      <c r="BO57" s="1514"/>
      <c r="BP57" s="1514"/>
      <c r="BQ57" s="1514"/>
      <c r="BR57" s="1514"/>
      <c r="BS57" s="885"/>
    </row>
    <row r="58" spans="1:71" s="705" customFormat="1" ht="15" hidden="1" outlineLevel="1">
      <c r="A58" s="948" t="s">
        <v>834</v>
      </c>
      <c r="B58" s="888"/>
      <c r="C58" s="1513"/>
      <c r="D58" s="1513"/>
      <c r="E58" s="1513"/>
      <c r="F58" s="1513"/>
      <c r="G58" s="1513"/>
      <c r="H58" s="231"/>
      <c r="I58" s="231"/>
      <c r="J58" s="231"/>
      <c r="K58" s="231"/>
      <c r="L58" s="1513"/>
      <c r="M58" s="231"/>
      <c r="N58" s="231"/>
      <c r="O58" s="231"/>
      <c r="P58" s="231"/>
      <c r="Q58" s="1513"/>
      <c r="R58" s="231"/>
      <c r="S58" s="231"/>
      <c r="T58" s="231"/>
      <c r="U58" s="231"/>
      <c r="V58" s="1513"/>
      <c r="W58" s="231"/>
      <c r="X58" s="231"/>
      <c r="Y58" s="231"/>
      <c r="Z58" s="231"/>
      <c r="AA58" s="1513"/>
      <c r="AB58" s="231"/>
      <c r="AC58" s="231"/>
      <c r="AD58" s="231"/>
      <c r="AE58" s="231"/>
      <c r="AF58" s="1513"/>
      <c r="AG58" s="231"/>
      <c r="AH58" s="231"/>
      <c r="AI58" s="231"/>
      <c r="AJ58" s="231"/>
      <c r="AK58" s="1513"/>
      <c r="AL58" s="231"/>
      <c r="AM58" s="231"/>
      <c r="AN58" s="231"/>
      <c r="AO58" s="231"/>
      <c r="AP58" s="1431">
        <v>174.015</v>
      </c>
      <c r="AQ58" s="945"/>
      <c r="AR58" s="945"/>
      <c r="AS58" s="945"/>
      <c r="AT58" s="945"/>
      <c r="AU58" s="1431">
        <v>195.00399999999999</v>
      </c>
      <c r="AV58" s="945"/>
      <c r="AW58" s="945"/>
      <c r="AX58" s="945"/>
      <c r="AY58" s="945"/>
      <c r="AZ58" s="1431">
        <v>204.025</v>
      </c>
      <c r="BA58" s="945"/>
      <c r="BB58" s="945"/>
      <c r="BC58" s="945"/>
      <c r="BD58" s="945"/>
      <c r="BE58" s="1431">
        <v>350.12</v>
      </c>
      <c r="BF58" s="231"/>
      <c r="BG58" s="231"/>
      <c r="BH58" s="903"/>
      <c r="BI58" s="81"/>
      <c r="BJ58" s="1514"/>
      <c r="BK58" s="81"/>
      <c r="BL58" s="81"/>
      <c r="BM58" s="81"/>
      <c r="BN58" s="81"/>
      <c r="BO58" s="1514"/>
      <c r="BP58" s="1514"/>
      <c r="BQ58" s="1514"/>
      <c r="BR58" s="1514"/>
      <c r="BS58" s="885"/>
    </row>
    <row r="59" spans="1:71" s="705" customFormat="1" ht="15" hidden="1" outlineLevel="1">
      <c r="A59" s="948" t="s">
        <v>835</v>
      </c>
      <c r="B59" s="888"/>
      <c r="C59" s="1513"/>
      <c r="D59" s="1513"/>
      <c r="E59" s="1513"/>
      <c r="F59" s="1513"/>
      <c r="G59" s="1513"/>
      <c r="H59" s="231"/>
      <c r="I59" s="231"/>
      <c r="J59" s="231"/>
      <c r="K59" s="231"/>
      <c r="L59" s="1513"/>
      <c r="M59" s="231"/>
      <c r="N59" s="231"/>
      <c r="O59" s="231"/>
      <c r="P59" s="231"/>
      <c r="Q59" s="1513"/>
      <c r="R59" s="231"/>
      <c r="S59" s="231"/>
      <c r="T59" s="231"/>
      <c r="U59" s="231"/>
      <c r="V59" s="1513"/>
      <c r="W59" s="231"/>
      <c r="X59" s="231"/>
      <c r="Y59" s="231"/>
      <c r="Z59" s="231"/>
      <c r="AA59" s="1513"/>
      <c r="AB59" s="231"/>
      <c r="AC59" s="231"/>
      <c r="AD59" s="231"/>
      <c r="AE59" s="231"/>
      <c r="AF59" s="1513"/>
      <c r="AG59" s="231"/>
      <c r="AH59" s="231"/>
      <c r="AI59" s="231"/>
      <c r="AJ59" s="231"/>
      <c r="AK59" s="1513"/>
      <c r="AL59" s="231"/>
      <c r="AM59" s="231"/>
      <c r="AN59" s="231"/>
      <c r="AO59" s="231"/>
      <c r="AP59" s="1431">
        <v>290.024</v>
      </c>
      <c r="AQ59" s="945"/>
      <c r="AR59" s="945"/>
      <c r="AS59" s="945"/>
      <c r="AT59" s="945"/>
      <c r="AU59" s="1431">
        <v>310.07100000000003</v>
      </c>
      <c r="AV59" s="945"/>
      <c r="AW59" s="945"/>
      <c r="AX59" s="945"/>
      <c r="AY59" s="945"/>
      <c r="AZ59" s="1431">
        <v>325.07999999999998</v>
      </c>
      <c r="BA59" s="945"/>
      <c r="BB59" s="945"/>
      <c r="BC59" s="945"/>
      <c r="BD59" s="945"/>
      <c r="BE59" s="1431">
        <v>204.01400000000001</v>
      </c>
      <c r="BF59" s="231"/>
      <c r="BG59" s="231"/>
      <c r="BH59" s="903"/>
      <c r="BI59" s="81"/>
      <c r="BJ59" s="1514"/>
      <c r="BK59" s="81"/>
      <c r="BL59" s="81"/>
      <c r="BM59" s="81"/>
      <c r="BN59" s="81"/>
      <c r="BO59" s="1514"/>
      <c r="BP59" s="1514"/>
      <c r="BQ59" s="1514"/>
      <c r="BR59" s="1514"/>
      <c r="BS59" s="885"/>
    </row>
    <row r="60" spans="1:71" s="705" customFormat="1" ht="15" hidden="1" outlineLevel="1">
      <c r="A60" s="948" t="s">
        <v>836</v>
      </c>
      <c r="B60" s="888"/>
      <c r="C60" s="1513"/>
      <c r="D60" s="1513"/>
      <c r="E60" s="1513"/>
      <c r="F60" s="1513"/>
      <c r="G60" s="1513"/>
      <c r="H60" s="231"/>
      <c r="I60" s="231"/>
      <c r="J60" s="231"/>
      <c r="K60" s="231"/>
      <c r="L60" s="1513"/>
      <c r="M60" s="231"/>
      <c r="N60" s="231"/>
      <c r="O60" s="231"/>
      <c r="P60" s="231"/>
      <c r="Q60" s="1513"/>
      <c r="R60" s="231"/>
      <c r="S60" s="231"/>
      <c r="T60" s="231"/>
      <c r="U60" s="231"/>
      <c r="V60" s="1513"/>
      <c r="W60" s="231"/>
      <c r="X60" s="231"/>
      <c r="Y60" s="231"/>
      <c r="Z60" s="231"/>
      <c r="AA60" s="1513"/>
      <c r="AB60" s="231"/>
      <c r="AC60" s="231"/>
      <c r="AD60" s="231"/>
      <c r="AE60" s="231"/>
      <c r="AF60" s="1513"/>
      <c r="AG60" s="231"/>
      <c r="AH60" s="231"/>
      <c r="AI60" s="231"/>
      <c r="AJ60" s="231"/>
      <c r="AK60" s="1513"/>
      <c r="AL60" s="231"/>
      <c r="AM60" s="231"/>
      <c r="AN60" s="231"/>
      <c r="AO60" s="231"/>
      <c r="AP60" s="1431">
        <v>305.02699999999999</v>
      </c>
      <c r="AQ60" s="945"/>
      <c r="AR60" s="945"/>
      <c r="AS60" s="945"/>
      <c r="AT60" s="945"/>
      <c r="AU60" s="1431">
        <v>325.00599999999997</v>
      </c>
      <c r="AV60" s="945"/>
      <c r="AW60" s="945"/>
      <c r="AX60" s="945"/>
      <c r="AY60" s="945"/>
      <c r="AZ60" s="1431">
        <v>340.00599999999997</v>
      </c>
      <c r="BA60" s="945"/>
      <c r="BB60" s="945"/>
      <c r="BC60" s="945"/>
      <c r="BD60" s="945"/>
      <c r="BE60" s="1431">
        <v>325.03500000000003</v>
      </c>
      <c r="BF60" s="231"/>
      <c r="BG60" s="231"/>
      <c r="BH60" s="903"/>
      <c r="BI60" s="81"/>
      <c r="BJ60" s="1514"/>
      <c r="BK60" s="81"/>
      <c r="BL60" s="81"/>
      <c r="BM60" s="81"/>
      <c r="BN60" s="81"/>
      <c r="BO60" s="1514"/>
      <c r="BP60" s="1514"/>
      <c r="BQ60" s="1514"/>
      <c r="BR60" s="1514"/>
      <c r="BS60" s="885"/>
    </row>
    <row r="61" spans="1:71" s="705" customFormat="1" ht="15" hidden="1" outlineLevel="1">
      <c r="A61" s="948" t="s">
        <v>837</v>
      </c>
      <c r="B61" s="888"/>
      <c r="C61" s="1513"/>
      <c r="D61" s="1513"/>
      <c r="E61" s="1513"/>
      <c r="F61" s="1513"/>
      <c r="G61" s="1513"/>
      <c r="H61" s="231"/>
      <c r="I61" s="231"/>
      <c r="J61" s="231"/>
      <c r="K61" s="231"/>
      <c r="L61" s="1513"/>
      <c r="M61" s="231"/>
      <c r="N61" s="231"/>
      <c r="O61" s="231"/>
      <c r="P61" s="231"/>
      <c r="Q61" s="1513"/>
      <c r="R61" s="231"/>
      <c r="S61" s="231"/>
      <c r="T61" s="231"/>
      <c r="U61" s="231"/>
      <c r="V61" s="1513"/>
      <c r="W61" s="231"/>
      <c r="X61" s="231"/>
      <c r="Y61" s="231"/>
      <c r="Z61" s="231"/>
      <c r="AA61" s="1513"/>
      <c r="AB61" s="231"/>
      <c r="AC61" s="231"/>
      <c r="AD61" s="231"/>
      <c r="AE61" s="231"/>
      <c r="AF61" s="1513"/>
      <c r="AG61" s="231"/>
      <c r="AH61" s="231"/>
      <c r="AI61" s="231"/>
      <c r="AJ61" s="231"/>
      <c r="AK61" s="1513"/>
      <c r="AL61" s="231"/>
      <c r="AM61" s="231"/>
      <c r="AN61" s="231"/>
      <c r="AO61" s="231"/>
      <c r="AP61" s="1431">
        <v>470.055</v>
      </c>
      <c r="AQ61" s="945"/>
      <c r="AR61" s="945"/>
      <c r="AS61" s="945"/>
      <c r="AT61" s="945"/>
      <c r="AU61" s="1431">
        <v>505.07400000000001</v>
      </c>
      <c r="AV61" s="945"/>
      <c r="AW61" s="945"/>
      <c r="AX61" s="945"/>
      <c r="AY61" s="945"/>
      <c r="AZ61" s="1431">
        <v>520.105</v>
      </c>
      <c r="BA61" s="945"/>
      <c r="BB61" s="945"/>
      <c r="BC61" s="945"/>
      <c r="BD61" s="945"/>
      <c r="BE61" s="1431">
        <v>340.113</v>
      </c>
      <c r="BF61" s="231"/>
      <c r="BG61" s="231"/>
      <c r="BH61" s="903"/>
      <c r="BI61" s="81"/>
      <c r="BJ61" s="1514"/>
      <c r="BK61" s="81"/>
      <c r="BL61" s="81"/>
      <c r="BM61" s="81"/>
      <c r="BN61" s="81"/>
      <c r="BO61" s="1514"/>
      <c r="BP61" s="1514"/>
      <c r="BQ61" s="1514"/>
      <c r="BR61" s="1514"/>
      <c r="BS61" s="885"/>
    </row>
    <row r="62" spans="1:71" s="705" customFormat="1" ht="15" hidden="1" outlineLevel="1">
      <c r="A62" s="948" t="s">
        <v>838</v>
      </c>
      <c r="B62" s="888"/>
      <c r="C62" s="1513"/>
      <c r="D62" s="1513"/>
      <c r="E62" s="1513"/>
      <c r="F62" s="1513"/>
      <c r="G62" s="1513"/>
      <c r="H62" s="231"/>
      <c r="I62" s="231"/>
      <c r="J62" s="231"/>
      <c r="K62" s="231"/>
      <c r="L62" s="1513"/>
      <c r="M62" s="231"/>
      <c r="N62" s="231"/>
      <c r="O62" s="231"/>
      <c r="P62" s="231"/>
      <c r="Q62" s="1513"/>
      <c r="R62" s="231"/>
      <c r="S62" s="231"/>
      <c r="T62" s="231"/>
      <c r="U62" s="231"/>
      <c r="V62" s="1513"/>
      <c r="W62" s="231"/>
      <c r="X62" s="231"/>
      <c r="Y62" s="231"/>
      <c r="Z62" s="231"/>
      <c r="AA62" s="1513"/>
      <c r="AB62" s="231"/>
      <c r="AC62" s="231"/>
      <c r="AD62" s="231"/>
      <c r="AE62" s="231"/>
      <c r="AF62" s="1513"/>
      <c r="AG62" s="231"/>
      <c r="AH62" s="231"/>
      <c r="AI62" s="231"/>
      <c r="AJ62" s="231"/>
      <c r="AK62" s="1513"/>
      <c r="AL62" s="231"/>
      <c r="AM62" s="231"/>
      <c r="AN62" s="231"/>
      <c r="AO62" s="231"/>
      <c r="AP62" s="1431">
        <v>92.786000000000001</v>
      </c>
      <c r="AQ62" s="945"/>
      <c r="AR62" s="945"/>
      <c r="AS62" s="945"/>
      <c r="AT62" s="945"/>
      <c r="AU62" s="1431">
        <v>285.03800000000001</v>
      </c>
      <c r="AV62" s="945"/>
      <c r="AW62" s="945"/>
      <c r="AX62" s="945"/>
      <c r="AY62" s="945"/>
      <c r="AZ62" s="1431">
        <v>300.05700000000002</v>
      </c>
      <c r="BA62" s="945"/>
      <c r="BB62" s="945"/>
      <c r="BC62" s="945"/>
      <c r="BD62" s="945"/>
      <c r="BE62" s="1431">
        <v>520.11</v>
      </c>
      <c r="BF62" s="231"/>
      <c r="BG62" s="231"/>
      <c r="BH62" s="903"/>
      <c r="BI62" s="81"/>
      <c r="BJ62" s="1514"/>
      <c r="BK62" s="81"/>
      <c r="BL62" s="81"/>
      <c r="BM62" s="81"/>
      <c r="BN62" s="81"/>
      <c r="BO62" s="1514"/>
      <c r="BP62" s="1514"/>
      <c r="BQ62" s="1514"/>
      <c r="BR62" s="1514"/>
      <c r="BS62" s="885"/>
    </row>
    <row r="63" spans="1:71" s="705" customFormat="1" ht="15" hidden="1" outlineLevel="1">
      <c r="A63" s="948" t="s">
        <v>839</v>
      </c>
      <c r="B63" s="888"/>
      <c r="C63" s="1513"/>
      <c r="D63" s="1513"/>
      <c r="E63" s="1513"/>
      <c r="F63" s="1513"/>
      <c r="G63" s="1513"/>
      <c r="H63" s="231"/>
      <c r="I63" s="231"/>
      <c r="J63" s="231"/>
      <c r="K63" s="231"/>
      <c r="L63" s="1513"/>
      <c r="M63" s="231"/>
      <c r="N63" s="231"/>
      <c r="O63" s="231"/>
      <c r="P63" s="231"/>
      <c r="Q63" s="1513"/>
      <c r="R63" s="231"/>
      <c r="S63" s="231"/>
      <c r="T63" s="231"/>
      <c r="U63" s="231"/>
      <c r="V63" s="1513"/>
      <c r="W63" s="231"/>
      <c r="X63" s="231"/>
      <c r="Y63" s="231"/>
      <c r="Z63" s="231"/>
      <c r="AA63" s="1513"/>
      <c r="AB63" s="231"/>
      <c r="AC63" s="231"/>
      <c r="AD63" s="231"/>
      <c r="AE63" s="231"/>
      <c r="AF63" s="1513"/>
      <c r="AG63" s="231"/>
      <c r="AH63" s="231"/>
      <c r="AI63" s="231"/>
      <c r="AJ63" s="231"/>
      <c r="AK63" s="1513"/>
      <c r="AL63" s="231"/>
      <c r="AM63" s="231"/>
      <c r="AN63" s="231"/>
      <c r="AO63" s="231"/>
      <c r="AP63" s="1431">
        <v>165.02799999999999</v>
      </c>
      <c r="AQ63" s="945"/>
      <c r="AR63" s="945"/>
      <c r="AS63" s="945"/>
      <c r="AT63" s="945"/>
      <c r="AU63" s="1431">
        <v>177.018</v>
      </c>
      <c r="AV63" s="945"/>
      <c r="AW63" s="945"/>
      <c r="AX63" s="945"/>
      <c r="AY63" s="945"/>
      <c r="AZ63" s="1431">
        <v>186.02600000000001</v>
      </c>
      <c r="BA63" s="945"/>
      <c r="BB63" s="945"/>
      <c r="BC63" s="945"/>
      <c r="BD63" s="945"/>
      <c r="BE63" s="1431">
        <v>300.084</v>
      </c>
      <c r="BF63" s="231"/>
      <c r="BG63" s="231"/>
      <c r="BH63" s="903"/>
      <c r="BI63" s="81"/>
      <c r="BJ63" s="1514"/>
      <c r="BK63" s="81"/>
      <c r="BL63" s="81"/>
      <c r="BM63" s="81"/>
      <c r="BN63" s="81"/>
      <c r="BO63" s="1514"/>
      <c r="BP63" s="1514"/>
      <c r="BQ63" s="1514"/>
      <c r="BR63" s="1514"/>
      <c r="BS63" s="885"/>
    </row>
    <row r="64" spans="1:71" s="705" customFormat="1" ht="15" hidden="1" outlineLevel="1">
      <c r="A64" s="948" t="s">
        <v>840</v>
      </c>
      <c r="B64" s="888"/>
      <c r="C64" s="1513"/>
      <c r="D64" s="1513"/>
      <c r="E64" s="1513"/>
      <c r="F64" s="1513"/>
      <c r="G64" s="1513"/>
      <c r="H64" s="231"/>
      <c r="I64" s="231"/>
      <c r="J64" s="231"/>
      <c r="K64" s="231"/>
      <c r="L64" s="1513"/>
      <c r="M64" s="231"/>
      <c r="N64" s="231"/>
      <c r="O64" s="231"/>
      <c r="P64" s="231"/>
      <c r="Q64" s="1513"/>
      <c r="R64" s="231"/>
      <c r="S64" s="231"/>
      <c r="T64" s="231"/>
      <c r="U64" s="231"/>
      <c r="V64" s="1513"/>
      <c r="W64" s="231"/>
      <c r="X64" s="231"/>
      <c r="Y64" s="231"/>
      <c r="Z64" s="231"/>
      <c r="AA64" s="1513"/>
      <c r="AB64" s="231"/>
      <c r="AC64" s="231"/>
      <c r="AD64" s="231"/>
      <c r="AE64" s="231"/>
      <c r="AF64" s="1513"/>
      <c r="AG64" s="231"/>
      <c r="AH64" s="231"/>
      <c r="AI64" s="231"/>
      <c r="AJ64" s="231"/>
      <c r="AK64" s="1513"/>
      <c r="AL64" s="231"/>
      <c r="AM64" s="231"/>
      <c r="AN64" s="231"/>
      <c r="AO64" s="231"/>
      <c r="AP64" s="1431">
        <v>315.053</v>
      </c>
      <c r="AQ64" s="945"/>
      <c r="AR64" s="945"/>
      <c r="AS64" s="945"/>
      <c r="AT64" s="945"/>
      <c r="AU64" s="1335"/>
      <c r="AV64" s="945"/>
      <c r="AW64" s="945"/>
      <c r="AX64" s="945"/>
      <c r="AY64" s="945"/>
      <c r="AZ64" s="1431">
        <v>300.05700000000002</v>
      </c>
      <c r="BA64" s="945"/>
      <c r="BB64" s="945"/>
      <c r="BC64" s="945"/>
      <c r="BD64" s="945"/>
      <c r="BE64" s="1431">
        <v>186.001</v>
      </c>
      <c r="BF64" s="231"/>
      <c r="BG64" s="231"/>
      <c r="BH64" s="903"/>
      <c r="BI64" s="81"/>
      <c r="BJ64" s="1514"/>
      <c r="BK64" s="81"/>
      <c r="BL64" s="81"/>
      <c r="BM64" s="81"/>
      <c r="BN64" s="81"/>
      <c r="BO64" s="1514"/>
      <c r="BP64" s="1514"/>
      <c r="BQ64" s="1514"/>
      <c r="BR64" s="1514"/>
      <c r="BS64" s="885"/>
    </row>
    <row r="65" spans="1:71" s="705" customFormat="1" ht="15" hidden="1" outlineLevel="1">
      <c r="A65" s="948" t="s">
        <v>841</v>
      </c>
      <c r="B65" s="888"/>
      <c r="C65" s="1513"/>
      <c r="D65" s="1513"/>
      <c r="E65" s="1513"/>
      <c r="F65" s="1513"/>
      <c r="G65" s="1513"/>
      <c r="H65" s="231"/>
      <c r="I65" s="231"/>
      <c r="J65" s="231"/>
      <c r="K65" s="231"/>
      <c r="L65" s="1513"/>
      <c r="M65" s="231"/>
      <c r="N65" s="231"/>
      <c r="O65" s="231"/>
      <c r="P65" s="231"/>
      <c r="Q65" s="1513"/>
      <c r="R65" s="231"/>
      <c r="S65" s="231"/>
      <c r="T65" s="231"/>
      <c r="U65" s="231"/>
      <c r="V65" s="1513"/>
      <c r="W65" s="231"/>
      <c r="X65" s="231"/>
      <c r="Y65" s="231"/>
      <c r="Z65" s="231"/>
      <c r="AA65" s="1513"/>
      <c r="AB65" s="231"/>
      <c r="AC65" s="231"/>
      <c r="AD65" s="231"/>
      <c r="AE65" s="231"/>
      <c r="AF65" s="1513"/>
      <c r="AG65" s="231"/>
      <c r="AH65" s="231"/>
      <c r="AI65" s="231"/>
      <c r="AJ65" s="231"/>
      <c r="AK65" s="1513"/>
      <c r="AL65" s="231"/>
      <c r="AM65" s="231"/>
      <c r="AN65" s="231"/>
      <c r="AO65" s="231"/>
      <c r="AP65" s="1431">
        <v>265.07</v>
      </c>
      <c r="AQ65" s="945"/>
      <c r="AR65" s="945"/>
      <c r="AS65" s="945"/>
      <c r="AT65" s="945"/>
      <c r="AU65" s="1431">
        <v>285.03800000000001</v>
      </c>
      <c r="AV65" s="945"/>
      <c r="AW65" s="945"/>
      <c r="AX65" s="945"/>
      <c r="AY65" s="945"/>
      <c r="AZ65" s="1431">
        <v>315.09199999999998</v>
      </c>
      <c r="BA65" s="945"/>
      <c r="BB65" s="945"/>
      <c r="BC65" s="945"/>
      <c r="BD65" s="945"/>
      <c r="BE65" s="1431">
        <v>300.084</v>
      </c>
      <c r="BF65" s="231"/>
      <c r="BG65" s="231"/>
      <c r="BH65" s="903"/>
      <c r="BI65" s="81"/>
      <c r="BJ65" s="1514"/>
      <c r="BK65" s="81"/>
      <c r="BL65" s="81"/>
      <c r="BM65" s="81"/>
      <c r="BN65" s="81"/>
      <c r="BO65" s="1514"/>
      <c r="BP65" s="1514"/>
      <c r="BQ65" s="1514"/>
      <c r="BR65" s="1514"/>
      <c r="BS65" s="885"/>
    </row>
    <row r="66" spans="1:71" s="705" customFormat="1" ht="15" hidden="1" outlineLevel="1">
      <c r="A66" s="948" t="s">
        <v>842</v>
      </c>
      <c r="B66" s="888"/>
      <c r="C66" s="1513"/>
      <c r="D66" s="1513"/>
      <c r="E66" s="1513"/>
      <c r="F66" s="1513"/>
      <c r="G66" s="1513"/>
      <c r="H66" s="231"/>
      <c r="I66" s="231"/>
      <c r="J66" s="231"/>
      <c r="K66" s="231"/>
      <c r="L66" s="1513"/>
      <c r="M66" s="231"/>
      <c r="N66" s="231"/>
      <c r="O66" s="231"/>
      <c r="P66" s="231"/>
      <c r="Q66" s="1513"/>
      <c r="R66" s="231"/>
      <c r="S66" s="231"/>
      <c r="T66" s="231"/>
      <c r="U66" s="231"/>
      <c r="V66" s="1513"/>
      <c r="W66" s="231"/>
      <c r="X66" s="231"/>
      <c r="Y66" s="231"/>
      <c r="Z66" s="231"/>
      <c r="AA66" s="1513"/>
      <c r="AB66" s="231"/>
      <c r="AC66" s="231"/>
      <c r="AD66" s="231"/>
      <c r="AE66" s="231"/>
      <c r="AF66" s="1513"/>
      <c r="AG66" s="231"/>
      <c r="AH66" s="231"/>
      <c r="AI66" s="231"/>
      <c r="AJ66" s="231"/>
      <c r="AK66" s="1513"/>
      <c r="AL66" s="231"/>
      <c r="AM66" s="231"/>
      <c r="AN66" s="231"/>
      <c r="AO66" s="231"/>
      <c r="AP66" s="1431">
        <v>159.012</v>
      </c>
      <c r="AQ66" s="945"/>
      <c r="AR66" s="945"/>
      <c r="AS66" s="945"/>
      <c r="AT66" s="945"/>
      <c r="AU66" s="1431">
        <v>180.06800000000001</v>
      </c>
      <c r="AV66" s="945"/>
      <c r="AW66" s="945"/>
      <c r="AX66" s="945"/>
      <c r="AY66" s="945"/>
      <c r="AZ66" s="1431">
        <v>315.09199999999998</v>
      </c>
      <c r="BA66" s="945"/>
      <c r="BB66" s="945"/>
      <c r="BC66" s="945"/>
      <c r="BD66" s="945"/>
      <c r="BE66" s="1335"/>
      <c r="BF66" s="231"/>
      <c r="BG66" s="231"/>
      <c r="BH66" s="903"/>
      <c r="BI66" s="81"/>
      <c r="BJ66" s="1514"/>
      <c r="BK66" s="81"/>
      <c r="BL66" s="81"/>
      <c r="BM66" s="81"/>
      <c r="BN66" s="81"/>
      <c r="BO66" s="1514"/>
      <c r="BP66" s="1514"/>
      <c r="BQ66" s="1514"/>
      <c r="BR66" s="1514"/>
      <c r="BS66" s="885"/>
    </row>
    <row r="67" spans="1:71" s="705" customFormat="1" ht="15" hidden="1" outlineLevel="1">
      <c r="A67" s="949" t="s">
        <v>843</v>
      </c>
      <c r="B67" s="932"/>
      <c r="C67" s="1567"/>
      <c r="D67" s="1567"/>
      <c r="E67" s="1567"/>
      <c r="F67" s="1567"/>
      <c r="G67" s="1567"/>
      <c r="H67" s="934"/>
      <c r="I67" s="934"/>
      <c r="J67" s="934"/>
      <c r="K67" s="934"/>
      <c r="L67" s="1567"/>
      <c r="M67" s="934"/>
      <c r="N67" s="934"/>
      <c r="O67" s="934"/>
      <c r="P67" s="934"/>
      <c r="Q67" s="1567"/>
      <c r="R67" s="934"/>
      <c r="S67" s="934"/>
      <c r="T67" s="934"/>
      <c r="U67" s="934"/>
      <c r="V67" s="1567"/>
      <c r="W67" s="934"/>
      <c r="X67" s="934"/>
      <c r="Y67" s="934"/>
      <c r="Z67" s="934"/>
      <c r="AA67" s="1567"/>
      <c r="AB67" s="934"/>
      <c r="AC67" s="934"/>
      <c r="AD67" s="934"/>
      <c r="AE67" s="934"/>
      <c r="AF67" s="1567"/>
      <c r="AG67" s="934"/>
      <c r="AH67" s="934"/>
      <c r="AI67" s="934"/>
      <c r="AJ67" s="934"/>
      <c r="AK67" s="1567"/>
      <c r="AL67" s="934"/>
      <c r="AM67" s="934"/>
      <c r="AN67" s="934"/>
      <c r="AO67" s="934"/>
      <c r="AP67" s="1569">
        <v>265.07</v>
      </c>
      <c r="AQ67" s="951"/>
      <c r="AR67" s="951"/>
      <c r="AS67" s="951"/>
      <c r="AT67" s="951"/>
      <c r="AU67" s="1569">
        <v>300.07900000000001</v>
      </c>
      <c r="AV67" s="951"/>
      <c r="AW67" s="951"/>
      <c r="AX67" s="951"/>
      <c r="AY67" s="951"/>
      <c r="AZ67" s="1568"/>
      <c r="BA67" s="951"/>
      <c r="BB67" s="951"/>
      <c r="BC67" s="951"/>
      <c r="BD67" s="951"/>
      <c r="BE67" s="1569">
        <v>315.02800000000002</v>
      </c>
      <c r="BF67" s="934"/>
      <c r="BG67" s="934"/>
      <c r="BH67" s="935"/>
      <c r="BI67" s="934"/>
      <c r="BJ67" s="1567"/>
      <c r="BK67" s="934"/>
      <c r="BL67" s="934"/>
      <c r="BM67" s="934"/>
      <c r="BN67" s="934"/>
      <c r="BO67" s="1567"/>
      <c r="BP67" s="1567"/>
      <c r="BQ67" s="1567"/>
      <c r="BR67" s="1567"/>
      <c r="BS67" s="885"/>
    </row>
    <row r="68" spans="1:71" s="956" customFormat="1" ht="15" collapsed="1">
      <c r="A68" s="926" t="s">
        <v>844</v>
      </c>
      <c r="B68" s="918"/>
      <c r="C68" s="1563"/>
      <c r="D68" s="1563"/>
      <c r="E68" s="1563"/>
      <c r="F68" s="1563"/>
      <c r="G68" s="1563"/>
      <c r="H68" s="920"/>
      <c r="I68" s="920"/>
      <c r="J68" s="920"/>
      <c r="K68" s="920"/>
      <c r="L68" s="1563"/>
      <c r="M68" s="920"/>
      <c r="N68" s="920"/>
      <c r="O68" s="920"/>
      <c r="P68" s="920"/>
      <c r="Q68" s="1563"/>
      <c r="R68" s="920"/>
      <c r="S68" s="920"/>
      <c r="T68" s="920"/>
      <c r="U68" s="920"/>
      <c r="V68" s="1563"/>
      <c r="W68" s="920"/>
      <c r="X68" s="920"/>
      <c r="Y68" s="920"/>
      <c r="Z68" s="920"/>
      <c r="AA68" s="1563"/>
      <c r="AB68" s="920"/>
      <c r="AC68" s="920"/>
      <c r="AD68" s="920"/>
      <c r="AE68" s="920"/>
      <c r="AF68" s="1563"/>
      <c r="AG68" s="920"/>
      <c r="AH68" s="920"/>
      <c r="AI68" s="920"/>
      <c r="AJ68" s="920"/>
      <c r="AK68" s="1563"/>
      <c r="AL68" s="920"/>
      <c r="AM68" s="920"/>
      <c r="AN68" s="920"/>
      <c r="AO68" s="920"/>
      <c r="AP68" s="1335">
        <f>SUM(AP56:AP67)</f>
        <v>2946.2400000000007</v>
      </c>
      <c r="AQ68" s="945"/>
      <c r="AR68" s="945"/>
      <c r="AS68" s="945"/>
      <c r="AT68" s="945"/>
      <c r="AU68" s="1335">
        <f>SUM(AU56:AU67)</f>
        <v>3071.3100000000004</v>
      </c>
      <c r="AV68" s="945"/>
      <c r="AW68" s="945"/>
      <c r="AX68" s="945"/>
      <c r="AY68" s="945"/>
      <c r="AZ68" s="1335">
        <f>SUM(AZ56:AZ67)</f>
        <v>3340.6819999999998</v>
      </c>
      <c r="BA68" s="945"/>
      <c r="BB68" s="945"/>
      <c r="BC68" s="945"/>
      <c r="BD68" s="945"/>
      <c r="BE68" s="1335">
        <f>SUM(BE56:BE67)</f>
        <v>3345.7550000000001</v>
      </c>
      <c r="BF68" s="920"/>
      <c r="BG68" s="920"/>
      <c r="BH68" s="921"/>
      <c r="BI68" s="922"/>
      <c r="BJ68" s="1565"/>
      <c r="BK68" s="922"/>
      <c r="BL68" s="922"/>
      <c r="BM68" s="922"/>
      <c r="BN68" s="922"/>
      <c r="BO68" s="1565"/>
      <c r="BP68" s="1565"/>
      <c r="BQ68" s="1565"/>
      <c r="BR68" s="1565"/>
      <c r="BS68" s="924"/>
    </row>
    <row r="69" spans="1:71" s="705" customFormat="1" ht="15" hidden="1" outlineLevel="1">
      <c r="A69" s="948" t="s">
        <v>845</v>
      </c>
      <c r="B69" s="888"/>
      <c r="C69" s="1513"/>
      <c r="D69" s="1513"/>
      <c r="E69" s="1513"/>
      <c r="F69" s="1513"/>
      <c r="G69" s="1513"/>
      <c r="H69" s="231"/>
      <c r="I69" s="231"/>
      <c r="J69" s="231"/>
      <c r="K69" s="231"/>
      <c r="L69" s="1513"/>
      <c r="M69" s="231"/>
      <c r="N69" s="231"/>
      <c r="O69" s="231"/>
      <c r="P69" s="231"/>
      <c r="Q69" s="1513"/>
      <c r="R69" s="231"/>
      <c r="S69" s="231"/>
      <c r="T69" s="231"/>
      <c r="U69" s="231"/>
      <c r="V69" s="1513"/>
      <c r="W69" s="231"/>
      <c r="X69" s="231"/>
      <c r="Y69" s="231"/>
      <c r="Z69" s="231"/>
      <c r="AA69" s="1513"/>
      <c r="AB69" s="231"/>
      <c r="AC69" s="231"/>
      <c r="AD69" s="231"/>
      <c r="AE69" s="231"/>
      <c r="AF69" s="1513"/>
      <c r="AG69" s="231"/>
      <c r="AH69" s="231"/>
      <c r="AI69" s="231"/>
      <c r="AJ69" s="231"/>
      <c r="AK69" s="1513"/>
      <c r="AL69" s="231"/>
      <c r="AM69" s="231"/>
      <c r="AN69" s="231"/>
      <c r="AO69" s="231"/>
      <c r="AP69" s="1335"/>
      <c r="AQ69" s="945"/>
      <c r="AR69" s="945"/>
      <c r="AS69" s="945"/>
      <c r="AT69" s="945"/>
      <c r="AU69" s="1335"/>
      <c r="AV69" s="945"/>
      <c r="AW69" s="945"/>
      <c r="AX69" s="945"/>
      <c r="AY69" s="945"/>
      <c r="AZ69" s="1335"/>
      <c r="BA69" s="945"/>
      <c r="BB69" s="945"/>
      <c r="BC69" s="945"/>
      <c r="BD69" s="945"/>
      <c r="BE69" s="1335"/>
      <c r="BF69" s="231"/>
      <c r="BG69" s="231"/>
      <c r="BH69" s="903"/>
      <c r="BI69" s="81"/>
      <c r="BJ69" s="1514"/>
      <c r="BK69" s="81"/>
      <c r="BL69" s="81"/>
      <c r="BM69" s="81"/>
      <c r="BN69" s="81"/>
      <c r="BO69" s="1514"/>
      <c r="BP69" s="1514"/>
      <c r="BQ69" s="1514"/>
      <c r="BR69" s="1514"/>
      <c r="BS69" s="885"/>
    </row>
    <row r="70" spans="1:71" s="705" customFormat="1" ht="15" hidden="1" outlineLevel="1">
      <c r="A70" s="948" t="s">
        <v>846</v>
      </c>
      <c r="B70" s="888"/>
      <c r="C70" s="1513"/>
      <c r="D70" s="1513"/>
      <c r="E70" s="1513"/>
      <c r="F70" s="1513"/>
      <c r="G70" s="1513"/>
      <c r="H70" s="231"/>
      <c r="I70" s="231"/>
      <c r="J70" s="231"/>
      <c r="K70" s="231"/>
      <c r="L70" s="1513"/>
      <c r="M70" s="231"/>
      <c r="N70" s="231"/>
      <c r="O70" s="231"/>
      <c r="P70" s="231"/>
      <c r="Q70" s="1513"/>
      <c r="R70" s="231"/>
      <c r="S70" s="231"/>
      <c r="T70" s="231"/>
      <c r="U70" s="231"/>
      <c r="V70" s="1513"/>
      <c r="W70" s="231"/>
      <c r="X70" s="231"/>
      <c r="Y70" s="231"/>
      <c r="Z70" s="231"/>
      <c r="AA70" s="1513"/>
      <c r="AB70" s="231"/>
      <c r="AC70" s="231"/>
      <c r="AD70" s="231"/>
      <c r="AE70" s="231"/>
      <c r="AF70" s="1513"/>
      <c r="AG70" s="231"/>
      <c r="AH70" s="231"/>
      <c r="AI70" s="231"/>
      <c r="AJ70" s="231"/>
      <c r="AK70" s="1513"/>
      <c r="AL70" s="231"/>
      <c r="AM70" s="231"/>
      <c r="AN70" s="231"/>
      <c r="AO70" s="231"/>
      <c r="AP70" s="1335"/>
      <c r="AQ70" s="945"/>
      <c r="AR70" s="945"/>
      <c r="AS70" s="945"/>
      <c r="AT70" s="945"/>
      <c r="AU70" s="1335"/>
      <c r="AV70" s="945"/>
      <c r="AW70" s="945"/>
      <c r="AX70" s="945"/>
      <c r="AY70" s="945"/>
      <c r="AZ70" s="1335"/>
      <c r="BA70" s="945"/>
      <c r="BB70" s="945"/>
      <c r="BC70" s="945"/>
      <c r="BD70" s="945"/>
      <c r="BE70" s="1335"/>
      <c r="BF70" s="231"/>
      <c r="BG70" s="231"/>
      <c r="BH70" s="903"/>
      <c r="BI70" s="81"/>
      <c r="BJ70" s="1514"/>
      <c r="BK70" s="81"/>
      <c r="BL70" s="81"/>
      <c r="BM70" s="81"/>
      <c r="BN70" s="81"/>
      <c r="BO70" s="1514"/>
      <c r="BP70" s="1514"/>
      <c r="BQ70" s="1514"/>
      <c r="BR70" s="1514"/>
      <c r="BS70" s="885"/>
    </row>
    <row r="71" spans="1:71" s="705" customFormat="1" ht="15" hidden="1" outlineLevel="1">
      <c r="A71" s="948" t="s">
        <v>847</v>
      </c>
      <c r="B71" s="888"/>
      <c r="C71" s="1513"/>
      <c r="D71" s="1513"/>
      <c r="E71" s="1513"/>
      <c r="F71" s="1513"/>
      <c r="G71" s="1513"/>
      <c r="H71" s="231"/>
      <c r="I71" s="231"/>
      <c r="J71" s="231"/>
      <c r="K71" s="231"/>
      <c r="L71" s="1513"/>
      <c r="M71" s="231"/>
      <c r="N71" s="231"/>
      <c r="O71" s="231"/>
      <c r="P71" s="231"/>
      <c r="Q71" s="1513"/>
      <c r="R71" s="231"/>
      <c r="S71" s="231"/>
      <c r="T71" s="231"/>
      <c r="U71" s="231"/>
      <c r="V71" s="1513"/>
      <c r="W71" s="231"/>
      <c r="X71" s="231"/>
      <c r="Y71" s="231"/>
      <c r="Z71" s="231"/>
      <c r="AA71" s="1513"/>
      <c r="AB71" s="231"/>
      <c r="AC71" s="231"/>
      <c r="AD71" s="231"/>
      <c r="AE71" s="231"/>
      <c r="AF71" s="1513"/>
      <c r="AG71" s="231"/>
      <c r="AH71" s="231"/>
      <c r="AI71" s="231"/>
      <c r="AJ71" s="231"/>
      <c r="AK71" s="1513"/>
      <c r="AL71" s="231"/>
      <c r="AM71" s="231"/>
      <c r="AN71" s="231"/>
      <c r="AO71" s="231"/>
      <c r="AP71" s="1335"/>
      <c r="AQ71" s="945"/>
      <c r="AR71" s="945"/>
      <c r="AS71" s="945"/>
      <c r="AT71" s="945"/>
      <c r="AU71" s="1335"/>
      <c r="AV71" s="945"/>
      <c r="AW71" s="945"/>
      <c r="AX71" s="945"/>
      <c r="AY71" s="945"/>
      <c r="AZ71" s="1335"/>
      <c r="BA71" s="945"/>
      <c r="BB71" s="945"/>
      <c r="BC71" s="945"/>
      <c r="BD71" s="945"/>
      <c r="BE71" s="1335"/>
      <c r="BF71" s="231"/>
      <c r="BG71" s="231"/>
      <c r="BH71" s="903"/>
      <c r="BI71" s="81"/>
      <c r="BJ71" s="1514"/>
      <c r="BK71" s="81"/>
      <c r="BL71" s="81"/>
      <c r="BM71" s="81"/>
      <c r="BN71" s="81"/>
      <c r="BO71" s="1514"/>
      <c r="BP71" s="1514"/>
      <c r="BQ71" s="1514"/>
      <c r="BR71" s="1514"/>
      <c r="BS71" s="885"/>
    </row>
    <row r="72" spans="1:71" s="705" customFormat="1" ht="15" hidden="1" outlineLevel="1">
      <c r="A72" s="948" t="s">
        <v>848</v>
      </c>
      <c r="B72" s="888"/>
      <c r="C72" s="1513"/>
      <c r="D72" s="1513"/>
      <c r="E72" s="1513"/>
      <c r="F72" s="1513"/>
      <c r="G72" s="1513"/>
      <c r="H72" s="231"/>
      <c r="I72" s="231"/>
      <c r="J72" s="231"/>
      <c r="K72" s="231"/>
      <c r="L72" s="1513"/>
      <c r="M72" s="231"/>
      <c r="N72" s="231"/>
      <c r="O72" s="231"/>
      <c r="P72" s="231"/>
      <c r="Q72" s="1513"/>
      <c r="R72" s="231"/>
      <c r="S72" s="231"/>
      <c r="T72" s="231"/>
      <c r="U72" s="231"/>
      <c r="V72" s="1513"/>
      <c r="W72" s="231"/>
      <c r="X72" s="231"/>
      <c r="Y72" s="231"/>
      <c r="Z72" s="231"/>
      <c r="AA72" s="1513"/>
      <c r="AB72" s="231"/>
      <c r="AC72" s="231"/>
      <c r="AD72" s="231"/>
      <c r="AE72" s="231"/>
      <c r="AF72" s="1513"/>
      <c r="AG72" s="231"/>
      <c r="AH72" s="231"/>
      <c r="AI72" s="231"/>
      <c r="AJ72" s="231"/>
      <c r="AK72" s="1513"/>
      <c r="AL72" s="231"/>
      <c r="AM72" s="231"/>
      <c r="AN72" s="231"/>
      <c r="AO72" s="231"/>
      <c r="AP72" s="1335"/>
      <c r="AQ72" s="945"/>
      <c r="AR72" s="945"/>
      <c r="AS72" s="945"/>
      <c r="AT72" s="945"/>
      <c r="AU72" s="1335"/>
      <c r="AV72" s="945"/>
      <c r="AW72" s="945"/>
      <c r="AX72" s="945"/>
      <c r="AY72" s="945"/>
      <c r="AZ72" s="1335"/>
      <c r="BA72" s="945"/>
      <c r="BB72" s="945"/>
      <c r="BC72" s="945"/>
      <c r="BD72" s="945"/>
      <c r="BE72" s="1335"/>
      <c r="BF72" s="231"/>
      <c r="BG72" s="231"/>
      <c r="BH72" s="903"/>
      <c r="BI72" s="81"/>
      <c r="BJ72" s="1514"/>
      <c r="BK72" s="81"/>
      <c r="BL72" s="81"/>
      <c r="BM72" s="81"/>
      <c r="BN72" s="81"/>
      <c r="BO72" s="1514"/>
      <c r="BP72" s="1514"/>
      <c r="BQ72" s="1514"/>
      <c r="BR72" s="1514"/>
      <c r="BS72" s="885"/>
    </row>
    <row r="73" spans="1:71" s="705" customFormat="1" ht="15" hidden="1" outlineLevel="1">
      <c r="A73" s="948" t="s">
        <v>849</v>
      </c>
      <c r="B73" s="888"/>
      <c r="C73" s="1513"/>
      <c r="D73" s="1513"/>
      <c r="E73" s="1513"/>
      <c r="F73" s="1513"/>
      <c r="G73" s="1513"/>
      <c r="H73" s="231"/>
      <c r="I73" s="231"/>
      <c r="J73" s="231"/>
      <c r="K73" s="231"/>
      <c r="L73" s="1513"/>
      <c r="M73" s="231"/>
      <c r="N73" s="231"/>
      <c r="O73" s="231"/>
      <c r="P73" s="231"/>
      <c r="Q73" s="1513"/>
      <c r="R73" s="231"/>
      <c r="S73" s="231"/>
      <c r="T73" s="231"/>
      <c r="U73" s="231"/>
      <c r="V73" s="1513"/>
      <c r="W73" s="231"/>
      <c r="X73" s="231"/>
      <c r="Y73" s="231"/>
      <c r="Z73" s="231"/>
      <c r="AA73" s="1513"/>
      <c r="AB73" s="231"/>
      <c r="AC73" s="231"/>
      <c r="AD73" s="231"/>
      <c r="AE73" s="231"/>
      <c r="AF73" s="1513"/>
      <c r="AG73" s="231"/>
      <c r="AH73" s="231"/>
      <c r="AI73" s="231"/>
      <c r="AJ73" s="231"/>
      <c r="AK73" s="1513"/>
      <c r="AL73" s="231"/>
      <c r="AM73" s="231"/>
      <c r="AN73" s="231"/>
      <c r="AO73" s="231"/>
      <c r="AP73" s="1335"/>
      <c r="AQ73" s="945"/>
      <c r="AR73" s="945"/>
      <c r="AS73" s="945"/>
      <c r="AT73" s="945"/>
      <c r="AU73" s="1335"/>
      <c r="AV73" s="945"/>
      <c r="AW73" s="945"/>
      <c r="AX73" s="945"/>
      <c r="AY73" s="945"/>
      <c r="AZ73" s="1335"/>
      <c r="BA73" s="945"/>
      <c r="BB73" s="945"/>
      <c r="BC73" s="945"/>
      <c r="BD73" s="945"/>
      <c r="BE73" s="1335"/>
      <c r="BF73" s="231"/>
      <c r="BG73" s="231"/>
      <c r="BH73" s="903"/>
      <c r="BI73" s="81"/>
      <c r="BJ73" s="1514"/>
      <c r="BK73" s="81"/>
      <c r="BL73" s="81"/>
      <c r="BM73" s="81"/>
      <c r="BN73" s="81"/>
      <c r="BO73" s="1514"/>
      <c r="BP73" s="1514"/>
      <c r="BQ73" s="1514"/>
      <c r="BR73" s="1514"/>
      <c r="BS73" s="885"/>
    </row>
    <row r="74" spans="1:71" s="705" customFormat="1" ht="15" hidden="1" outlineLevel="1">
      <c r="A74" s="948" t="s">
        <v>850</v>
      </c>
      <c r="B74" s="888"/>
      <c r="C74" s="1513"/>
      <c r="D74" s="1513"/>
      <c r="E74" s="1513"/>
      <c r="F74" s="1513"/>
      <c r="G74" s="1513"/>
      <c r="H74" s="231"/>
      <c r="I74" s="231"/>
      <c r="J74" s="231"/>
      <c r="K74" s="231"/>
      <c r="L74" s="1513"/>
      <c r="M74" s="231"/>
      <c r="N74" s="231"/>
      <c r="O74" s="231"/>
      <c r="P74" s="231"/>
      <c r="Q74" s="1513"/>
      <c r="R74" s="231"/>
      <c r="S74" s="231"/>
      <c r="T74" s="231"/>
      <c r="U74" s="231"/>
      <c r="V74" s="1513"/>
      <c r="W74" s="231"/>
      <c r="X74" s="231"/>
      <c r="Y74" s="231"/>
      <c r="Z74" s="231"/>
      <c r="AA74" s="1513"/>
      <c r="AB74" s="231"/>
      <c r="AC74" s="231"/>
      <c r="AD74" s="231"/>
      <c r="AE74" s="231"/>
      <c r="AF74" s="1513"/>
      <c r="AG74" s="231"/>
      <c r="AH74" s="231"/>
      <c r="AI74" s="231"/>
      <c r="AJ74" s="231"/>
      <c r="AK74" s="1513"/>
      <c r="AL74" s="231"/>
      <c r="AM74" s="231"/>
      <c r="AN74" s="231"/>
      <c r="AO74" s="231"/>
      <c r="AP74" s="1335"/>
      <c r="AQ74" s="945"/>
      <c r="AR74" s="945"/>
      <c r="AS74" s="945"/>
      <c r="AT74" s="945"/>
      <c r="AU74" s="1335"/>
      <c r="AV74" s="945"/>
      <c r="AW74" s="945"/>
      <c r="AX74" s="945"/>
      <c r="AY74" s="945"/>
      <c r="AZ74" s="1335"/>
      <c r="BA74" s="945"/>
      <c r="BB74" s="945"/>
      <c r="BC74" s="945"/>
      <c r="BD74" s="945"/>
      <c r="BE74" s="1335"/>
      <c r="BF74" s="231"/>
      <c r="BG74" s="231"/>
      <c r="BH74" s="903"/>
      <c r="BI74" s="81"/>
      <c r="BJ74" s="1514"/>
      <c r="BK74" s="81"/>
      <c r="BL74" s="81"/>
      <c r="BM74" s="81"/>
      <c r="BN74" s="81"/>
      <c r="BO74" s="1514"/>
      <c r="BP74" s="1514"/>
      <c r="BQ74" s="1514"/>
      <c r="BR74" s="1514"/>
      <c r="BS74" s="885"/>
    </row>
    <row r="75" spans="1:71" s="705" customFormat="1" ht="15" hidden="1" outlineLevel="1">
      <c r="A75" s="948" t="s">
        <v>851</v>
      </c>
      <c r="B75" s="888"/>
      <c r="C75" s="1513"/>
      <c r="D75" s="1513"/>
      <c r="E75" s="1513"/>
      <c r="F75" s="1513"/>
      <c r="G75" s="1513"/>
      <c r="H75" s="231"/>
      <c r="I75" s="231"/>
      <c r="J75" s="231"/>
      <c r="K75" s="231"/>
      <c r="L75" s="1513"/>
      <c r="M75" s="231"/>
      <c r="N75" s="231"/>
      <c r="O75" s="231"/>
      <c r="P75" s="231"/>
      <c r="Q75" s="1513"/>
      <c r="R75" s="231"/>
      <c r="S75" s="231"/>
      <c r="T75" s="231"/>
      <c r="U75" s="231"/>
      <c r="V75" s="1513"/>
      <c r="W75" s="231"/>
      <c r="X75" s="231"/>
      <c r="Y75" s="231"/>
      <c r="Z75" s="231"/>
      <c r="AA75" s="1513"/>
      <c r="AB75" s="231"/>
      <c r="AC75" s="231"/>
      <c r="AD75" s="231"/>
      <c r="AE75" s="231"/>
      <c r="AF75" s="1513"/>
      <c r="AG75" s="231"/>
      <c r="AH75" s="231"/>
      <c r="AI75" s="231"/>
      <c r="AJ75" s="231"/>
      <c r="AK75" s="1513"/>
      <c r="AL75" s="231"/>
      <c r="AM75" s="231"/>
      <c r="AN75" s="231"/>
      <c r="AO75" s="231"/>
      <c r="AP75" s="1335"/>
      <c r="AQ75" s="945"/>
      <c r="AR75" s="945"/>
      <c r="AS75" s="945"/>
      <c r="AT75" s="945"/>
      <c r="AU75" s="1335"/>
      <c r="AV75" s="945"/>
      <c r="AW75" s="945"/>
      <c r="AX75" s="945"/>
      <c r="AY75" s="945"/>
      <c r="AZ75" s="1335"/>
      <c r="BA75" s="945"/>
      <c r="BB75" s="945"/>
      <c r="BC75" s="945"/>
      <c r="BD75" s="945"/>
      <c r="BE75" s="1335"/>
      <c r="BF75" s="231"/>
      <c r="BG75" s="231"/>
      <c r="BH75" s="903"/>
      <c r="BI75" s="81"/>
      <c r="BJ75" s="1514"/>
      <c r="BK75" s="81"/>
      <c r="BL75" s="81"/>
      <c r="BM75" s="81"/>
      <c r="BN75" s="81"/>
      <c r="BO75" s="1514"/>
      <c r="BP75" s="1514"/>
      <c r="BQ75" s="1514"/>
      <c r="BR75" s="1514"/>
      <c r="BS75" s="885"/>
    </row>
    <row r="76" spans="1:71" s="705" customFormat="1" ht="15" hidden="1" outlineLevel="1">
      <c r="A76" s="948" t="s">
        <v>852</v>
      </c>
      <c r="B76" s="888"/>
      <c r="C76" s="1513"/>
      <c r="D76" s="1513"/>
      <c r="E76" s="1513"/>
      <c r="F76" s="1513"/>
      <c r="G76" s="1513"/>
      <c r="H76" s="231"/>
      <c r="I76" s="231"/>
      <c r="J76" s="231"/>
      <c r="K76" s="231"/>
      <c r="L76" s="1513"/>
      <c r="M76" s="231"/>
      <c r="N76" s="231"/>
      <c r="O76" s="231"/>
      <c r="P76" s="231"/>
      <c r="Q76" s="1513"/>
      <c r="R76" s="231"/>
      <c r="S76" s="231"/>
      <c r="T76" s="231"/>
      <c r="U76" s="231"/>
      <c r="V76" s="1513"/>
      <c r="W76" s="231"/>
      <c r="X76" s="231"/>
      <c r="Y76" s="231"/>
      <c r="Z76" s="231"/>
      <c r="AA76" s="1513"/>
      <c r="AB76" s="231"/>
      <c r="AC76" s="231"/>
      <c r="AD76" s="231"/>
      <c r="AE76" s="231"/>
      <c r="AF76" s="1513"/>
      <c r="AG76" s="231"/>
      <c r="AH76" s="231"/>
      <c r="AI76" s="231"/>
      <c r="AJ76" s="231"/>
      <c r="AK76" s="1513"/>
      <c r="AL76" s="231"/>
      <c r="AM76" s="231"/>
      <c r="AN76" s="231"/>
      <c r="AO76" s="231"/>
      <c r="AP76" s="1335"/>
      <c r="AQ76" s="945"/>
      <c r="AR76" s="945"/>
      <c r="AS76" s="945"/>
      <c r="AT76" s="945"/>
      <c r="AU76" s="1335"/>
      <c r="AV76" s="945"/>
      <c r="AW76" s="945"/>
      <c r="AX76" s="945"/>
      <c r="AY76" s="945"/>
      <c r="AZ76" s="1335"/>
      <c r="BA76" s="945"/>
      <c r="BB76" s="945"/>
      <c r="BC76" s="945"/>
      <c r="BD76" s="945"/>
      <c r="BE76" s="1335"/>
      <c r="BF76" s="231"/>
      <c r="BG76" s="231"/>
      <c r="BH76" s="903"/>
      <c r="BI76" s="81"/>
      <c r="BJ76" s="1514"/>
      <c r="BK76" s="81"/>
      <c r="BL76" s="81"/>
      <c r="BM76" s="81"/>
      <c r="BN76" s="81"/>
      <c r="BO76" s="1514"/>
      <c r="BP76" s="1514"/>
      <c r="BQ76" s="1514"/>
      <c r="BR76" s="1514"/>
      <c r="BS76" s="885"/>
    </row>
    <row r="77" spans="1:71" s="705" customFormat="1" ht="15" hidden="1" outlineLevel="1">
      <c r="A77" s="948" t="s">
        <v>853</v>
      </c>
      <c r="B77" s="888"/>
      <c r="C77" s="1513"/>
      <c r="D77" s="1513"/>
      <c r="E77" s="1513"/>
      <c r="F77" s="1513"/>
      <c r="G77" s="1513"/>
      <c r="H77" s="231"/>
      <c r="I77" s="231"/>
      <c r="J77" s="231"/>
      <c r="K77" s="231"/>
      <c r="L77" s="1513"/>
      <c r="M77" s="231"/>
      <c r="N77" s="231"/>
      <c r="O77" s="231"/>
      <c r="P77" s="231"/>
      <c r="Q77" s="1513"/>
      <c r="R77" s="231"/>
      <c r="S77" s="231"/>
      <c r="T77" s="231"/>
      <c r="U77" s="231"/>
      <c r="V77" s="1513"/>
      <c r="W77" s="231"/>
      <c r="X77" s="231"/>
      <c r="Y77" s="231"/>
      <c r="Z77" s="231"/>
      <c r="AA77" s="1513"/>
      <c r="AB77" s="231"/>
      <c r="AC77" s="231"/>
      <c r="AD77" s="231"/>
      <c r="AE77" s="231"/>
      <c r="AF77" s="1513"/>
      <c r="AG77" s="231"/>
      <c r="AH77" s="231"/>
      <c r="AI77" s="231"/>
      <c r="AJ77" s="231"/>
      <c r="AK77" s="1513"/>
      <c r="AL77" s="231"/>
      <c r="AM77" s="231"/>
      <c r="AN77" s="231"/>
      <c r="AO77" s="231"/>
      <c r="AP77" s="1335"/>
      <c r="AQ77" s="945"/>
      <c r="AR77" s="945"/>
      <c r="AS77" s="945"/>
      <c r="AT77" s="945"/>
      <c r="AU77" s="1431">
        <v>20</v>
      </c>
      <c r="AV77" s="945"/>
      <c r="AW77" s="945"/>
      <c r="AX77" s="945"/>
      <c r="AY77" s="945"/>
      <c r="AZ77" s="1335"/>
      <c r="BA77" s="945"/>
      <c r="BB77" s="945"/>
      <c r="BC77" s="945"/>
      <c r="BD77" s="945"/>
      <c r="BE77" s="1335"/>
      <c r="BF77" s="231"/>
      <c r="BG77" s="231"/>
      <c r="BH77" s="903"/>
      <c r="BI77" s="81"/>
      <c r="BJ77" s="1514"/>
      <c r="BK77" s="81"/>
      <c r="BL77" s="81"/>
      <c r="BM77" s="81"/>
      <c r="BN77" s="81"/>
      <c r="BO77" s="1514"/>
      <c r="BP77" s="1514"/>
      <c r="BQ77" s="1514"/>
      <c r="BR77" s="1514"/>
      <c r="BS77" s="885"/>
    </row>
    <row r="78" spans="1:71" s="705" customFormat="1" ht="15" hidden="1" outlineLevel="1">
      <c r="A78" s="948" t="s">
        <v>854</v>
      </c>
      <c r="B78" s="888"/>
      <c r="C78" s="1513"/>
      <c r="D78" s="1513"/>
      <c r="E78" s="1513"/>
      <c r="F78" s="1513"/>
      <c r="G78" s="1513"/>
      <c r="H78" s="231"/>
      <c r="I78" s="231"/>
      <c r="J78" s="231"/>
      <c r="K78" s="231"/>
      <c r="L78" s="1513"/>
      <c r="M78" s="231"/>
      <c r="N78" s="231"/>
      <c r="O78" s="231"/>
      <c r="P78" s="231"/>
      <c r="Q78" s="1513"/>
      <c r="R78" s="231"/>
      <c r="S78" s="231"/>
      <c r="T78" s="231"/>
      <c r="U78" s="231"/>
      <c r="V78" s="1513"/>
      <c r="W78" s="231"/>
      <c r="X78" s="231"/>
      <c r="Y78" s="231"/>
      <c r="Z78" s="231"/>
      <c r="AA78" s="1513"/>
      <c r="AB78" s="231"/>
      <c r="AC78" s="231"/>
      <c r="AD78" s="231"/>
      <c r="AE78" s="231"/>
      <c r="AF78" s="1513"/>
      <c r="AG78" s="231"/>
      <c r="AH78" s="231"/>
      <c r="AI78" s="231"/>
      <c r="AJ78" s="231"/>
      <c r="AK78" s="1513"/>
      <c r="AL78" s="231"/>
      <c r="AM78" s="231"/>
      <c r="AN78" s="231"/>
      <c r="AO78" s="231"/>
      <c r="AP78" s="1335"/>
      <c r="AQ78" s="945"/>
      <c r="AR78" s="945"/>
      <c r="AS78" s="945"/>
      <c r="AT78" s="945"/>
      <c r="AU78" s="1335"/>
      <c r="AV78" s="945"/>
      <c r="AW78" s="945"/>
      <c r="AX78" s="945"/>
      <c r="AY78" s="945"/>
      <c r="AZ78" s="1335"/>
      <c r="BA78" s="945"/>
      <c r="BB78" s="945"/>
      <c r="BC78" s="945"/>
      <c r="BD78" s="945"/>
      <c r="BE78" s="1335"/>
      <c r="BF78" s="231"/>
      <c r="BG78" s="231"/>
      <c r="BH78" s="903"/>
      <c r="BI78" s="81"/>
      <c r="BJ78" s="1514"/>
      <c r="BK78" s="81"/>
      <c r="BL78" s="81"/>
      <c r="BM78" s="81"/>
      <c r="BN78" s="81"/>
      <c r="BO78" s="1514"/>
      <c r="BP78" s="1514"/>
      <c r="BQ78" s="1514"/>
      <c r="BR78" s="1514"/>
      <c r="BS78" s="885"/>
    </row>
    <row r="79" spans="1:71" s="705" customFormat="1" ht="15" hidden="1" outlineLevel="1">
      <c r="A79" s="948" t="s">
        <v>855</v>
      </c>
      <c r="B79" s="888"/>
      <c r="C79" s="1513"/>
      <c r="D79" s="1513"/>
      <c r="E79" s="1513"/>
      <c r="F79" s="1513"/>
      <c r="G79" s="1513"/>
      <c r="H79" s="231"/>
      <c r="I79" s="231"/>
      <c r="J79" s="231"/>
      <c r="K79" s="231"/>
      <c r="L79" s="1513"/>
      <c r="M79" s="231"/>
      <c r="N79" s="231"/>
      <c r="O79" s="231"/>
      <c r="P79" s="231"/>
      <c r="Q79" s="1513"/>
      <c r="R79" s="231"/>
      <c r="S79" s="231"/>
      <c r="T79" s="231"/>
      <c r="U79" s="231"/>
      <c r="V79" s="1513"/>
      <c r="W79" s="231"/>
      <c r="X79" s="231"/>
      <c r="Y79" s="231"/>
      <c r="Z79" s="231"/>
      <c r="AA79" s="1513"/>
      <c r="AB79" s="231"/>
      <c r="AC79" s="231"/>
      <c r="AD79" s="231"/>
      <c r="AE79" s="231"/>
      <c r="AF79" s="1513"/>
      <c r="AG79" s="231"/>
      <c r="AH79" s="231"/>
      <c r="AI79" s="231"/>
      <c r="AJ79" s="231"/>
      <c r="AK79" s="1513"/>
      <c r="AL79" s="231"/>
      <c r="AM79" s="231"/>
      <c r="AN79" s="231"/>
      <c r="AO79" s="231"/>
      <c r="AP79" s="1335"/>
      <c r="AQ79" s="945"/>
      <c r="AR79" s="945"/>
      <c r="AS79" s="945"/>
      <c r="AT79" s="945"/>
      <c r="AU79" s="1335"/>
      <c r="AV79" s="945"/>
      <c r="AW79" s="945"/>
      <c r="AX79" s="945"/>
      <c r="AY79" s="945"/>
      <c r="AZ79" s="1335"/>
      <c r="BA79" s="945"/>
      <c r="BB79" s="945"/>
      <c r="BC79" s="945"/>
      <c r="BD79" s="945"/>
      <c r="BE79" s="1335"/>
      <c r="BF79" s="231"/>
      <c r="BG79" s="231"/>
      <c r="BH79" s="903"/>
      <c r="BI79" s="81"/>
      <c r="BJ79" s="1514"/>
      <c r="BK79" s="81"/>
      <c r="BL79" s="81"/>
      <c r="BM79" s="81"/>
      <c r="BN79" s="81"/>
      <c r="BO79" s="1514"/>
      <c r="BP79" s="1514"/>
      <c r="BQ79" s="1514"/>
      <c r="BR79" s="1514"/>
      <c r="BS79" s="885"/>
    </row>
    <row r="80" spans="1:71" s="705" customFormat="1" ht="15" hidden="1" outlineLevel="1">
      <c r="A80" s="949" t="s">
        <v>856</v>
      </c>
      <c r="B80" s="932"/>
      <c r="C80" s="1567"/>
      <c r="D80" s="1567"/>
      <c r="E80" s="1567"/>
      <c r="F80" s="1567"/>
      <c r="G80" s="1567"/>
      <c r="H80" s="934"/>
      <c r="I80" s="934"/>
      <c r="J80" s="934"/>
      <c r="K80" s="934"/>
      <c r="L80" s="1567"/>
      <c r="M80" s="934"/>
      <c r="N80" s="934"/>
      <c r="O80" s="934"/>
      <c r="P80" s="934"/>
      <c r="Q80" s="1567"/>
      <c r="R80" s="934"/>
      <c r="S80" s="934"/>
      <c r="T80" s="934"/>
      <c r="U80" s="934"/>
      <c r="V80" s="1567"/>
      <c r="W80" s="934"/>
      <c r="X80" s="934"/>
      <c r="Y80" s="934"/>
      <c r="Z80" s="934"/>
      <c r="AA80" s="1567"/>
      <c r="AB80" s="934"/>
      <c r="AC80" s="934"/>
      <c r="AD80" s="934"/>
      <c r="AE80" s="934"/>
      <c r="AF80" s="1567"/>
      <c r="AG80" s="934"/>
      <c r="AH80" s="934"/>
      <c r="AI80" s="934"/>
      <c r="AJ80" s="934"/>
      <c r="AK80" s="1567"/>
      <c r="AL80" s="934"/>
      <c r="AM80" s="934"/>
      <c r="AN80" s="934"/>
      <c r="AO80" s="934"/>
      <c r="AP80" s="1568"/>
      <c r="AQ80" s="951"/>
      <c r="AR80" s="951"/>
      <c r="AS80" s="951"/>
      <c r="AT80" s="951"/>
      <c r="AU80" s="1568"/>
      <c r="AV80" s="951"/>
      <c r="AW80" s="951"/>
      <c r="AX80" s="951"/>
      <c r="AY80" s="951"/>
      <c r="AZ80" s="1568"/>
      <c r="BA80" s="951"/>
      <c r="BB80" s="951"/>
      <c r="BC80" s="951"/>
      <c r="BD80" s="951"/>
      <c r="BE80" s="1568"/>
      <c r="BF80" s="934"/>
      <c r="BG80" s="934"/>
      <c r="BH80" s="935"/>
      <c r="BI80" s="934"/>
      <c r="BJ80" s="1567"/>
      <c r="BK80" s="934"/>
      <c r="BL80" s="934"/>
      <c r="BM80" s="934"/>
      <c r="BN80" s="934"/>
      <c r="BO80" s="1567"/>
      <c r="BP80" s="1567"/>
      <c r="BQ80" s="1567"/>
      <c r="BR80" s="1567"/>
      <c r="BS80" s="885"/>
    </row>
    <row r="81" spans="1:71" s="956" customFormat="1" ht="15" collapsed="1">
      <c r="A81" s="943" t="s">
        <v>857</v>
      </c>
      <c r="B81" s="918"/>
      <c r="C81" s="1563"/>
      <c r="D81" s="1563"/>
      <c r="E81" s="1563"/>
      <c r="F81" s="1563"/>
      <c r="G81" s="1563"/>
      <c r="H81" s="920"/>
      <c r="I81" s="920"/>
      <c r="J81" s="920"/>
      <c r="K81" s="920"/>
      <c r="L81" s="1563"/>
      <c r="M81" s="920"/>
      <c r="N81" s="920"/>
      <c r="O81" s="920"/>
      <c r="P81" s="920"/>
      <c r="Q81" s="1563"/>
      <c r="R81" s="920"/>
      <c r="S81" s="920"/>
      <c r="T81" s="920"/>
      <c r="U81" s="920"/>
      <c r="V81" s="1563"/>
      <c r="W81" s="920"/>
      <c r="X81" s="920"/>
      <c r="Y81" s="920"/>
      <c r="Z81" s="920"/>
      <c r="AA81" s="1563"/>
      <c r="AB81" s="920"/>
      <c r="AC81" s="920"/>
      <c r="AD81" s="920"/>
      <c r="AE81" s="920"/>
      <c r="AF81" s="1563"/>
      <c r="AG81" s="920"/>
      <c r="AH81" s="920"/>
      <c r="AI81" s="920"/>
      <c r="AJ81" s="920"/>
      <c r="AK81" s="1563"/>
      <c r="AL81" s="920"/>
      <c r="AM81" s="920"/>
      <c r="AN81" s="920"/>
      <c r="AO81" s="920"/>
      <c r="AP81" s="1335">
        <f>SUM(AP69:AP80)</f>
        <v>0</v>
      </c>
      <c r="AQ81" s="945"/>
      <c r="AR81" s="945"/>
      <c r="AS81" s="945"/>
      <c r="AT81" s="945"/>
      <c r="AU81" s="1335">
        <f>SUM(AU69:AU80)</f>
        <v>20</v>
      </c>
      <c r="AV81" s="945"/>
      <c r="AW81" s="945"/>
      <c r="AX81" s="945"/>
      <c r="AY81" s="945"/>
      <c r="AZ81" s="1335">
        <f>SUM(AZ69:AZ80)</f>
        <v>0</v>
      </c>
      <c r="BA81" s="945"/>
      <c r="BB81" s="945"/>
      <c r="BC81" s="945"/>
      <c r="BD81" s="945"/>
      <c r="BE81" s="1335"/>
      <c r="BF81" s="920"/>
      <c r="BG81" s="920"/>
      <c r="BH81" s="921"/>
      <c r="BI81" s="922"/>
      <c r="BJ81" s="1565"/>
      <c r="BK81" s="922"/>
      <c r="BL81" s="922"/>
      <c r="BM81" s="922"/>
      <c r="BN81" s="922"/>
      <c r="BO81" s="1565"/>
      <c r="BP81" s="1565"/>
      <c r="BQ81" s="1565"/>
      <c r="BR81" s="1565"/>
      <c r="BS81" s="924"/>
    </row>
    <row r="82" spans="1:71" s="705" customFormat="1" ht="15">
      <c r="A82" s="936" t="s">
        <v>858</v>
      </c>
      <c r="B82" s="914"/>
      <c r="C82" s="1561"/>
      <c r="D82" s="1561"/>
      <c r="E82" s="1561"/>
      <c r="F82" s="1561"/>
      <c r="G82" s="1561"/>
      <c r="H82" s="916"/>
      <c r="I82" s="916"/>
      <c r="J82" s="916"/>
      <c r="K82" s="916"/>
      <c r="L82" s="1561"/>
      <c r="M82" s="916"/>
      <c r="N82" s="916"/>
      <c r="O82" s="916"/>
      <c r="P82" s="916"/>
      <c r="Q82" s="1561"/>
      <c r="R82" s="916"/>
      <c r="S82" s="916"/>
      <c r="T82" s="916"/>
      <c r="U82" s="916"/>
      <c r="V82" s="1561"/>
      <c r="W82" s="916"/>
      <c r="X82" s="916"/>
      <c r="Y82" s="916"/>
      <c r="Z82" s="916"/>
      <c r="AA82" s="1561"/>
      <c r="AB82" s="916"/>
      <c r="AC82" s="916"/>
      <c r="AD82" s="916"/>
      <c r="AE82" s="916"/>
      <c r="AF82" s="1561"/>
      <c r="AG82" s="916"/>
      <c r="AH82" s="916"/>
      <c r="AI82" s="916"/>
      <c r="AJ82" s="916"/>
      <c r="AK82" s="1561"/>
      <c r="AL82" s="916"/>
      <c r="AM82" s="916"/>
      <c r="AN82" s="916"/>
      <c r="AO82" s="916"/>
      <c r="AP82" s="1562">
        <f>AP55+AP68+AP81</f>
        <v>3450.0730000000008</v>
      </c>
      <c r="AQ82" s="947"/>
      <c r="AR82" s="947"/>
      <c r="AS82" s="947"/>
      <c r="AT82" s="947"/>
      <c r="AU82" s="1562">
        <f>AU55+AU68+AU81</f>
        <v>3591.8100000000004</v>
      </c>
      <c r="AV82" s="947"/>
      <c r="AW82" s="947"/>
      <c r="AX82" s="947"/>
      <c r="AY82" s="947"/>
      <c r="AZ82" s="1562">
        <f>AZ55+AZ68+AZ81</f>
        <v>3740.6819999999998</v>
      </c>
      <c r="BA82" s="947"/>
      <c r="BB82" s="947"/>
      <c r="BC82" s="947"/>
      <c r="BD82" s="947"/>
      <c r="BE82" s="1562">
        <f>BE55+BE68+BE81</f>
        <v>3725.7550000000001</v>
      </c>
      <c r="BF82" s="916"/>
      <c r="BG82" s="916"/>
      <c r="BH82" s="917"/>
      <c r="BI82" s="916"/>
      <c r="BJ82" s="1561"/>
      <c r="BK82" s="916"/>
      <c r="BL82" s="916"/>
      <c r="BM82" s="916"/>
      <c r="BN82" s="916"/>
      <c r="BO82" s="1561"/>
      <c r="BP82" s="1561"/>
      <c r="BQ82" s="1561"/>
      <c r="BR82" s="1561"/>
      <c r="BS82" s="885"/>
    </row>
    <row r="83" spans="1:71" s="956" customFormat="1" ht="15">
      <c r="A83" s="926" t="s">
        <v>799</v>
      </c>
      <c r="B83" s="918"/>
      <c r="C83" s="1563"/>
      <c r="D83" s="1563"/>
      <c r="E83" s="1563"/>
      <c r="F83" s="1563"/>
      <c r="G83" s="1563"/>
      <c r="H83" s="920"/>
      <c r="I83" s="920"/>
      <c r="J83" s="920"/>
      <c r="K83" s="920"/>
      <c r="L83" s="1563"/>
      <c r="M83" s="920"/>
      <c r="N83" s="920"/>
      <c r="O83" s="920"/>
      <c r="P83" s="920"/>
      <c r="Q83" s="1563"/>
      <c r="R83" s="920"/>
      <c r="S83" s="920"/>
      <c r="T83" s="920"/>
      <c r="U83" s="920"/>
      <c r="V83" s="1563"/>
      <c r="W83" s="920"/>
      <c r="X83" s="920"/>
      <c r="Y83" s="920"/>
      <c r="Z83" s="920"/>
      <c r="AA83" s="1563"/>
      <c r="AB83" s="920"/>
      <c r="AC83" s="920"/>
      <c r="AD83" s="920"/>
      <c r="AE83" s="920"/>
      <c r="AF83" s="1563"/>
      <c r="AG83" s="920"/>
      <c r="AH83" s="920"/>
      <c r="AI83" s="920"/>
      <c r="AJ83" s="920"/>
      <c r="AK83" s="1563"/>
      <c r="AL83" s="920"/>
      <c r="AM83" s="920"/>
      <c r="AN83" s="920"/>
      <c r="AO83" s="920"/>
      <c r="AP83" s="1335">
        <f t="shared" si="4" ref="AP83:BF83">AP13</f>
        <v>57267.338999999993</v>
      </c>
      <c r="AQ83" s="945">
        <f t="shared" si="4"/>
        <v>56106.959999999999</v>
      </c>
      <c r="AR83" s="945">
        <f t="shared" si="4"/>
        <v>57813.811999999991</v>
      </c>
      <c r="AS83" s="945">
        <f t="shared" si="4"/>
        <v>53535.635999999999</v>
      </c>
      <c r="AT83" s="945">
        <f t="shared" si="4"/>
        <v>60490.350000000013</v>
      </c>
      <c r="AU83" s="1335">
        <f t="shared" si="4"/>
        <v>60490.350000000013</v>
      </c>
      <c r="AV83" s="945">
        <f t="shared" si="4"/>
        <v>68755.356000000014</v>
      </c>
      <c r="AW83" s="945">
        <f t="shared" si="4"/>
        <v>66683.952000000005</v>
      </c>
      <c r="AX83" s="945">
        <f t="shared" si="4"/>
        <v>69577.803</v>
      </c>
      <c r="AY83" s="945">
        <f t="shared" si="4"/>
        <v>76204.625</v>
      </c>
      <c r="AZ83" s="1335">
        <f t="shared" si="4"/>
        <v>76204.625</v>
      </c>
      <c r="BA83" s="945">
        <f t="shared" si="4"/>
        <v>84476.625</v>
      </c>
      <c r="BB83" s="945">
        <f t="shared" si="4"/>
        <v>77614.625000000015</v>
      </c>
      <c r="BC83" s="945">
        <f t="shared" si="4"/>
        <v>81866.610000000015</v>
      </c>
      <c r="BD83" s="945">
        <f t="shared" si="4"/>
        <v>93624.784000000029</v>
      </c>
      <c r="BE83" s="1335">
        <f t="shared" si="4"/>
        <v>93624.784000000029</v>
      </c>
      <c r="BF83" s="920">
        <f t="shared" si="4"/>
        <v>121527.432</v>
      </c>
      <c r="BG83" s="920">
        <f>BG13</f>
        <v>122071.16700000002</v>
      </c>
      <c r="BH83" s="921">
        <f>BH13</f>
        <v>147596.57999999999</v>
      </c>
      <c r="BI83" s="922"/>
      <c r="BJ83" s="1565"/>
      <c r="BK83" s="922"/>
      <c r="BL83" s="922"/>
      <c r="BM83" s="922"/>
      <c r="BN83" s="922"/>
      <c r="BO83" s="1565"/>
      <c r="BP83" s="1565"/>
      <c r="BQ83" s="1565"/>
      <c r="BR83" s="1565"/>
      <c r="BS83" s="924"/>
    </row>
    <row r="84" spans="1:71" s="705" customFormat="1" ht="15">
      <c r="A84" s="906"/>
      <c r="B84" s="888"/>
      <c r="C84" s="1513"/>
      <c r="D84" s="1513"/>
      <c r="E84" s="1513"/>
      <c r="F84" s="1513"/>
      <c r="G84" s="1513"/>
      <c r="H84" s="231"/>
      <c r="I84" s="231"/>
      <c r="J84" s="231"/>
      <c r="K84" s="231"/>
      <c r="L84" s="1513"/>
      <c r="M84" s="231"/>
      <c r="N84" s="231"/>
      <c r="O84" s="231"/>
      <c r="P84" s="231"/>
      <c r="Q84" s="1513"/>
      <c r="R84" s="231"/>
      <c r="S84" s="231"/>
      <c r="T84" s="231"/>
      <c r="U84" s="231"/>
      <c r="V84" s="1513"/>
      <c r="W84" s="231"/>
      <c r="X84" s="231"/>
      <c r="Y84" s="231"/>
      <c r="Z84" s="231"/>
      <c r="AA84" s="1513"/>
      <c r="AB84" s="231"/>
      <c r="AC84" s="231"/>
      <c r="AD84" s="231"/>
      <c r="AE84" s="231"/>
      <c r="AF84" s="1513"/>
      <c r="AG84" s="231"/>
      <c r="AH84" s="231"/>
      <c r="AI84" s="231"/>
      <c r="AJ84" s="231"/>
      <c r="AK84" s="1513"/>
      <c r="AL84" s="231"/>
      <c r="AM84" s="231"/>
      <c r="AN84" s="231"/>
      <c r="AO84" s="231"/>
      <c r="AP84" s="1495"/>
      <c r="AQ84" s="439"/>
      <c r="AR84" s="439"/>
      <c r="AS84" s="439"/>
      <c r="AT84" s="439"/>
      <c r="AU84" s="1495"/>
      <c r="AV84" s="439"/>
      <c r="AW84" s="439"/>
      <c r="AX84" s="439"/>
      <c r="AY84" s="439"/>
      <c r="AZ84" s="1495"/>
      <c r="BA84" s="439"/>
      <c r="BB84" s="439"/>
      <c r="BC84" s="439"/>
      <c r="BD84" s="439"/>
      <c r="BE84" s="1495"/>
      <c r="BF84" s="231"/>
      <c r="BG84" s="231"/>
      <c r="BH84" s="903"/>
      <c r="BI84" s="81"/>
      <c r="BJ84" s="1514"/>
      <c r="BK84" s="81"/>
      <c r="BL84" s="81"/>
      <c r="BM84" s="81"/>
      <c r="BN84" s="81"/>
      <c r="BO84" s="1514"/>
      <c r="BP84" s="1514"/>
      <c r="BQ84" s="1514"/>
      <c r="BR84" s="1514"/>
      <c r="BS84" s="885"/>
    </row>
    <row r="85" spans="1:71" ht="15">
      <c r="A85" s="77" t="s">
        <v>859</v>
      </c>
      <c r="B85" s="889"/>
      <c r="C85" s="897"/>
      <c r="D85" s="897"/>
      <c r="E85" s="897"/>
      <c r="F85" s="897"/>
      <c r="G85" s="897"/>
      <c r="H85" s="897"/>
      <c r="I85" s="897"/>
      <c r="J85" s="897"/>
      <c r="K85" s="897"/>
      <c r="L85" s="897"/>
      <c r="M85" s="897"/>
      <c r="N85" s="897"/>
      <c r="O85" s="897"/>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7"/>
      <c r="AM85" s="897"/>
      <c r="AN85" s="897"/>
      <c r="AO85" s="897"/>
      <c r="AP85" s="897"/>
      <c r="AQ85" s="897"/>
      <c r="AR85" s="897"/>
      <c r="AS85" s="897"/>
      <c r="AT85" s="897"/>
      <c r="AU85" s="897"/>
      <c r="AV85" s="897"/>
      <c r="AW85" s="897"/>
      <c r="AX85" s="897"/>
      <c r="AY85" s="897"/>
      <c r="AZ85" s="897"/>
      <c r="BA85" s="897"/>
      <c r="BB85" s="897"/>
      <c r="BC85" s="897"/>
      <c r="BD85" s="897"/>
      <c r="BE85" s="897"/>
      <c r="BF85" s="897"/>
      <c r="BG85" s="897"/>
      <c r="BH85" s="954"/>
      <c r="BI85" s="890"/>
      <c r="BJ85" s="890"/>
      <c r="BK85" s="890"/>
      <c r="BL85" s="890"/>
      <c r="BM85" s="890"/>
      <c r="BN85" s="890"/>
      <c r="BO85" s="890"/>
      <c r="BP85" s="890"/>
      <c r="BQ85" s="890"/>
      <c r="BR85" s="890"/>
      <c r="BS85" s="886"/>
    </row>
    <row r="86" spans="1:71" s="957" customFormat="1" ht="15">
      <c r="A86" s="907" t="s">
        <v>863</v>
      </c>
      <c r="B86" s="937"/>
      <c r="C86" s="1570"/>
      <c r="D86" s="1570"/>
      <c r="E86" s="1570"/>
      <c r="F86" s="1570"/>
      <c r="G86" s="1570"/>
      <c r="H86" s="249"/>
      <c r="I86" s="249"/>
      <c r="J86" s="249"/>
      <c r="K86" s="249"/>
      <c r="L86" s="1570"/>
      <c r="M86" s="249"/>
      <c r="N86" s="249"/>
      <c r="O86" s="249"/>
      <c r="P86" s="249"/>
      <c r="Q86" s="1570"/>
      <c r="R86" s="249"/>
      <c r="S86" s="249"/>
      <c r="T86" s="249"/>
      <c r="U86" s="249"/>
      <c r="V86" s="1570"/>
      <c r="W86" s="249"/>
      <c r="X86" s="249"/>
      <c r="Y86" s="249"/>
      <c r="Z86" s="249"/>
      <c r="AA86" s="1570"/>
      <c r="AB86" s="249"/>
      <c r="AC86" s="249"/>
      <c r="AD86" s="249"/>
      <c r="AE86" s="249"/>
      <c r="AF86" s="1570"/>
      <c r="AG86" s="249"/>
      <c r="AH86" s="249"/>
      <c r="AI86" s="249"/>
      <c r="AJ86" s="249"/>
      <c r="AK86" s="1570"/>
      <c r="AL86" s="249"/>
      <c r="AM86" s="249"/>
      <c r="AN86" s="249"/>
      <c r="AO86" s="249"/>
      <c r="AP86" s="1571">
        <v>6</v>
      </c>
      <c r="AQ86" s="435"/>
      <c r="AR86" s="435"/>
      <c r="AS86" s="435"/>
      <c r="AT86" s="435"/>
      <c r="AU86" s="1571">
        <v>6</v>
      </c>
      <c r="AV86" s="435"/>
      <c r="AW86" s="435"/>
      <c r="AX86" s="435"/>
      <c r="AY86" s="435"/>
      <c r="AZ86" s="1571">
        <v>6</v>
      </c>
      <c r="BA86" s="435"/>
      <c r="BB86" s="435"/>
      <c r="BC86" s="435"/>
      <c r="BD86" s="435"/>
      <c r="BE86" s="1571">
        <v>6</v>
      </c>
      <c r="BF86" s="249"/>
      <c r="BG86" s="249"/>
      <c r="BH86" s="940"/>
      <c r="BI86" s="96"/>
      <c r="BJ86" s="1572"/>
      <c r="BK86" s="96"/>
      <c r="BL86" s="96"/>
      <c r="BM86" s="96"/>
      <c r="BN86" s="96"/>
      <c r="BO86" s="1572"/>
      <c r="BP86" s="1572"/>
      <c r="BQ86" s="1572"/>
      <c r="BR86" s="1572"/>
      <c r="BS86" s="942"/>
    </row>
    <row r="87" spans="1:71" s="957" customFormat="1" ht="15">
      <c r="A87" s="907" t="s">
        <v>864</v>
      </c>
      <c r="B87" s="937"/>
      <c r="C87" s="1570"/>
      <c r="D87" s="1570"/>
      <c r="E87" s="1570"/>
      <c r="F87" s="1570"/>
      <c r="G87" s="1570"/>
      <c r="H87" s="249"/>
      <c r="I87" s="249"/>
      <c r="J87" s="249"/>
      <c r="K87" s="249"/>
      <c r="L87" s="1570"/>
      <c r="M87" s="249"/>
      <c r="N87" s="249"/>
      <c r="O87" s="249"/>
      <c r="P87" s="249"/>
      <c r="Q87" s="1570"/>
      <c r="R87" s="249"/>
      <c r="S87" s="249"/>
      <c r="T87" s="249"/>
      <c r="U87" s="249"/>
      <c r="V87" s="1570"/>
      <c r="W87" s="249"/>
      <c r="X87" s="249"/>
      <c r="Y87" s="249"/>
      <c r="Z87" s="249"/>
      <c r="AA87" s="1570"/>
      <c r="AB87" s="249"/>
      <c r="AC87" s="249"/>
      <c r="AD87" s="249"/>
      <c r="AE87" s="249"/>
      <c r="AF87" s="1570"/>
      <c r="AG87" s="249"/>
      <c r="AH87" s="249"/>
      <c r="AI87" s="249"/>
      <c r="AJ87" s="249"/>
      <c r="AK87" s="1570"/>
      <c r="AL87" s="249"/>
      <c r="AM87" s="249"/>
      <c r="AN87" s="249"/>
      <c r="AO87" s="249"/>
      <c r="AP87" s="1571">
        <v>3</v>
      </c>
      <c r="AQ87" s="435"/>
      <c r="AR87" s="435"/>
      <c r="AS87" s="435"/>
      <c r="AT87" s="435"/>
      <c r="AU87" s="1571">
        <v>3</v>
      </c>
      <c r="AV87" s="435"/>
      <c r="AW87" s="435"/>
      <c r="AX87" s="435"/>
      <c r="AY87" s="435"/>
      <c r="AZ87" s="1571">
        <v>3</v>
      </c>
      <c r="BA87" s="435"/>
      <c r="BB87" s="435"/>
      <c r="BC87" s="435"/>
      <c r="BD87" s="435"/>
      <c r="BE87" s="1571">
        <v>3</v>
      </c>
      <c r="BF87" s="249"/>
      <c r="BG87" s="249"/>
      <c r="BH87" s="940"/>
      <c r="BI87" s="96"/>
      <c r="BJ87" s="1572"/>
      <c r="BK87" s="96"/>
      <c r="BL87" s="96"/>
      <c r="BM87" s="96"/>
      <c r="BN87" s="96"/>
      <c r="BO87" s="1572"/>
      <c r="BP87" s="1572"/>
      <c r="BQ87" s="1572"/>
      <c r="BR87" s="1572"/>
      <c r="BS87" s="942"/>
    </row>
    <row r="88" spans="1:71" s="957" customFormat="1" ht="15">
      <c r="A88" s="907" t="s">
        <v>865</v>
      </c>
      <c r="B88" s="937"/>
      <c r="C88" s="1570"/>
      <c r="D88" s="1570"/>
      <c r="E88" s="1570"/>
      <c r="F88" s="1570"/>
      <c r="G88" s="1570"/>
      <c r="H88" s="249"/>
      <c r="I88" s="249"/>
      <c r="J88" s="249"/>
      <c r="K88" s="249"/>
      <c r="L88" s="1570"/>
      <c r="M88" s="249"/>
      <c r="N88" s="249"/>
      <c r="O88" s="249"/>
      <c r="P88" s="249"/>
      <c r="Q88" s="1570"/>
      <c r="R88" s="249"/>
      <c r="S88" s="249"/>
      <c r="T88" s="249"/>
      <c r="U88" s="249"/>
      <c r="V88" s="1570"/>
      <c r="W88" s="249"/>
      <c r="X88" s="249"/>
      <c r="Y88" s="249"/>
      <c r="Z88" s="249"/>
      <c r="AA88" s="1570"/>
      <c r="AB88" s="249"/>
      <c r="AC88" s="249"/>
      <c r="AD88" s="249"/>
      <c r="AE88" s="249"/>
      <c r="AF88" s="1570"/>
      <c r="AG88" s="249"/>
      <c r="AH88" s="249"/>
      <c r="AI88" s="249"/>
      <c r="AJ88" s="249"/>
      <c r="AK88" s="1570"/>
      <c r="AL88" s="249"/>
      <c r="AM88" s="249"/>
      <c r="AN88" s="249"/>
      <c r="AO88" s="249"/>
      <c r="AP88" s="1571">
        <v>3</v>
      </c>
      <c r="AQ88" s="435"/>
      <c r="AR88" s="435"/>
      <c r="AS88" s="435"/>
      <c r="AT88" s="435"/>
      <c r="AU88" s="1571">
        <v>3</v>
      </c>
      <c r="AV88" s="435"/>
      <c r="AW88" s="435"/>
      <c r="AX88" s="435"/>
      <c r="AY88" s="435"/>
      <c r="AZ88" s="1571">
        <v>3</v>
      </c>
      <c r="BA88" s="435"/>
      <c r="BB88" s="435"/>
      <c r="BC88" s="435"/>
      <c r="BD88" s="435"/>
      <c r="BE88" s="1571">
        <v>3</v>
      </c>
      <c r="BF88" s="249"/>
      <c r="BG88" s="249"/>
      <c r="BH88" s="940"/>
      <c r="BI88" s="96"/>
      <c r="BJ88" s="1572"/>
      <c r="BK88" s="96"/>
      <c r="BL88" s="96"/>
      <c r="BM88" s="96"/>
      <c r="BN88" s="96"/>
      <c r="BO88" s="1572"/>
      <c r="BP88" s="1572"/>
      <c r="BQ88" s="1572"/>
      <c r="BR88" s="1572"/>
      <c r="BS88" s="942"/>
    </row>
    <row r="89" spans="1:71" s="957" customFormat="1" ht="15">
      <c r="A89" s="907"/>
      <c r="B89" s="937"/>
      <c r="C89" s="1570"/>
      <c r="D89" s="1570"/>
      <c r="E89" s="1570"/>
      <c r="F89" s="1570"/>
      <c r="G89" s="1570"/>
      <c r="H89" s="249"/>
      <c r="I89" s="249"/>
      <c r="J89" s="249"/>
      <c r="K89" s="249"/>
      <c r="L89" s="1570"/>
      <c r="M89" s="249"/>
      <c r="N89" s="249"/>
      <c r="O89" s="249"/>
      <c r="P89" s="249"/>
      <c r="Q89" s="1570"/>
      <c r="R89" s="249"/>
      <c r="S89" s="249"/>
      <c r="T89" s="249"/>
      <c r="U89" s="249"/>
      <c r="V89" s="1570"/>
      <c r="W89" s="249"/>
      <c r="X89" s="249"/>
      <c r="Y89" s="249"/>
      <c r="Z89" s="249"/>
      <c r="AA89" s="1570"/>
      <c r="AB89" s="249"/>
      <c r="AC89" s="249"/>
      <c r="AD89" s="249"/>
      <c r="AE89" s="249"/>
      <c r="AF89" s="1570"/>
      <c r="AG89" s="249"/>
      <c r="AH89" s="249"/>
      <c r="AI89" s="249"/>
      <c r="AJ89" s="249"/>
      <c r="AK89" s="1570"/>
      <c r="AL89" s="249"/>
      <c r="AM89" s="249"/>
      <c r="AN89" s="249"/>
      <c r="AO89" s="249"/>
      <c r="AP89" s="1573"/>
      <c r="AQ89" s="435"/>
      <c r="AR89" s="435"/>
      <c r="AS89" s="435"/>
      <c r="AT89" s="435"/>
      <c r="AU89" s="1573"/>
      <c r="AV89" s="435"/>
      <c r="AW89" s="435"/>
      <c r="AX89" s="435"/>
      <c r="AY89" s="435"/>
      <c r="AZ89" s="1573"/>
      <c r="BA89" s="435"/>
      <c r="BB89" s="435"/>
      <c r="BC89" s="435"/>
      <c r="BD89" s="435"/>
      <c r="BE89" s="1573"/>
      <c r="BF89" s="249"/>
      <c r="BG89" s="249"/>
      <c r="BH89" s="940"/>
      <c r="BI89" s="96"/>
      <c r="BJ89" s="1572"/>
      <c r="BK89" s="96"/>
      <c r="BL89" s="96"/>
      <c r="BM89" s="96"/>
      <c r="BN89" s="96"/>
      <c r="BO89" s="1572"/>
      <c r="BP89" s="1572"/>
      <c r="BQ89" s="1572"/>
      <c r="BR89" s="1572"/>
      <c r="BS89" s="942"/>
    </row>
    <row r="90" spans="1:71" ht="15">
      <c r="A90" s="77" t="s">
        <v>791</v>
      </c>
      <c r="B90" s="889"/>
      <c r="C90" s="897"/>
      <c r="D90" s="897"/>
      <c r="E90" s="897"/>
      <c r="F90" s="897"/>
      <c r="G90" s="897"/>
      <c r="H90" s="897"/>
      <c r="I90" s="897"/>
      <c r="J90" s="897"/>
      <c r="K90" s="897"/>
      <c r="L90" s="897"/>
      <c r="M90" s="897"/>
      <c r="N90" s="897"/>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7"/>
      <c r="AM90" s="897"/>
      <c r="AN90" s="897"/>
      <c r="AO90" s="897"/>
      <c r="AP90" s="897"/>
      <c r="AQ90" s="897"/>
      <c r="AR90" s="897"/>
      <c r="AS90" s="897"/>
      <c r="AT90" s="897"/>
      <c r="AU90" s="897"/>
      <c r="AV90" s="897"/>
      <c r="AW90" s="897"/>
      <c r="AX90" s="897"/>
      <c r="AY90" s="897"/>
      <c r="AZ90" s="897"/>
      <c r="BA90" s="897"/>
      <c r="BB90" s="897"/>
      <c r="BC90" s="897"/>
      <c r="BD90" s="897"/>
      <c r="BE90" s="897"/>
      <c r="BF90" s="897"/>
      <c r="BG90" s="897"/>
      <c r="BH90" s="897"/>
      <c r="BI90" s="890"/>
      <c r="BJ90" s="890"/>
      <c r="BK90" s="890"/>
      <c r="BL90" s="890"/>
      <c r="BM90" s="890"/>
      <c r="BN90" s="890"/>
      <c r="BO90" s="890"/>
      <c r="BP90" s="890"/>
      <c r="BQ90" s="890"/>
      <c r="BR90" s="890"/>
      <c r="BS90" s="886"/>
    </row>
    <row r="91" spans="1:71" ht="15">
      <c r="A91" s="886"/>
      <c r="B91" s="886"/>
      <c r="C91" s="898"/>
      <c r="D91" s="898"/>
      <c r="E91" s="898"/>
      <c r="F91" s="898"/>
      <c r="G91" s="898"/>
      <c r="H91" s="221"/>
      <c r="I91" s="221"/>
      <c r="J91" s="221"/>
      <c r="K91" s="221"/>
      <c r="L91" s="898"/>
      <c r="M91" s="221"/>
      <c r="N91" s="221"/>
      <c r="O91" s="221"/>
      <c r="P91" s="221"/>
      <c r="Q91" s="898"/>
      <c r="R91" s="221"/>
      <c r="S91" s="221"/>
      <c r="T91" s="221"/>
      <c r="U91" s="221"/>
      <c r="V91" s="898"/>
      <c r="W91" s="221"/>
      <c r="X91" s="221"/>
      <c r="Y91" s="221"/>
      <c r="Z91" s="221"/>
      <c r="AA91" s="898"/>
      <c r="AB91" s="221"/>
      <c r="AC91" s="221"/>
      <c r="AD91" s="221"/>
      <c r="AE91" s="221"/>
      <c r="AF91" s="898"/>
      <c r="AG91" s="221"/>
      <c r="AH91" s="221"/>
      <c r="AI91" s="221"/>
      <c r="AJ91" s="221"/>
      <c r="AK91" s="898"/>
      <c r="AL91" s="221"/>
      <c r="AM91" s="221"/>
      <c r="AN91" s="221"/>
      <c r="AO91" s="221"/>
      <c r="AP91" s="898"/>
      <c r="AQ91" s="221"/>
      <c r="AR91" s="221"/>
      <c r="AS91" s="221"/>
      <c r="AT91" s="221"/>
      <c r="AU91" s="898"/>
      <c r="AV91" s="221"/>
      <c r="AW91" s="221"/>
      <c r="AX91" s="221"/>
      <c r="AY91" s="221"/>
      <c r="AZ91" s="898"/>
      <c r="BA91" s="221"/>
      <c r="BB91" s="221"/>
      <c r="BC91" s="221"/>
      <c r="BD91" s="221"/>
      <c r="BE91" s="898"/>
      <c r="BF91" s="221"/>
      <c r="BG91" s="221"/>
      <c r="BH91" s="221"/>
      <c r="BI91" s="155"/>
      <c r="BJ91" s="886"/>
      <c r="BK91" s="155"/>
      <c r="BL91" s="155"/>
      <c r="BM91" s="155"/>
      <c r="BN91" s="155"/>
      <c r="BO91" s="886"/>
      <c r="BP91" s="886"/>
      <c r="BQ91" s="886"/>
      <c r="BR91" s="886"/>
      <c r="BS91" s="886"/>
    </row>
  </sheetData>
  <pageMargins left="0.7" right="0.7" top="0.75" bottom="0.75" header="0.3" footer="0.3"/>
  <pageSetup orientation="portrait" paperSize="1"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ADA7DB2-1413-4EF1-8FD0-FB9FA003301D}">
  <sheetPr codeName="Sheet1">
    <pageSetUpPr fitToPage="1"/>
  </sheetPr>
  <dimension ref="A1:BS99"/>
  <sheetViews>
    <sheetView workbookViewId="0" topLeftCell="A1">
      <pane xSplit="2" ySplit="2" topLeftCell="C3" activePane="bottomRight" state="frozen"/>
      <selection pane="topLeft" activeCell="A1" sqref="A1"/>
      <selection pane="bottomLeft" activeCell="A3" sqref="A3"/>
      <selection pane="topRight" activeCell="C1" sqref="C1"/>
      <selection pane="bottomRight" activeCell="A1" sqref="A1"/>
    </sheetView>
  </sheetViews>
  <sheetFormatPr defaultColWidth="9.14428571428571" defaultRowHeight="15" outlineLevelRow="1" outlineLevelCol="1"/>
  <cols>
    <col min="1" max="1" width="41.2857142857143" style="701" customWidth="1"/>
    <col min="2" max="7" width="10.7142857142857" style="701" customWidth="1"/>
    <col min="8" max="11" width="10.7142857142857" style="701" hidden="1" customWidth="1" outlineLevel="1"/>
    <col min="12" max="12" width="10.7142857142857" style="701" customWidth="1" collapsed="1"/>
    <col min="13" max="16" width="10.7142857142857" style="701" hidden="1" customWidth="1" outlineLevel="1"/>
    <col min="17" max="17" width="10.7142857142857" style="701" customWidth="1" collapsed="1"/>
    <col min="18" max="21" width="10.7142857142857" style="701" hidden="1" customWidth="1" outlineLevel="1"/>
    <col min="22" max="22" width="10.7142857142857" style="701" customWidth="1" collapsed="1"/>
    <col min="23" max="26" width="10.7142857142857" style="701" hidden="1" customWidth="1" outlineLevel="1"/>
    <col min="27" max="27" width="10.7142857142857" style="701" customWidth="1" collapsed="1"/>
    <col min="28" max="31" width="10.7142857142857" style="701" hidden="1" customWidth="1" outlineLevel="1"/>
    <col min="32" max="32" width="10.7142857142857" style="701" customWidth="1" collapsed="1"/>
    <col min="33" max="36" width="10.7142857142857" style="701" hidden="1" customWidth="1" outlineLevel="1"/>
    <col min="37" max="37" width="10.7142857142857" style="701" customWidth="1" collapsed="1"/>
    <col min="38" max="41" width="10.7142857142857" style="701" hidden="1" customWidth="1" outlineLevel="1"/>
    <col min="42" max="42" width="10.7142857142857" style="701" customWidth="1" collapsed="1"/>
    <col min="43" max="46" width="10.7142857142857" style="701" hidden="1" customWidth="1" outlineLevel="1"/>
    <col min="47" max="47" width="10.7142857142857" style="701" collapsed="1"/>
    <col min="48" max="50" width="10.7142857142857" style="701" hidden="1" customWidth="1" outlineLevel="1" collapsed="1"/>
    <col min="51" max="51" width="10.7142857142857" style="701" hidden="1" customWidth="1" outlineLevel="1"/>
    <col min="52" max="52" width="10.7142857142857" style="701" customWidth="1" collapsed="1"/>
    <col min="53" max="55" width="10.7142857142857" style="701" hidden="1" customWidth="1" outlineLevel="1" collapsed="1"/>
    <col min="56" max="56" width="10.7142857142857" style="701" hidden="1" customWidth="1" outlineLevel="1"/>
    <col min="57" max="57" width="10.7142857142857" style="701" customWidth="1" collapsed="1"/>
    <col min="58" max="60" width="10.7142857142857" style="701" customWidth="1" outlineLevel="1" collapsed="1"/>
    <col min="61" max="61" width="10.7142857142857" style="701" customWidth="1" outlineLevel="1"/>
    <col min="62" max="62" width="10.7142857142857" style="701" customWidth="1"/>
    <col min="63" max="65" width="10.7142857142857" style="701" hidden="1" customWidth="1" outlineLevel="1" collapsed="1"/>
    <col min="66" max="66" width="10.7142857142857" style="701" hidden="1" customWidth="1" outlineLevel="1"/>
    <col min="67" max="67" width="10.7142857142857" style="701" customWidth="1" collapsed="1"/>
    <col min="68" max="70" width="10.7142857142857" style="701" customWidth="1"/>
    <col min="71" max="71" width="8.85714285714286" style="701" customWidth="1"/>
    <col min="72" max="72" width="9.14285714285714" style="701" customWidth="1"/>
    <col min="73" max="16384" width="9.14285714285714" style="701"/>
  </cols>
  <sheetData>
    <row r="1" spans="1:71" ht="28.5">
      <c r="A1" s="118" t="str">
        <f>MO.CompanyName</f>
        <v>The Progressive Corporation</v>
      </c>
      <c r="B1" s="1015"/>
      <c r="C1" s="1501">
        <f t="shared" si="0" ref="C1:AU1">INDEX(MO_Common_QEndDate,0,COLUMN())</f>
        <v>40178</v>
      </c>
      <c r="D1" s="1502">
        <f t="shared" si="0"/>
        <v>40543</v>
      </c>
      <c r="E1" s="1502">
        <f t="shared" si="0"/>
        <v>40908</v>
      </c>
      <c r="F1" s="1502">
        <f t="shared" si="0"/>
        <v>41274</v>
      </c>
      <c r="G1" s="1502">
        <f t="shared" si="0"/>
        <v>41639</v>
      </c>
      <c r="H1" s="227">
        <f t="shared" si="0"/>
        <v>41729</v>
      </c>
      <c r="I1" s="227">
        <f t="shared" si="0"/>
        <v>41820</v>
      </c>
      <c r="J1" s="227">
        <f t="shared" si="0"/>
        <v>41912</v>
      </c>
      <c r="K1" s="227">
        <f t="shared" si="0"/>
        <v>42004</v>
      </c>
      <c r="L1" s="1502">
        <f t="shared" si="0"/>
        <v>42004</v>
      </c>
      <c r="M1" s="227">
        <f t="shared" si="0"/>
        <v>42094</v>
      </c>
      <c r="N1" s="227">
        <f t="shared" si="0"/>
        <v>42185</v>
      </c>
      <c r="O1" s="227">
        <f t="shared" si="0"/>
        <v>42277</v>
      </c>
      <c r="P1" s="227">
        <f t="shared" si="0"/>
        <v>42369</v>
      </c>
      <c r="Q1" s="1502">
        <f t="shared" si="0"/>
        <v>42369</v>
      </c>
      <c r="R1" s="227">
        <f t="shared" si="0"/>
        <v>42460</v>
      </c>
      <c r="S1" s="227">
        <f t="shared" si="0"/>
        <v>42551</v>
      </c>
      <c r="T1" s="227">
        <f t="shared" si="0"/>
        <v>42643</v>
      </c>
      <c r="U1" s="227">
        <f t="shared" si="0"/>
        <v>42735</v>
      </c>
      <c r="V1" s="1502">
        <f t="shared" si="0"/>
        <v>42735</v>
      </c>
      <c r="W1" s="227">
        <f t="shared" si="0"/>
        <v>42825</v>
      </c>
      <c r="X1" s="227">
        <f t="shared" si="0"/>
        <v>42916</v>
      </c>
      <c r="Y1" s="227">
        <f t="shared" si="0"/>
        <v>43008</v>
      </c>
      <c r="Z1" s="227">
        <f t="shared" si="0"/>
        <v>43100</v>
      </c>
      <c r="AA1" s="1502">
        <f t="shared" si="0"/>
        <v>43100</v>
      </c>
      <c r="AB1" s="227">
        <f t="shared" si="0"/>
        <v>43190</v>
      </c>
      <c r="AC1" s="227">
        <f t="shared" si="0"/>
        <v>43281</v>
      </c>
      <c r="AD1" s="227">
        <f t="shared" si="0"/>
        <v>43373</v>
      </c>
      <c r="AE1" s="227">
        <f t="shared" si="0"/>
        <v>43465</v>
      </c>
      <c r="AF1" s="1502">
        <f t="shared" si="0"/>
        <v>43465</v>
      </c>
      <c r="AG1" s="227">
        <f t="shared" si="0"/>
        <v>43555</v>
      </c>
      <c r="AH1" s="227">
        <f t="shared" si="0"/>
        <v>43646</v>
      </c>
      <c r="AI1" s="227">
        <f t="shared" si="0"/>
        <v>43738</v>
      </c>
      <c r="AJ1" s="227">
        <f t="shared" si="0"/>
        <v>43830</v>
      </c>
      <c r="AK1" s="1502">
        <f t="shared" si="0"/>
        <v>43830</v>
      </c>
      <c r="AL1" s="227">
        <f t="shared" si="0"/>
        <v>43921</v>
      </c>
      <c r="AM1" s="227">
        <f t="shared" si="0"/>
        <v>44012</v>
      </c>
      <c r="AN1" s="227">
        <f t="shared" si="0"/>
        <v>44104</v>
      </c>
      <c r="AO1" s="227">
        <f>INDEX(MO_Common_QEndDate,0,COLUMN())</f>
        <v>44196</v>
      </c>
      <c r="AP1" s="1502">
        <f>INDEX(MO_Common_QEndDate,0,COLUMN())</f>
        <v>44196</v>
      </c>
      <c r="AQ1" s="227">
        <f t="shared" si="0"/>
        <v>44286</v>
      </c>
      <c r="AR1" s="227">
        <f t="shared" si="0"/>
        <v>44377</v>
      </c>
      <c r="AS1" s="227">
        <f>INDEX(MO_Common_QEndDate,0,COLUMN())</f>
        <v>44469</v>
      </c>
      <c r="AT1" s="227">
        <f t="shared" si="0"/>
        <v>44561</v>
      </c>
      <c r="AU1" s="1502">
        <f t="shared" si="0"/>
        <v>44561</v>
      </c>
      <c r="AV1" s="227">
        <f>INDEX(MO_Common_QEndDate,0,COLUMN())</f>
        <v>44651</v>
      </c>
      <c r="AW1" s="227">
        <f>INDEX(MO_Common_QEndDate,0,COLUMN())</f>
        <v>44742</v>
      </c>
      <c r="AX1" s="227">
        <f>INDEX(MO_Common_QEndDate,0,COLUMN())</f>
        <v>44834</v>
      </c>
      <c r="AY1" s="227">
        <f>INDEX(MO_Common_QEndDate,0,COLUMN())</f>
        <v>44926</v>
      </c>
      <c r="AZ1" s="1502">
        <f>INDEX(MO_Common_QEndDate,0,COLUMN())</f>
        <v>44926</v>
      </c>
      <c r="BA1" s="227">
        <f t="shared" si="1" ref="BA1:BE1">INDEX(MO_Common_QEndDate,0,COLUMN())</f>
        <v>45016</v>
      </c>
      <c r="BB1" s="227">
        <f t="shared" si="1"/>
        <v>45107</v>
      </c>
      <c r="BC1" s="227">
        <f t="shared" si="1"/>
        <v>45199</v>
      </c>
      <c r="BD1" s="227">
        <f t="shared" si="1"/>
        <v>45291</v>
      </c>
      <c r="BE1" s="1502">
        <f t="shared" si="1"/>
        <v>45291</v>
      </c>
      <c r="BF1" s="227">
        <f t="shared" si="2" ref="BF1:BJ1">INDEX(MO_Common_QEndDate,0,COLUMN())</f>
        <v>45382</v>
      </c>
      <c r="BG1" s="227">
        <f t="shared" si="2"/>
        <v>45473</v>
      </c>
      <c r="BH1" s="846">
        <f t="shared" si="2"/>
        <v>45565</v>
      </c>
      <c r="BI1" s="117">
        <f t="shared" si="2"/>
        <v>45657</v>
      </c>
      <c r="BJ1" s="1503">
        <f t="shared" si="2"/>
        <v>45657</v>
      </c>
      <c r="BK1" s="117">
        <f t="shared" si="3" ref="BK1:BR1">INDEX(MO_Common_QEndDate,0,COLUMN())</f>
        <v>45747</v>
      </c>
      <c r="BL1" s="117">
        <f t="shared" si="3"/>
        <v>45838</v>
      </c>
      <c r="BM1" s="117">
        <f t="shared" si="3"/>
        <v>45930</v>
      </c>
      <c r="BN1" s="117">
        <f t="shared" si="3"/>
        <v>46022</v>
      </c>
      <c r="BO1" s="1503">
        <f t="shared" si="3"/>
        <v>46022</v>
      </c>
      <c r="BP1" s="1502">
        <f t="shared" si="3"/>
        <v>46387</v>
      </c>
      <c r="BQ1" s="1502">
        <f t="shared" si="3"/>
        <v>46752</v>
      </c>
      <c r="BR1" s="1503">
        <f t="shared" si="3"/>
        <v>47118</v>
      </c>
      <c r="BS1" s="1015"/>
    </row>
    <row r="2" spans="1:71" s="702" customFormat="1" ht="15">
      <c r="A2" s="119" t="s">
        <v>279</v>
      </c>
      <c r="B2" s="120" t="str">
        <f>MO.ReportFX</f>
        <v>USD</v>
      </c>
      <c r="C2" s="1504" t="str">
        <f t="shared" si="4" ref="C2:AU2">INDEX(MO_Common_ColumnHeader,0,COLUMN())</f>
        <v>FY2009</v>
      </c>
      <c r="D2" s="1505" t="str">
        <f t="shared" si="4"/>
        <v>FY2010</v>
      </c>
      <c r="E2" s="1505" t="str">
        <f t="shared" si="4"/>
        <v>FY2011</v>
      </c>
      <c r="F2" s="1505" t="str">
        <f t="shared" si="4"/>
        <v>FY2012</v>
      </c>
      <c r="G2" s="1505" t="str">
        <f t="shared" si="4"/>
        <v>FY2013</v>
      </c>
      <c r="H2" s="228" t="str">
        <f t="shared" si="4"/>
        <v>Q1-2014</v>
      </c>
      <c r="I2" s="228" t="str">
        <f t="shared" si="4"/>
        <v>Q2-2014</v>
      </c>
      <c r="J2" s="228" t="str">
        <f t="shared" si="4"/>
        <v>Q3-2014</v>
      </c>
      <c r="K2" s="228" t="str">
        <f t="shared" si="4"/>
        <v>Q4-2014</v>
      </c>
      <c r="L2" s="1505" t="str">
        <f t="shared" si="4"/>
        <v>FY2014</v>
      </c>
      <c r="M2" s="228" t="str">
        <f t="shared" si="4"/>
        <v>Q1-2015</v>
      </c>
      <c r="N2" s="228" t="str">
        <f t="shared" si="4"/>
        <v>Q2-2015</v>
      </c>
      <c r="O2" s="228" t="str">
        <f t="shared" si="4"/>
        <v>Q3-2015</v>
      </c>
      <c r="P2" s="228" t="str">
        <f t="shared" si="4"/>
        <v>Q4-2015</v>
      </c>
      <c r="Q2" s="1505" t="str">
        <f t="shared" si="4"/>
        <v>FY2015</v>
      </c>
      <c r="R2" s="228" t="str">
        <f t="shared" si="4"/>
        <v>Q1-2016</v>
      </c>
      <c r="S2" s="228" t="str">
        <f t="shared" si="4"/>
        <v>Q2-2016</v>
      </c>
      <c r="T2" s="228" t="str">
        <f t="shared" si="4"/>
        <v>Q3-2016</v>
      </c>
      <c r="U2" s="228" t="str">
        <f t="shared" si="4"/>
        <v>Q4-2016</v>
      </c>
      <c r="V2" s="1505" t="str">
        <f t="shared" si="4"/>
        <v>FY2016</v>
      </c>
      <c r="W2" s="228" t="str">
        <f t="shared" si="4"/>
        <v>Q1-2017</v>
      </c>
      <c r="X2" s="228" t="str">
        <f t="shared" si="4"/>
        <v>Q2-2017</v>
      </c>
      <c r="Y2" s="228" t="str">
        <f t="shared" si="4"/>
        <v>Q3-2017</v>
      </c>
      <c r="Z2" s="228" t="str">
        <f t="shared" si="4"/>
        <v>Q4-2017</v>
      </c>
      <c r="AA2" s="1505" t="str">
        <f t="shared" si="4"/>
        <v>FY2017</v>
      </c>
      <c r="AB2" s="228" t="str">
        <f t="shared" si="4"/>
        <v>Q1-2018</v>
      </c>
      <c r="AC2" s="228" t="str">
        <f t="shared" si="4"/>
        <v>Q2-2018</v>
      </c>
      <c r="AD2" s="228" t="str">
        <f t="shared" si="4"/>
        <v>Q3-2018</v>
      </c>
      <c r="AE2" s="228" t="str">
        <f t="shared" si="4"/>
        <v>Q4-2018</v>
      </c>
      <c r="AF2" s="1505" t="str">
        <f t="shared" si="4"/>
        <v>FY2018</v>
      </c>
      <c r="AG2" s="228" t="str">
        <f t="shared" si="4"/>
        <v>Q1-2019</v>
      </c>
      <c r="AH2" s="228" t="str">
        <f t="shared" si="4"/>
        <v>Q2-2019</v>
      </c>
      <c r="AI2" s="228" t="str">
        <f t="shared" si="4"/>
        <v>Q3-2019</v>
      </c>
      <c r="AJ2" s="228" t="str">
        <f t="shared" si="4"/>
        <v>Q4-2019</v>
      </c>
      <c r="AK2" s="1505" t="str">
        <f t="shared" si="4"/>
        <v>FY2019</v>
      </c>
      <c r="AL2" s="228" t="str">
        <f t="shared" si="4"/>
        <v>Q1-2020</v>
      </c>
      <c r="AM2" s="228" t="str">
        <f t="shared" si="4"/>
        <v>Q2-2020</v>
      </c>
      <c r="AN2" s="228" t="str">
        <f t="shared" si="4"/>
        <v>Q3-2020</v>
      </c>
      <c r="AO2" s="228" t="str">
        <f>INDEX(MO_Common_ColumnHeader,0,COLUMN())</f>
        <v>Q4-2020</v>
      </c>
      <c r="AP2" s="1505" t="str">
        <f>INDEX(MO_Common_ColumnHeader,0,COLUMN())</f>
        <v>FY2020</v>
      </c>
      <c r="AQ2" s="228" t="str">
        <f t="shared" si="4"/>
        <v>Q1-2021</v>
      </c>
      <c r="AR2" s="228" t="str">
        <f t="shared" si="4"/>
        <v>Q2-2021</v>
      </c>
      <c r="AS2" s="228" t="str">
        <f>INDEX(MO_Common_ColumnHeader,0,COLUMN())</f>
        <v>Q3-2021</v>
      </c>
      <c r="AT2" s="228" t="str">
        <f t="shared" si="4"/>
        <v>Q4-2021</v>
      </c>
      <c r="AU2" s="1505" t="str">
        <f t="shared" si="4"/>
        <v>FY2021</v>
      </c>
      <c r="AV2" s="228" t="str">
        <f>INDEX(MO_Common_ColumnHeader,0,COLUMN())</f>
        <v>Q1-2022</v>
      </c>
      <c r="AW2" s="228" t="str">
        <f>INDEX(MO_Common_ColumnHeader,0,COLUMN())</f>
        <v>Q2-2022</v>
      </c>
      <c r="AX2" s="228" t="str">
        <f>INDEX(MO_Common_ColumnHeader,0,COLUMN())</f>
        <v>Q3-2022</v>
      </c>
      <c r="AY2" s="228" t="str">
        <f>INDEX(MO_Common_ColumnHeader,0,COLUMN())</f>
        <v>Q4-2022</v>
      </c>
      <c r="AZ2" s="1505" t="str">
        <f>INDEX(MO_Common_ColumnHeader,0,COLUMN())</f>
        <v>FY2022</v>
      </c>
      <c r="BA2" s="228" t="str">
        <f t="shared" si="5" ref="BA2:BE2">INDEX(MO_Common_ColumnHeader,0,COLUMN())</f>
        <v>Q1-2023</v>
      </c>
      <c r="BB2" s="228" t="str">
        <f t="shared" si="5"/>
        <v>Q2-2023</v>
      </c>
      <c r="BC2" s="228" t="str">
        <f t="shared" si="5"/>
        <v>Q3-2023</v>
      </c>
      <c r="BD2" s="228" t="str">
        <f t="shared" si="5"/>
        <v>Q4-2023</v>
      </c>
      <c r="BE2" s="1505" t="str">
        <f t="shared" si="5"/>
        <v>FY2023</v>
      </c>
      <c r="BF2" s="228" t="str">
        <f t="shared" si="6" ref="BF2:BJ2">INDEX(MO_Common_ColumnHeader,0,COLUMN())</f>
        <v>Q1-2024</v>
      </c>
      <c r="BG2" s="228" t="str">
        <f t="shared" si="6"/>
        <v>Q2-2024</v>
      </c>
      <c r="BH2" s="847" t="str">
        <f t="shared" si="6"/>
        <v>Q3-2024</v>
      </c>
      <c r="BI2" s="78" t="str">
        <f t="shared" si="6"/>
        <v>Q4-2024</v>
      </c>
      <c r="BJ2" s="1506" t="str">
        <f t="shared" si="6"/>
        <v>FY2024</v>
      </c>
      <c r="BK2" s="78" t="str">
        <f t="shared" si="7" ref="BK2:BR2">INDEX(MO_Common_ColumnHeader,0,COLUMN())</f>
        <v>Q1-2025</v>
      </c>
      <c r="BL2" s="78" t="str">
        <f t="shared" si="7"/>
        <v>Q2-2025</v>
      </c>
      <c r="BM2" s="78" t="str">
        <f t="shared" si="7"/>
        <v>Q3-2025</v>
      </c>
      <c r="BN2" s="78" t="str">
        <f t="shared" si="7"/>
        <v>Q4-2025</v>
      </c>
      <c r="BO2" s="1506" t="str">
        <f t="shared" si="7"/>
        <v>FY2025</v>
      </c>
      <c r="BP2" s="1505" t="str">
        <f t="shared" si="7"/>
        <v>FY2026</v>
      </c>
      <c r="BQ2" s="1505" t="str">
        <f t="shared" si="7"/>
        <v>FY2027</v>
      </c>
      <c r="BR2" s="1506" t="str">
        <f t="shared" si="7"/>
        <v>FY2028</v>
      </c>
      <c r="BS2" s="1015"/>
    </row>
    <row r="3" spans="1:71" ht="15">
      <c r="A3" s="74" t="s">
        <v>280</v>
      </c>
      <c r="B3" s="74"/>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379"/>
      <c r="BI3" s="74"/>
      <c r="BJ3" s="74"/>
      <c r="BK3" s="74"/>
      <c r="BL3" s="74"/>
      <c r="BM3" s="74"/>
      <c r="BN3" s="74"/>
      <c r="BO3" s="74"/>
      <c r="BP3" s="229"/>
      <c r="BQ3" s="229"/>
      <c r="BR3" s="74"/>
      <c r="BS3" s="83"/>
    </row>
    <row r="4" spans="1:71" s="703" customFormat="1" ht="15">
      <c r="A4" s="324" t="str">
        <f>"Stock Price - "&amp;SP.ValuationToggle</f>
        <v>Stock Price - EoP</v>
      </c>
      <c r="B4" s="1210" t="s">
        <v>736</v>
      </c>
      <c r="C4" s="1507">
        <f t="shared" si="8" ref="C4:AH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18.05</v>
      </c>
      <c r="D4" s="1507">
        <f t="shared" si="8"/>
        <v>19.87</v>
      </c>
      <c r="E4" s="1507">
        <f t="shared" si="8"/>
        <v>19.510000000000002</v>
      </c>
      <c r="F4" s="1507">
        <f t="shared" si="8"/>
        <v>20.85</v>
      </c>
      <c r="G4" s="1507">
        <f t="shared" si="8"/>
        <v>27.16</v>
      </c>
      <c r="H4" s="327">
        <f t="shared" si="8"/>
        <v>23.98</v>
      </c>
      <c r="I4" s="327">
        <f t="shared" si="8"/>
        <v>25.26</v>
      </c>
      <c r="J4" s="327">
        <f t="shared" si="8"/>
        <v>25.49</v>
      </c>
      <c r="K4" s="327">
        <f t="shared" si="8"/>
        <v>27.22</v>
      </c>
      <c r="L4" s="1507">
        <f t="shared" si="8"/>
        <v>27.22</v>
      </c>
      <c r="M4" s="327">
        <f t="shared" si="8"/>
        <v>27.37</v>
      </c>
      <c r="N4" s="327">
        <f t="shared" si="8"/>
        <v>27.81</v>
      </c>
      <c r="O4" s="327">
        <f t="shared" si="8"/>
        <v>30.44</v>
      </c>
      <c r="P4" s="327">
        <f t="shared" si="8"/>
        <v>32.32</v>
      </c>
      <c r="Q4" s="1507">
        <f t="shared" si="8"/>
        <v>32.32</v>
      </c>
      <c r="R4" s="327">
        <f t="shared" si="8"/>
        <v>35.03</v>
      </c>
      <c r="S4" s="327">
        <f t="shared" si="8"/>
        <v>32.630000000000003</v>
      </c>
      <c r="T4" s="327">
        <f t="shared" si="8"/>
        <v>31.25</v>
      </c>
      <c r="U4" s="327">
        <f t="shared" si="8"/>
        <v>35.50</v>
      </c>
      <c r="V4" s="1507">
        <f t="shared" si="8"/>
        <v>35.50</v>
      </c>
      <c r="W4" s="327">
        <f t="shared" si="8"/>
        <v>39.479999999999997</v>
      </c>
      <c r="X4" s="327">
        <f t="shared" si="8"/>
        <v>44.15</v>
      </c>
      <c r="Y4" s="327">
        <f t="shared" si="8"/>
        <v>48.42</v>
      </c>
      <c r="Z4" s="327">
        <f t="shared" si="8"/>
        <v>56.32</v>
      </c>
      <c r="AA4" s="1507">
        <f t="shared" si="8"/>
        <v>56.32</v>
      </c>
      <c r="AB4" s="327">
        <f t="shared" si="8"/>
        <v>60.93</v>
      </c>
      <c r="AC4" s="327">
        <f t="shared" si="8"/>
        <v>59.15</v>
      </c>
      <c r="AD4" s="327">
        <f t="shared" si="8"/>
        <v>71.040000000000006</v>
      </c>
      <c r="AE4" s="327">
        <f t="shared" si="8"/>
        <v>59.65</v>
      </c>
      <c r="AF4" s="1507">
        <f t="shared" si="8"/>
        <v>59.65</v>
      </c>
      <c r="AG4" s="327">
        <f t="shared" si="8"/>
        <v>72.09</v>
      </c>
      <c r="AH4" s="327">
        <f t="shared" si="8"/>
        <v>79.930000000000007</v>
      </c>
      <c r="AI4" s="327">
        <f t="shared" si="9" ref="AI4:BJ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77.099999999999994</v>
      </c>
      <c r="AJ4" s="327">
        <f t="shared" si="9"/>
        <v>72.319999999999993</v>
      </c>
      <c r="AK4" s="1507">
        <f t="shared" si="9"/>
        <v>72.319999999999993</v>
      </c>
      <c r="AL4" s="327">
        <f t="shared" si="9"/>
        <v>76.180000000000007</v>
      </c>
      <c r="AM4" s="327">
        <f t="shared" si="9"/>
        <v>78.400000000000006</v>
      </c>
      <c r="AN4" s="327">
        <f t="shared" si="9"/>
        <v>94.15</v>
      </c>
      <c r="AO4" s="327">
        <f t="shared" si="9"/>
        <v>97.41</v>
      </c>
      <c r="AP4" s="1507">
        <f t="shared" si="9"/>
        <v>97.41</v>
      </c>
      <c r="AQ4" s="327">
        <f t="shared" si="9"/>
        <v>95.55</v>
      </c>
      <c r="AR4" s="327">
        <f t="shared" si="9"/>
        <v>98.44</v>
      </c>
      <c r="AS4" s="327">
        <f t="shared" si="9"/>
        <v>91.14</v>
      </c>
      <c r="AT4" s="327">
        <f t="shared" si="9"/>
        <v>103.05</v>
      </c>
      <c r="AU4" s="1508">
        <f t="shared" si="9"/>
        <v>103.05</v>
      </c>
      <c r="AV4" s="327">
        <f t="shared" si="9"/>
        <v>117.17</v>
      </c>
      <c r="AW4" s="327">
        <f t="shared" si="9"/>
        <v>113.64</v>
      </c>
      <c r="AX4" s="327">
        <f t="shared" si="9"/>
        <v>118.39</v>
      </c>
      <c r="AY4" s="327">
        <f t="shared" si="9"/>
        <v>129.71000000000001</v>
      </c>
      <c r="AZ4" s="1508">
        <f t="shared" si="9"/>
        <v>129.71000000000001</v>
      </c>
      <c r="BA4" s="327">
        <f t="shared" si="9"/>
        <v>143.78999999999999</v>
      </c>
      <c r="BB4" s="327">
        <f t="shared" si="9"/>
        <v>132.11000000000001</v>
      </c>
      <c r="BC4" s="327">
        <f t="shared" si="9"/>
        <v>139.30000000000001</v>
      </c>
      <c r="BD4" s="327">
        <f t="shared" si="9"/>
        <v>159.28</v>
      </c>
      <c r="BE4" s="1508">
        <f t="shared" si="9"/>
        <v>159.28</v>
      </c>
      <c r="BF4" s="327">
        <f t="shared" si="9"/>
        <v>206.82</v>
      </c>
      <c r="BG4" s="327">
        <f t="shared" si="9"/>
        <v>207.71</v>
      </c>
      <c r="BH4" s="848">
        <f t="shared" si="9"/>
        <v>251.10</v>
      </c>
      <c r="BI4" s="328">
        <f t="shared" ca="1" si="9"/>
        <v>257.50</v>
      </c>
      <c r="BJ4" s="1509">
        <f t="shared" ca="1" si="9"/>
        <v>257.50</v>
      </c>
      <c r="BK4" s="328">
        <f ca="1" t="shared" si="10" ref="BK4:BR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257.50</v>
      </c>
      <c r="BL4" s="328">
        <f t="shared" ca="1" si="10"/>
        <v>257.50</v>
      </c>
      <c r="BM4" s="328">
        <f t="shared" ca="1" si="10"/>
        <v>257.50</v>
      </c>
      <c r="BN4" s="328">
        <f t="shared" ca="1" si="10"/>
        <v>257.50</v>
      </c>
      <c r="BO4" s="1509">
        <f t="shared" ca="1" si="10"/>
        <v>257.50</v>
      </c>
      <c r="BP4" s="1508">
        <f t="shared" ca="1" si="10"/>
        <v>257.50</v>
      </c>
      <c r="BQ4" s="1508">
        <f t="shared" ca="1" si="10"/>
        <v>257.50</v>
      </c>
      <c r="BR4" s="1509">
        <f t="shared" ca="1" si="10"/>
        <v>257.50</v>
      </c>
      <c r="BS4" s="88"/>
    </row>
    <row r="5" spans="1:71" s="703" customFormat="1" ht="15">
      <c r="A5" s="741" t="str">
        <f>INDEX(MO_SCA_ShareCount_EoP_Diluted,0,COLUMN())</f>
        <v>EoP Total Diluted Common Stock Outstanding, mm shares</v>
      </c>
      <c r="B5" s="742"/>
      <c r="C5" s="1510">
        <f t="shared" si="11" ref="C5:AH5">INDEX(MO_SCA_ShareCount_EoP_Diluted,0,COLUMN())</f>
        <v>678.00000000000011</v>
      </c>
      <c r="D5" s="1510">
        <f t="shared" si="11"/>
        <v>667.80</v>
      </c>
      <c r="E5" s="1510">
        <f t="shared" si="11"/>
        <v>617.60</v>
      </c>
      <c r="F5" s="1510">
        <f t="shared" si="11"/>
        <v>609.10</v>
      </c>
      <c r="G5" s="1510">
        <f t="shared" si="11"/>
        <v>600.29999999999995</v>
      </c>
      <c r="H5" s="1179">
        <f t="shared" si="11"/>
        <v>596.90000000000009</v>
      </c>
      <c r="I5" s="1179">
        <f t="shared" si="11"/>
        <v>595.79999999999995</v>
      </c>
      <c r="J5" s="1179">
        <f t="shared" si="11"/>
        <v>593.10000000000014</v>
      </c>
      <c r="K5" s="1179">
        <f t="shared" si="11"/>
        <v>592.40</v>
      </c>
      <c r="L5" s="1510">
        <f t="shared" si="11"/>
        <v>592.40</v>
      </c>
      <c r="M5" s="1179">
        <f t="shared" si="11"/>
        <v>590.69999999999993</v>
      </c>
      <c r="N5" s="1179">
        <f t="shared" si="11"/>
        <v>589.69999999999993</v>
      </c>
      <c r="O5" s="1179">
        <f t="shared" si="11"/>
        <v>588.50</v>
      </c>
      <c r="P5" s="1179">
        <f t="shared" si="11"/>
        <v>587.30000000000007</v>
      </c>
      <c r="Q5" s="1510">
        <f t="shared" si="11"/>
        <v>587.30000000000007</v>
      </c>
      <c r="R5" s="1179">
        <f t="shared" si="11"/>
        <v>585.29999999999995</v>
      </c>
      <c r="S5" s="1179">
        <f t="shared" si="11"/>
        <v>584.60</v>
      </c>
      <c r="T5" s="1179">
        <f t="shared" si="11"/>
        <v>583.90</v>
      </c>
      <c r="U5" s="1179">
        <f t="shared" si="11"/>
        <v>583.29999999999995</v>
      </c>
      <c r="V5" s="1510">
        <f t="shared" si="11"/>
        <v>583.29999999999995</v>
      </c>
      <c r="W5" s="1179">
        <f t="shared" si="11"/>
        <v>583.90</v>
      </c>
      <c r="X5" s="1179">
        <f t="shared" si="11"/>
        <v>584.29999999999995</v>
      </c>
      <c r="Y5" s="1179">
        <f t="shared" si="11"/>
        <v>585.90000000000009</v>
      </c>
      <c r="Z5" s="1179">
        <f t="shared" si="11"/>
        <v>586.30000000000007</v>
      </c>
      <c r="AA5" s="1510">
        <f t="shared" si="11"/>
        <v>586.30000000000007</v>
      </c>
      <c r="AB5" s="1179">
        <f t="shared" si="11"/>
        <v>586</v>
      </c>
      <c r="AC5" s="1179">
        <f t="shared" si="11"/>
        <v>586.29999999999995</v>
      </c>
      <c r="AD5" s="1179">
        <f t="shared" si="11"/>
        <v>587</v>
      </c>
      <c r="AE5" s="1179">
        <f t="shared" si="11"/>
        <v>587.10</v>
      </c>
      <c r="AF5" s="1510">
        <f t="shared" si="11"/>
        <v>587.10</v>
      </c>
      <c r="AG5" s="1179">
        <f t="shared" si="11"/>
        <v>585.50</v>
      </c>
      <c r="AH5" s="1179">
        <f t="shared" si="11"/>
        <v>587.40</v>
      </c>
      <c r="AI5" s="1179">
        <f t="shared" si="12" ref="AI5:BJ5">INDEX(MO_SCA_ShareCount_EoP_Diluted,0,COLUMN())</f>
        <v>587.60</v>
      </c>
      <c r="AJ5" s="1179">
        <f t="shared" si="12"/>
        <v>587.40</v>
      </c>
      <c r="AK5" s="1510">
        <f t="shared" si="12"/>
        <v>587.40</v>
      </c>
      <c r="AL5" s="1179">
        <f t="shared" si="12"/>
        <v>587.49999999999989</v>
      </c>
      <c r="AM5" s="1179">
        <f t="shared" si="12"/>
        <v>587.80000000000007</v>
      </c>
      <c r="AN5" s="1179">
        <f t="shared" si="12"/>
        <v>589.40000000000043</v>
      </c>
      <c r="AO5" s="1179">
        <f t="shared" si="12"/>
        <v>587.90</v>
      </c>
      <c r="AP5" s="1510">
        <f t="shared" si="12"/>
        <v>587.90</v>
      </c>
      <c r="AQ5" s="1179">
        <f t="shared" si="12"/>
        <v>587.20000000000005</v>
      </c>
      <c r="AR5" s="1179">
        <f t="shared" si="12"/>
        <v>587.29999999999995</v>
      </c>
      <c r="AS5" s="1179">
        <f t="shared" si="12"/>
        <v>587.40</v>
      </c>
      <c r="AT5" s="1179">
        <f t="shared" si="12"/>
        <v>587.00000000000011</v>
      </c>
      <c r="AU5" s="1511">
        <f t="shared" si="12"/>
        <v>587.00000000000011</v>
      </c>
      <c r="AV5" s="1179">
        <f t="shared" si="12"/>
        <v>586.80000000000007</v>
      </c>
      <c r="AW5" s="1179">
        <f t="shared" si="12"/>
        <v>586.80000000000007</v>
      </c>
      <c r="AX5" s="1179">
        <f t="shared" si="12"/>
        <v>587.70000000000005</v>
      </c>
      <c r="AY5" s="1179">
        <f t="shared" si="12"/>
        <v>587.50</v>
      </c>
      <c r="AZ5" s="1511">
        <f t="shared" si="12"/>
        <v>587.50</v>
      </c>
      <c r="BA5" s="1179">
        <f t="shared" si="12"/>
        <v>587.50</v>
      </c>
      <c r="BB5" s="1179">
        <f t="shared" si="12"/>
        <v>587.50</v>
      </c>
      <c r="BC5" s="1179">
        <f t="shared" si="12"/>
        <v>587.70000000000005</v>
      </c>
      <c r="BD5" s="1179">
        <f t="shared" si="12"/>
        <v>587.80000000000018</v>
      </c>
      <c r="BE5" s="1511">
        <f t="shared" si="12"/>
        <v>587.80000000000018</v>
      </c>
      <c r="BF5" s="1179">
        <f t="shared" si="12"/>
        <v>587.60</v>
      </c>
      <c r="BG5" s="1179">
        <f t="shared" si="12"/>
        <v>587.70000000000005</v>
      </c>
      <c r="BH5" s="1181">
        <f t="shared" si="12"/>
        <v>587.79999999999995</v>
      </c>
      <c r="BI5" s="1179">
        <f t="shared" ca="1" si="12"/>
        <v>588.72899999999993</v>
      </c>
      <c r="BJ5" s="1511">
        <f t="shared" ca="1" si="12"/>
        <v>588.72899999999993</v>
      </c>
      <c r="BK5" s="1179">
        <f ca="1" t="shared" si="13" ref="BK5:BR5">INDEX(MO_SCA_ShareCount_EoP_Diluted,0,COLUMN())</f>
        <v>588.72899999999993</v>
      </c>
      <c r="BL5" s="1179">
        <f t="shared" ca="1" si="13"/>
        <v>588.72899999999993</v>
      </c>
      <c r="BM5" s="1179">
        <f t="shared" ca="1" si="13"/>
        <v>588.72899999999993</v>
      </c>
      <c r="BN5" s="1179">
        <f t="shared" ca="1" si="13"/>
        <v>588.72899999999993</v>
      </c>
      <c r="BO5" s="1511">
        <f t="shared" ca="1" si="13"/>
        <v>588.72899999999993</v>
      </c>
      <c r="BP5" s="1511">
        <f t="shared" ca="1" si="13"/>
        <v>588.72899999999993</v>
      </c>
      <c r="BQ5" s="1511">
        <f t="shared" ca="1" si="13"/>
        <v>588.72899999999993</v>
      </c>
      <c r="BR5" s="1511">
        <f t="shared" ca="1" si="13"/>
        <v>588.72899999999993</v>
      </c>
      <c r="BS5" s="88"/>
    </row>
    <row r="6" spans="1:71" s="704" customFormat="1" ht="15">
      <c r="A6" s="124" t="str">
        <f>"Market Cap - "&amp;SP.ValuationToggle</f>
        <v>Market Cap - EoP</v>
      </c>
      <c r="B6" s="125"/>
      <c r="C6" s="1512">
        <f t="shared" si="14" ref="C6:AH6">INDEX(SP_CS_StockPrice,0,COLUMN())*INDEX(SP_CS_ShareCount_EoP_Diluted,0,COLUMN())</f>
        <v>12237.900000000003</v>
      </c>
      <c r="D6" s="1512">
        <f t="shared" si="14"/>
        <v>13269.186</v>
      </c>
      <c r="E6" s="1512">
        <f t="shared" si="14"/>
        <v>12049.376000000002</v>
      </c>
      <c r="F6" s="1512">
        <f t="shared" si="14"/>
        <v>12699.735000000001</v>
      </c>
      <c r="G6" s="1512">
        <f t="shared" si="14"/>
        <v>16304.147999999999</v>
      </c>
      <c r="H6" s="1183">
        <f t="shared" si="14"/>
        <v>14313.662000000002</v>
      </c>
      <c r="I6" s="1183">
        <f t="shared" si="14"/>
        <v>15049.907999999999</v>
      </c>
      <c r="J6" s="1183">
        <f t="shared" si="14"/>
        <v>15118.119000000002</v>
      </c>
      <c r="K6" s="1183">
        <f t="shared" si="14"/>
        <v>16125.127999999999</v>
      </c>
      <c r="L6" s="1512">
        <f t="shared" si="14"/>
        <v>16125.127999999999</v>
      </c>
      <c r="M6" s="1183">
        <f t="shared" si="14"/>
        <v>16167.458999999999</v>
      </c>
      <c r="N6" s="1183">
        <f t="shared" si="14"/>
        <v>16399.556999999997</v>
      </c>
      <c r="O6" s="1183">
        <f t="shared" si="14"/>
        <v>17913.940000000002</v>
      </c>
      <c r="P6" s="1183">
        <f t="shared" si="14"/>
        <v>18981.536000000004</v>
      </c>
      <c r="Q6" s="1512">
        <f t="shared" si="14"/>
        <v>18981.536000000004</v>
      </c>
      <c r="R6" s="1183">
        <f t="shared" si="14"/>
        <v>20503.058999999997</v>
      </c>
      <c r="S6" s="1183">
        <f t="shared" si="14"/>
        <v>19075.498000000003</v>
      </c>
      <c r="T6" s="1183">
        <f t="shared" si="14"/>
        <v>18246.875</v>
      </c>
      <c r="U6" s="1183">
        <f t="shared" si="14"/>
        <v>20707.149999999998</v>
      </c>
      <c r="V6" s="1512">
        <f t="shared" si="14"/>
        <v>20707.149999999998</v>
      </c>
      <c r="W6" s="1183">
        <f t="shared" si="14"/>
        <v>23052.371999999996</v>
      </c>
      <c r="X6" s="1183">
        <f t="shared" si="14"/>
        <v>25796.844999999998</v>
      </c>
      <c r="Y6" s="1183">
        <f t="shared" si="14"/>
        <v>28369.278000000006</v>
      </c>
      <c r="Z6" s="1183">
        <f t="shared" si="14"/>
        <v>33020.416000000005</v>
      </c>
      <c r="AA6" s="1512">
        <f t="shared" si="14"/>
        <v>33020.416000000005</v>
      </c>
      <c r="AB6" s="1183">
        <f t="shared" si="14"/>
        <v>35704.980000000003</v>
      </c>
      <c r="AC6" s="1183">
        <f t="shared" si="14"/>
        <v>34679.644999999997</v>
      </c>
      <c r="AD6" s="1183">
        <f t="shared" si="14"/>
        <v>41700.480000000003</v>
      </c>
      <c r="AE6" s="1183">
        <f t="shared" si="14"/>
        <v>35020.514999999999</v>
      </c>
      <c r="AF6" s="1512">
        <f t="shared" si="14"/>
        <v>35020.514999999999</v>
      </c>
      <c r="AG6" s="1183">
        <f t="shared" si="14"/>
        <v>42208.695</v>
      </c>
      <c r="AH6" s="1183">
        <f t="shared" si="14"/>
        <v>46950.882000000005</v>
      </c>
      <c r="AI6" s="1183">
        <f t="shared" si="15" ref="AI6:BJ6">INDEX(SP_CS_StockPrice,0,COLUMN())*INDEX(SP_CS_ShareCount_EoP_Diluted,0,COLUMN())</f>
        <v>45303.959999999999</v>
      </c>
      <c r="AJ6" s="1183">
        <f t="shared" si="15"/>
        <v>42480.767999999996</v>
      </c>
      <c r="AK6" s="1512">
        <f t="shared" si="15"/>
        <v>42480.767999999996</v>
      </c>
      <c r="AL6" s="1183">
        <f t="shared" si="15"/>
        <v>44755.749999999993</v>
      </c>
      <c r="AM6" s="1183">
        <f t="shared" si="15"/>
        <v>46083.520000000011</v>
      </c>
      <c r="AN6" s="1183">
        <f t="shared" si="15"/>
        <v>55492.010000000046</v>
      </c>
      <c r="AO6" s="1183">
        <f t="shared" si="15"/>
        <v>57267.338999999993</v>
      </c>
      <c r="AP6" s="1512">
        <f t="shared" si="15"/>
        <v>57267.338999999993</v>
      </c>
      <c r="AQ6" s="1183">
        <f t="shared" si="15"/>
        <v>56106.959999999999</v>
      </c>
      <c r="AR6" s="1183">
        <f t="shared" si="15"/>
        <v>57813.811999999991</v>
      </c>
      <c r="AS6" s="1183">
        <f t="shared" si="15"/>
        <v>53535.635999999999</v>
      </c>
      <c r="AT6" s="1183">
        <f t="shared" si="15"/>
        <v>60490.350000000013</v>
      </c>
      <c r="AU6" s="1512">
        <f t="shared" si="15"/>
        <v>60490.350000000013</v>
      </c>
      <c r="AV6" s="1183">
        <f t="shared" si="15"/>
        <v>68755.356000000014</v>
      </c>
      <c r="AW6" s="1183">
        <f t="shared" si="15"/>
        <v>66683.952000000005</v>
      </c>
      <c r="AX6" s="1183">
        <f t="shared" si="15"/>
        <v>69577.803</v>
      </c>
      <c r="AY6" s="1183">
        <f t="shared" si="15"/>
        <v>76204.625</v>
      </c>
      <c r="AZ6" s="1512">
        <f t="shared" si="15"/>
        <v>76204.625</v>
      </c>
      <c r="BA6" s="1183">
        <f t="shared" si="15"/>
        <v>84476.625</v>
      </c>
      <c r="BB6" s="1183">
        <f t="shared" si="15"/>
        <v>77614.625000000015</v>
      </c>
      <c r="BC6" s="1183">
        <f t="shared" si="15"/>
        <v>81866.610000000015</v>
      </c>
      <c r="BD6" s="1183">
        <f t="shared" si="15"/>
        <v>93624.784000000029</v>
      </c>
      <c r="BE6" s="1512">
        <f t="shared" si="15"/>
        <v>93624.784000000029</v>
      </c>
      <c r="BF6" s="1183">
        <f t="shared" si="15"/>
        <v>121527.432</v>
      </c>
      <c r="BG6" s="1183">
        <f t="shared" si="15"/>
        <v>122071.16700000002</v>
      </c>
      <c r="BH6" s="1184">
        <f t="shared" si="15"/>
        <v>147596.57999999999</v>
      </c>
      <c r="BI6" s="1183">
        <f t="shared" ca="1" si="15"/>
        <v>151597.71749999997</v>
      </c>
      <c r="BJ6" s="1512">
        <f t="shared" ca="1" si="15"/>
        <v>151597.71749999997</v>
      </c>
      <c r="BK6" s="1183">
        <f ca="1" t="shared" si="16" ref="BK6:BR6">INDEX(SP_CS_StockPrice,0,COLUMN())*INDEX(SP_CS_ShareCount_EoP_Diluted,0,COLUMN())</f>
        <v>151597.71749999997</v>
      </c>
      <c r="BL6" s="1183">
        <f t="shared" ca="1" si="16"/>
        <v>151597.71749999997</v>
      </c>
      <c r="BM6" s="1183">
        <f t="shared" ca="1" si="16"/>
        <v>151597.71749999997</v>
      </c>
      <c r="BN6" s="1183">
        <f t="shared" ca="1" si="16"/>
        <v>151597.71749999997</v>
      </c>
      <c r="BO6" s="1512">
        <f t="shared" ca="1" si="16"/>
        <v>151597.71749999997</v>
      </c>
      <c r="BP6" s="1512">
        <f t="shared" ca="1" si="16"/>
        <v>151597.71749999997</v>
      </c>
      <c r="BQ6" s="1512">
        <f t="shared" ca="1" si="16"/>
        <v>151597.71749999997</v>
      </c>
      <c r="BR6" s="1512">
        <f t="shared" ca="1" si="16"/>
        <v>151597.71749999997</v>
      </c>
      <c r="BS6" s="1016"/>
    </row>
    <row r="7" spans="1:71" s="705" customFormat="1" ht="15">
      <c r="A7" s="126"/>
      <c r="B7" s="127"/>
      <c r="C7" s="1513"/>
      <c r="D7" s="1513"/>
      <c r="E7" s="1513"/>
      <c r="F7" s="1513"/>
      <c r="G7" s="1513"/>
      <c r="H7" s="231"/>
      <c r="I7" s="231"/>
      <c r="J7" s="231"/>
      <c r="K7" s="231"/>
      <c r="L7" s="1513"/>
      <c r="M7" s="231"/>
      <c r="N7" s="231"/>
      <c r="O7" s="231"/>
      <c r="P7" s="231"/>
      <c r="Q7" s="1513"/>
      <c r="R7" s="231"/>
      <c r="S7" s="231"/>
      <c r="T7" s="231"/>
      <c r="U7" s="231"/>
      <c r="V7" s="1513"/>
      <c r="W7" s="231"/>
      <c r="X7" s="231"/>
      <c r="Y7" s="231"/>
      <c r="Z7" s="231"/>
      <c r="AA7" s="1513"/>
      <c r="AB7" s="231"/>
      <c r="AC7" s="231"/>
      <c r="AD7" s="231"/>
      <c r="AE7" s="231"/>
      <c r="AF7" s="1513"/>
      <c r="AG7" s="231"/>
      <c r="AH7" s="231"/>
      <c r="AI7" s="231"/>
      <c r="AJ7" s="231"/>
      <c r="AK7" s="1513"/>
      <c r="AL7" s="231"/>
      <c r="AM7" s="231"/>
      <c r="AN7" s="231"/>
      <c r="AO7" s="231"/>
      <c r="AP7" s="1513"/>
      <c r="AQ7" s="231"/>
      <c r="AR7" s="231"/>
      <c r="AS7" s="231"/>
      <c r="AT7" s="231"/>
      <c r="AU7" s="1513"/>
      <c r="AV7" s="231"/>
      <c r="AW7" s="231"/>
      <c r="AX7" s="231"/>
      <c r="AY7" s="231"/>
      <c r="AZ7" s="1513"/>
      <c r="BA7" s="231"/>
      <c r="BB7" s="231"/>
      <c r="BC7" s="231"/>
      <c r="BD7" s="231"/>
      <c r="BE7" s="1513"/>
      <c r="BF7" s="231"/>
      <c r="BG7" s="231"/>
      <c r="BH7" s="903"/>
      <c r="BI7" s="81"/>
      <c r="BJ7" s="1514"/>
      <c r="BK7" s="81"/>
      <c r="BL7" s="81"/>
      <c r="BM7" s="81"/>
      <c r="BN7" s="81"/>
      <c r="BO7" s="1514"/>
      <c r="BP7" s="1513"/>
      <c r="BQ7" s="1513"/>
      <c r="BR7" s="1514"/>
      <c r="BS7" s="81"/>
    </row>
    <row r="8" spans="1:71" ht="15">
      <c r="A8" s="74" t="s">
        <v>281</v>
      </c>
      <c r="B8" s="1012"/>
      <c r="C8" s="1185"/>
      <c r="D8" s="1185"/>
      <c r="E8" s="1185"/>
      <c r="F8" s="1185"/>
      <c r="G8" s="1185"/>
      <c r="H8" s="1185"/>
      <c r="I8" s="1185"/>
      <c r="J8" s="1185"/>
      <c r="K8" s="1185"/>
      <c r="L8" s="1185"/>
      <c r="M8" s="1185"/>
      <c r="N8" s="1185"/>
      <c r="O8" s="1185"/>
      <c r="P8" s="1185"/>
      <c r="Q8" s="1185"/>
      <c r="R8" s="1185"/>
      <c r="S8" s="1185"/>
      <c r="T8" s="1185"/>
      <c r="U8" s="1185"/>
      <c r="V8" s="1185"/>
      <c r="W8" s="1185"/>
      <c r="X8" s="1185"/>
      <c r="Y8" s="1185"/>
      <c r="Z8" s="1185"/>
      <c r="AA8" s="1185"/>
      <c r="AB8" s="1185"/>
      <c r="AC8" s="1185"/>
      <c r="AD8" s="1185"/>
      <c r="AE8" s="1185"/>
      <c r="AF8" s="1185"/>
      <c r="AG8" s="1185"/>
      <c r="AH8" s="1185"/>
      <c r="AI8" s="1185"/>
      <c r="AJ8" s="1185"/>
      <c r="AK8" s="1185"/>
      <c r="AL8" s="1185"/>
      <c r="AM8" s="1185"/>
      <c r="AN8" s="1185"/>
      <c r="AO8" s="1185"/>
      <c r="AP8" s="1185"/>
      <c r="AQ8" s="1185"/>
      <c r="AR8" s="1185"/>
      <c r="AS8" s="1185"/>
      <c r="AT8" s="1185"/>
      <c r="AU8" s="1185"/>
      <c r="AV8" s="1185"/>
      <c r="AW8" s="1185"/>
      <c r="AX8" s="1185"/>
      <c r="AY8" s="1185"/>
      <c r="AZ8" s="1185"/>
      <c r="BA8" s="1185"/>
      <c r="BB8" s="1185"/>
      <c r="BC8" s="1185"/>
      <c r="BD8" s="1185"/>
      <c r="BE8" s="1185"/>
      <c r="BF8" s="1185"/>
      <c r="BG8" s="1185"/>
      <c r="BH8" s="1186"/>
      <c r="BI8" s="1187"/>
      <c r="BJ8" s="1187"/>
      <c r="BK8" s="1187"/>
      <c r="BL8" s="1187"/>
      <c r="BM8" s="1187"/>
      <c r="BN8" s="1187"/>
      <c r="BO8" s="1187"/>
      <c r="BP8" s="1185"/>
      <c r="BQ8" s="1185"/>
      <c r="BR8" s="1187"/>
      <c r="BS8" s="1016"/>
    </row>
    <row r="9" spans="1:71" s="706" customFormat="1" ht="15">
      <c r="A9" s="130" t="str">
        <f>Model!A230</f>
        <v>Agency Auto - Net Earned Premiums, mm</v>
      </c>
      <c r="B9" s="123"/>
      <c r="C9" s="1515">
        <f>Model!C230</f>
        <v>7414.80</v>
      </c>
      <c r="D9" s="1515">
        <f>Model!D230</f>
        <v>7419.70</v>
      </c>
      <c r="E9" s="1515">
        <f>Model!E230</f>
        <v>7627.40</v>
      </c>
      <c r="F9" s="1515">
        <f>Model!F230</f>
        <v>8103.90</v>
      </c>
      <c r="G9" s="1515">
        <f>Model!G230</f>
        <v>8601.50</v>
      </c>
      <c r="H9" s="1189">
        <f>Model!H230</f>
        <v>2203.1999999999998</v>
      </c>
      <c r="I9" s="1189">
        <f>Model!I230</f>
        <v>2242.3000000000002</v>
      </c>
      <c r="J9" s="1189">
        <f>Model!J230</f>
        <v>2235.1999999999998</v>
      </c>
      <c r="K9" s="1189">
        <f>Model!K230</f>
        <v>2406.3000000000002</v>
      </c>
      <c r="L9" s="1515">
        <f>Model!L230</f>
        <v>9087</v>
      </c>
      <c r="M9" s="1189">
        <f>Model!M230</f>
        <v>2244.50</v>
      </c>
      <c r="N9" s="1189">
        <f>Model!N230</f>
        <v>2276.40</v>
      </c>
      <c r="O9" s="1189">
        <f>Model!O230</f>
        <v>2284.60</v>
      </c>
      <c r="P9" s="1189">
        <f>Model!P230</f>
        <v>2303.1000000000004</v>
      </c>
      <c r="Q9" s="1515">
        <f>Model!Q230</f>
        <v>9108.60</v>
      </c>
      <c r="R9" s="1189">
        <f>Model!R230</f>
        <v>2347.90</v>
      </c>
      <c r="S9" s="1189">
        <f>Model!S230</f>
        <v>2423.3000000000002</v>
      </c>
      <c r="T9" s="1189">
        <f>Model!T230</f>
        <v>2474.3000000000002</v>
      </c>
      <c r="U9" s="1189">
        <f>Model!U230</f>
        <v>2546.1999999999998</v>
      </c>
      <c r="V9" s="1515">
        <f>Model!V230</f>
        <v>9791.7000000000007</v>
      </c>
      <c r="W9" s="1189">
        <f>Model!W230</f>
        <v>2631.50</v>
      </c>
      <c r="X9" s="1189">
        <f>Model!X230</f>
        <v>2752.50</v>
      </c>
      <c r="Y9" s="1189">
        <f>Model!Y230</f>
        <v>2840</v>
      </c>
      <c r="Z9" s="1189">
        <f>Model!Z230</f>
        <v>2953.6000000000004</v>
      </c>
      <c r="AA9" s="1515">
        <f>Model!AA230</f>
        <v>11177.60</v>
      </c>
      <c r="AB9" s="1189">
        <f>Model!AB230</f>
        <v>3063.80</v>
      </c>
      <c r="AC9" s="1189">
        <f>Model!AC230</f>
        <v>3225.70</v>
      </c>
      <c r="AD9" s="1189">
        <f>Model!AD230</f>
        <v>3318.20</v>
      </c>
      <c r="AE9" s="1189">
        <f>Model!AE230</f>
        <v>3409.50</v>
      </c>
      <c r="AF9" s="1515">
        <f>Model!AF230</f>
        <v>13017.20</v>
      </c>
      <c r="AG9" s="1189">
        <f>Model!AG230</f>
        <v>3508.50</v>
      </c>
      <c r="AH9" s="1189">
        <f>Model!AH230</f>
        <v>3639.60</v>
      </c>
      <c r="AI9" s="1189">
        <f>Model!AI230</f>
        <v>3703.40</v>
      </c>
      <c r="AJ9" s="1189">
        <f>Model!AJ230</f>
        <v>4052.6000000000004</v>
      </c>
      <c r="AK9" s="1515">
        <f>Model!AK230</f>
        <v>14904.10</v>
      </c>
      <c r="AL9" s="1189">
        <f>Model!AL230</f>
        <v>3828.70</v>
      </c>
      <c r="AM9" s="1189">
        <f>Model!AM230</f>
        <v>3919</v>
      </c>
      <c r="AN9" s="1189">
        <f>Model!AN230</f>
        <v>4001.60</v>
      </c>
      <c r="AO9" s="1189">
        <f>Model!AO230</f>
        <v>4040.2000000000007</v>
      </c>
      <c r="AP9" s="1515">
        <f>Model!AP230</f>
        <v>15789.50</v>
      </c>
      <c r="AQ9" s="1189">
        <f>Model!AQ230</f>
        <v>4098.20</v>
      </c>
      <c r="AR9" s="1189">
        <f>Model!AR230</f>
        <v>4220.30</v>
      </c>
      <c r="AS9" s="1189">
        <f>Model!AS230</f>
        <v>4267.8999999999996</v>
      </c>
      <c r="AT9" s="1189">
        <f>Model!AT230</f>
        <v>4294.6000000000004</v>
      </c>
      <c r="AU9" s="1515">
        <f>Model!AU230</f>
        <v>16881</v>
      </c>
      <c r="AV9" s="1189">
        <f>Model!AV230</f>
        <v>4323.30</v>
      </c>
      <c r="AW9" s="1189">
        <f>Model!AW230</f>
        <v>4366.4999999999991</v>
      </c>
      <c r="AX9" s="1189">
        <f>Model!AX230</f>
        <v>4441.8999999999996</v>
      </c>
      <c r="AY9" s="1189">
        <f>Model!AY230</f>
        <v>4613.0000000000018</v>
      </c>
      <c r="AZ9" s="1515">
        <f>Model!AZ230</f>
        <v>17744.700000000001</v>
      </c>
      <c r="BA9" s="1189">
        <f>Model!BA230</f>
        <v>4860.20</v>
      </c>
      <c r="BB9" s="1189">
        <f>Model!BB230</f>
        <v>5207.20</v>
      </c>
      <c r="BC9" s="1189">
        <f>Model!BC230</f>
        <v>5414</v>
      </c>
      <c r="BD9" s="1189">
        <f>Model!BD230</f>
        <v>5716.8000000000011</v>
      </c>
      <c r="BE9" s="1515">
        <f>Model!BE230</f>
        <v>21198.200000000001</v>
      </c>
      <c r="BF9" s="1189">
        <f>Model!BF230</f>
        <v>5857.70</v>
      </c>
      <c r="BG9" s="1189">
        <f>Model!BG230</f>
        <v>6213.40</v>
      </c>
      <c r="BH9" s="1190">
        <f>Model!BH230</f>
        <v>6627.80</v>
      </c>
      <c r="BI9" s="1191">
        <f>Model!BI230</f>
        <v>6379.0277554226595</v>
      </c>
      <c r="BJ9" s="1516">
        <f>Model!BJ230</f>
        <v>25077.927755422661</v>
      </c>
      <c r="BK9" s="1191">
        <f>Model!BK230</f>
        <v>7205.589311920462</v>
      </c>
      <c r="BL9" s="1191">
        <f>Model!BL230</f>
        <v>6939.9459844490275</v>
      </c>
      <c r="BM9" s="1191">
        <f>Model!BM230</f>
        <v>7160.2260210635586</v>
      </c>
      <c r="BN9" s="1191">
        <f>Model!BN230</f>
        <v>7062.2578743841759</v>
      </c>
      <c r="BO9" s="1516">
        <f>Model!BO230</f>
        <v>28368.019191817224</v>
      </c>
      <c r="BP9" s="1515">
        <f>Model!BP230</f>
        <v>31733.433023170091</v>
      </c>
      <c r="BQ9" s="1515">
        <f>Model!BQ230</f>
        <v>33015.463717306171</v>
      </c>
      <c r="BR9" s="1516">
        <f>Model!BR230</f>
        <v>34349.288451485336</v>
      </c>
      <c r="BS9" s="1015"/>
    </row>
    <row r="10" spans="1:71" s="706" customFormat="1" ht="15">
      <c r="A10" s="363" t="str">
        <f>Model!A231</f>
        <v>Direct Auto - Net Earned Premiums, mm</v>
      </c>
      <c r="B10" s="129"/>
      <c r="C10" s="1511">
        <f>Model!C231</f>
        <v>4951.1000000000004</v>
      </c>
      <c r="D10" s="1511">
        <f>Model!D231</f>
        <v>5407.20</v>
      </c>
      <c r="E10" s="1511">
        <f>Model!E231</f>
        <v>5803.70</v>
      </c>
      <c r="F10" s="1511">
        <f>Model!F231</f>
        <v>6264.20</v>
      </c>
      <c r="G10" s="1511">
        <f>Model!G231</f>
        <v>6740.10</v>
      </c>
      <c r="H10" s="1193">
        <f>Model!H231</f>
        <v>1762.20</v>
      </c>
      <c r="I10" s="1193">
        <f>Model!I231</f>
        <v>1824</v>
      </c>
      <c r="J10" s="1193">
        <f>Model!J231</f>
        <v>1848.90</v>
      </c>
      <c r="K10" s="1193">
        <f>Model!K231</f>
        <v>2038.8999999999996</v>
      </c>
      <c r="L10" s="1511">
        <f>Model!L231</f>
        <v>7474</v>
      </c>
      <c r="M10" s="1193">
        <f>Model!M231</f>
        <v>1955.40</v>
      </c>
      <c r="N10" s="1193">
        <f>Model!N231</f>
        <v>2031.80</v>
      </c>
      <c r="O10" s="1193">
        <f>Model!O231</f>
        <v>2069.50</v>
      </c>
      <c r="P10" s="1193">
        <f>Model!P231</f>
        <v>2129.1999999999998</v>
      </c>
      <c r="Q10" s="1511">
        <f>Model!Q231</f>
        <v>8185.90</v>
      </c>
      <c r="R10" s="1193">
        <f>Model!R231</f>
        <v>2220.6999999999998</v>
      </c>
      <c r="S10" s="1193">
        <f>Model!S231</f>
        <v>2334.8000000000002</v>
      </c>
      <c r="T10" s="1193">
        <f>Model!T231</f>
        <v>2391.1999999999998</v>
      </c>
      <c r="U10" s="1193">
        <f>Model!U231</f>
        <v>2449.8000000000002</v>
      </c>
      <c r="V10" s="1511">
        <f>Model!V231</f>
        <v>9396.50</v>
      </c>
      <c r="W10" s="1193">
        <f>Model!W231</f>
        <v>2523.6999999999998</v>
      </c>
      <c r="X10" s="1193">
        <f>Model!X231</f>
        <v>2650</v>
      </c>
      <c r="Y10" s="1193">
        <f>Model!Y231</f>
        <v>2734.80</v>
      </c>
      <c r="Z10" s="1193">
        <f>Model!Z231</f>
        <v>2861.1000000000004</v>
      </c>
      <c r="AA10" s="1511">
        <f>Model!AA231</f>
        <v>10769.60</v>
      </c>
      <c r="AB10" s="1193">
        <f>Model!AB231</f>
        <v>3016.30</v>
      </c>
      <c r="AC10" s="1193">
        <f>Model!AC231</f>
        <v>3211.80</v>
      </c>
      <c r="AD10" s="1193">
        <f>Model!AD231</f>
        <v>3337.20</v>
      </c>
      <c r="AE10" s="1193">
        <f>Model!AE231</f>
        <v>3452.2000000000007</v>
      </c>
      <c r="AF10" s="1511">
        <f>Model!AF231</f>
        <v>13017.50</v>
      </c>
      <c r="AG10" s="1193">
        <f>Model!AG231</f>
        <v>3576.30</v>
      </c>
      <c r="AH10" s="1193">
        <f>Model!AH231</f>
        <v>3733.40</v>
      </c>
      <c r="AI10" s="1193">
        <f>Model!AI231</f>
        <v>3804</v>
      </c>
      <c r="AJ10" s="1193">
        <f>Model!AJ231</f>
        <v>4192.1999999999989</v>
      </c>
      <c r="AK10" s="1511">
        <f>Model!AK231</f>
        <v>15305.90</v>
      </c>
      <c r="AL10" s="1193">
        <f>Model!AL231</f>
        <v>3992.40</v>
      </c>
      <c r="AM10" s="1193">
        <f>Model!AM231</f>
        <v>4167.8999999999996</v>
      </c>
      <c r="AN10" s="1193">
        <f>Model!AN231</f>
        <v>4309.80</v>
      </c>
      <c r="AO10" s="1193">
        <f>Model!AO231</f>
        <v>4360.50</v>
      </c>
      <c r="AP10" s="1511">
        <f>Model!AP231</f>
        <v>16830.60</v>
      </c>
      <c r="AQ10" s="1193">
        <f>Model!AQ231</f>
        <v>4431.70</v>
      </c>
      <c r="AR10" s="1193">
        <f>Model!AR231</f>
        <v>4633.9000000000005</v>
      </c>
      <c r="AS10" s="1193">
        <f>Model!AS231</f>
        <v>4690.20</v>
      </c>
      <c r="AT10" s="1193">
        <f>Model!AT231</f>
        <v>4736.50</v>
      </c>
      <c r="AU10" s="1511">
        <f>Model!AU231</f>
        <v>18492.299999999999</v>
      </c>
      <c r="AV10" s="1193">
        <f>Model!AV231</f>
        <v>4793.6000000000004</v>
      </c>
      <c r="AW10" s="1193">
        <f>Model!AW231</f>
        <v>4905.8999999999996</v>
      </c>
      <c r="AX10" s="1193">
        <f>Model!AX231</f>
        <v>5077.3999999999996</v>
      </c>
      <c r="AY10" s="1193">
        <f>Model!AY231</f>
        <v>5358.60</v>
      </c>
      <c r="AZ10" s="1511">
        <f>Model!AZ231</f>
        <v>20135.50</v>
      </c>
      <c r="BA10" s="1193">
        <f>Model!BA231</f>
        <v>5717.40</v>
      </c>
      <c r="BB10" s="1193">
        <f>Model!BB231</f>
        <v>6180.70</v>
      </c>
      <c r="BC10" s="1193">
        <f>Model!BC231</f>
        <v>6361.80</v>
      </c>
      <c r="BD10" s="1193">
        <f>Model!BD231</f>
        <v>6755.2000000000007</v>
      </c>
      <c r="BE10" s="1511">
        <f>Model!BE231</f>
        <v>25015.099999999999</v>
      </c>
      <c r="BF10" s="1193">
        <f>Model!BF231</f>
        <v>7020.50</v>
      </c>
      <c r="BG10" s="1193">
        <f>Model!BG231</f>
        <v>7595.50</v>
      </c>
      <c r="BH10" s="1194">
        <f>Model!BH231</f>
        <v>8180.2000000000007</v>
      </c>
      <c r="BI10" s="1193">
        <f>Model!BI231</f>
        <v>8287.9463913203945</v>
      </c>
      <c r="BJ10" s="1511">
        <f>Model!BJ231</f>
        <v>31084.146391320395</v>
      </c>
      <c r="BK10" s="1193">
        <f>Model!BK231</f>
        <v>10116.08030627269</v>
      </c>
      <c r="BL10" s="1193">
        <f>Model!BL231</f>
        <v>9591.0974475715866</v>
      </c>
      <c r="BM10" s="1193">
        <f>Model!BM231</f>
        <v>10864.201885800785</v>
      </c>
      <c r="BN10" s="1193">
        <f>Model!BN231</f>
        <v>9445.5040882564772</v>
      </c>
      <c r="BO10" s="1511">
        <f>Model!BO231</f>
        <v>40016.883727901542</v>
      </c>
      <c r="BP10" s="1511">
        <f>Model!BP231</f>
        <v>41188.987697438766</v>
      </c>
      <c r="BQ10" s="1511">
        <f>Model!BQ231</f>
        <v>42853.022800415303</v>
      </c>
      <c r="BR10" s="1511">
        <f>Model!BR231</f>
        <v>44584.284921552069</v>
      </c>
      <c r="BS10" s="1015"/>
    </row>
    <row r="11" spans="1:71" s="706" customFormat="1" ht="15">
      <c r="A11" s="122" t="str">
        <f>Model!A232</f>
        <v>Total Personal Lines - Net Earned Premiums, mm</v>
      </c>
      <c r="B11" s="123"/>
      <c r="C11" s="1515">
        <f>Model!C232</f>
        <v>12365.900000000001</v>
      </c>
      <c r="D11" s="1515">
        <f>Model!D232</f>
        <v>12826.90</v>
      </c>
      <c r="E11" s="1515">
        <f>Model!E232</f>
        <v>13431.099999999999</v>
      </c>
      <c r="F11" s="1515">
        <f>Model!F232</f>
        <v>14368.099999999999</v>
      </c>
      <c r="G11" s="1515">
        <f>Model!G232</f>
        <v>15341.60</v>
      </c>
      <c r="H11" s="1189">
        <f>Model!H232</f>
        <v>3965.3999999999996</v>
      </c>
      <c r="I11" s="1189">
        <f>Model!I232</f>
        <v>4066.30</v>
      </c>
      <c r="J11" s="1189">
        <f>Model!J232</f>
        <v>4084.10</v>
      </c>
      <c r="K11" s="1189">
        <f>Model!K232</f>
        <v>4445.20</v>
      </c>
      <c r="L11" s="1515">
        <f>Model!L232</f>
        <v>16561</v>
      </c>
      <c r="M11" s="1189">
        <f>Model!M232</f>
        <v>4199.8999999999996</v>
      </c>
      <c r="N11" s="1189">
        <f>Model!N232</f>
        <v>4308.20</v>
      </c>
      <c r="O11" s="1189">
        <f>Model!O232</f>
        <v>4354.1000000000004</v>
      </c>
      <c r="P11" s="1189">
        <f>Model!P232</f>
        <v>4432.30</v>
      </c>
      <c r="Q11" s="1515">
        <f>Model!Q232</f>
        <v>17294.50</v>
      </c>
      <c r="R11" s="1189">
        <f>Model!R232</f>
        <v>4568.6000000000004</v>
      </c>
      <c r="S11" s="1189">
        <f>Model!S232</f>
        <v>4758.1000000000004</v>
      </c>
      <c r="T11" s="1189">
        <f>Model!T232</f>
        <v>4865.50</v>
      </c>
      <c r="U11" s="1189">
        <f>Model!U232</f>
        <v>4996</v>
      </c>
      <c r="V11" s="1515">
        <f>Model!V232</f>
        <v>19188.20</v>
      </c>
      <c r="W11" s="1189">
        <f>Model!W232</f>
        <v>5155.20</v>
      </c>
      <c r="X11" s="1189">
        <f>Model!X232</f>
        <v>5402.50</v>
      </c>
      <c r="Y11" s="1189">
        <f>Model!Y232</f>
        <v>5574.80</v>
      </c>
      <c r="Z11" s="1189">
        <f>Model!Z232</f>
        <v>5814.7000000000007</v>
      </c>
      <c r="AA11" s="1515">
        <f>Model!AA232</f>
        <v>21947.20</v>
      </c>
      <c r="AB11" s="1189">
        <f>Model!AB232</f>
        <v>6080.10</v>
      </c>
      <c r="AC11" s="1189">
        <f>Model!AC232</f>
        <v>6437.50</v>
      </c>
      <c r="AD11" s="1189">
        <f>Model!AD232</f>
        <v>6655.40</v>
      </c>
      <c r="AE11" s="1189">
        <f>Model!AE232</f>
        <v>6861.7000000000007</v>
      </c>
      <c r="AF11" s="1515">
        <f>Model!AF232</f>
        <v>26034.700000000001</v>
      </c>
      <c r="AG11" s="1189">
        <f>Model!AG232</f>
        <v>7084.80</v>
      </c>
      <c r="AH11" s="1189">
        <f>Model!AH232</f>
        <v>7373</v>
      </c>
      <c r="AI11" s="1189">
        <f>Model!AI232</f>
        <v>7507.40</v>
      </c>
      <c r="AJ11" s="1189">
        <f>Model!AJ232</f>
        <v>8244.7999999999993</v>
      </c>
      <c r="AK11" s="1515">
        <f>Model!AK232</f>
        <v>30210</v>
      </c>
      <c r="AL11" s="1189">
        <f>Model!AL232</f>
        <v>7821.10</v>
      </c>
      <c r="AM11" s="1189">
        <f>Model!AM232</f>
        <v>8086.90</v>
      </c>
      <c r="AN11" s="1189">
        <f>Model!AN232</f>
        <v>8311.40</v>
      </c>
      <c r="AO11" s="1189">
        <f>Model!AO232</f>
        <v>8400.7000000000007</v>
      </c>
      <c r="AP11" s="1515">
        <f>Model!AP232</f>
        <v>32620.099999999999</v>
      </c>
      <c r="AQ11" s="1189">
        <f>Model!AQ232</f>
        <v>8529.90</v>
      </c>
      <c r="AR11" s="1189">
        <f>Model!AR232</f>
        <v>8854.2000000000007</v>
      </c>
      <c r="AS11" s="1189">
        <f>Model!AS232</f>
        <v>8958.0999999999985</v>
      </c>
      <c r="AT11" s="1189">
        <f>Model!AT232</f>
        <v>9031.10</v>
      </c>
      <c r="AU11" s="1515">
        <f>Model!AU232</f>
        <v>35373.300000000003</v>
      </c>
      <c r="AV11" s="1189">
        <f>Model!AV232</f>
        <v>9116.9000000000015</v>
      </c>
      <c r="AW11" s="1189">
        <f>Model!AW232</f>
        <v>9272.3999999999978</v>
      </c>
      <c r="AX11" s="1189">
        <f>Model!AX232</f>
        <v>9519.2999999999993</v>
      </c>
      <c r="AY11" s="1189">
        <f>Model!AY232</f>
        <v>9971.6000000000022</v>
      </c>
      <c r="AZ11" s="1515">
        <f>Model!AZ232</f>
        <v>37880.199999999997</v>
      </c>
      <c r="BA11" s="1189">
        <f>Model!BA232</f>
        <v>10577.60</v>
      </c>
      <c r="BB11" s="1189">
        <f>Model!BB232</f>
        <v>11387.90</v>
      </c>
      <c r="BC11" s="1189">
        <f>Model!BC232</f>
        <v>11775.80</v>
      </c>
      <c r="BD11" s="1189">
        <f>Model!BD232</f>
        <v>12472.000000000002</v>
      </c>
      <c r="BE11" s="1515">
        <f>Model!BE232</f>
        <v>46213.300000000003</v>
      </c>
      <c r="BF11" s="1189">
        <f>Model!BF232</f>
        <v>12878.20</v>
      </c>
      <c r="BG11" s="1189">
        <f>Model!BG232</f>
        <v>13808.900000000001</v>
      </c>
      <c r="BH11" s="1190">
        <f>Model!BH232</f>
        <v>14808</v>
      </c>
      <c r="BI11" s="1191">
        <f>Model!BI232</f>
        <v>14666.974146743054</v>
      </c>
      <c r="BJ11" s="1516">
        <f>Model!BJ232</f>
        <v>56162.074146743056</v>
      </c>
      <c r="BK11" s="1191">
        <f>Model!BK232</f>
        <v>17321.669618193151</v>
      </c>
      <c r="BL11" s="1191">
        <f>Model!BL232</f>
        <v>16531.043432020615</v>
      </c>
      <c r="BM11" s="1191">
        <f>Model!BM232</f>
        <v>18024.427906864345</v>
      </c>
      <c r="BN11" s="1191">
        <f>Model!BN232</f>
        <v>16507.761962640652</v>
      </c>
      <c r="BO11" s="1516">
        <f>Model!BO232</f>
        <v>68384.902919718763</v>
      </c>
      <c r="BP11" s="1515">
        <f>Model!BP232</f>
        <v>72922.420720608861</v>
      </c>
      <c r="BQ11" s="1515">
        <f>Model!BQ232</f>
        <v>75868.486517721467</v>
      </c>
      <c r="BR11" s="1516">
        <f>Model!BR232</f>
        <v>78933.573373037405</v>
      </c>
      <c r="BS11" s="1015"/>
    </row>
    <row r="12" spans="1:71" s="706" customFormat="1" ht="15">
      <c r="A12" s="122" t="str">
        <f>Model!A233</f>
        <v>Commercial Lines - Net Earned Premiums, mm</v>
      </c>
      <c r="B12" s="123"/>
      <c r="C12" s="1515">
        <f>Model!C233</f>
        <v>1623.30</v>
      </c>
      <c r="D12" s="1515">
        <f>Model!D233</f>
        <v>1474.20</v>
      </c>
      <c r="E12" s="1515">
        <f>Model!E233</f>
        <v>1467.10</v>
      </c>
      <c r="F12" s="1515">
        <f>Model!F233</f>
        <v>1649</v>
      </c>
      <c r="G12" s="1515">
        <f>Model!G233</f>
        <v>1761.60</v>
      </c>
      <c r="H12" s="1189">
        <f>Model!H233</f>
        <v>436.90</v>
      </c>
      <c r="I12" s="1189">
        <f>Model!I233</f>
        <v>447.20</v>
      </c>
      <c r="J12" s="1189">
        <f>Model!J233</f>
        <v>456</v>
      </c>
      <c r="K12" s="1189">
        <f>Model!K233</f>
        <v>497.40000000000009</v>
      </c>
      <c r="L12" s="1515">
        <f>Model!L233</f>
        <v>1837.50</v>
      </c>
      <c r="M12" s="1189">
        <f>Model!M233</f>
        <v>466.40</v>
      </c>
      <c r="N12" s="1189">
        <f>Model!N233</f>
        <v>489.30</v>
      </c>
      <c r="O12" s="1189">
        <f>Model!O233</f>
        <v>511.30</v>
      </c>
      <c r="P12" s="1189">
        <f>Model!P233</f>
        <v>528.90000000000009</v>
      </c>
      <c r="Q12" s="1515">
        <f>Model!Q233</f>
        <v>1995.90</v>
      </c>
      <c r="R12" s="1189">
        <f>Model!R233</f>
        <v>548.79999999999995</v>
      </c>
      <c r="S12" s="1189">
        <f>Model!S233</f>
        <v>593.40</v>
      </c>
      <c r="T12" s="1189">
        <f>Model!T233</f>
        <v>630.20000000000005</v>
      </c>
      <c r="U12" s="1189">
        <f>Model!U233</f>
        <v>648.90000000000032</v>
      </c>
      <c r="V12" s="1515">
        <f>Model!V233</f>
        <v>2421.3000000000002</v>
      </c>
      <c r="W12" s="1189">
        <f>Model!W233</f>
        <v>645.50</v>
      </c>
      <c r="X12" s="1189">
        <f>Model!X233</f>
        <v>671.70</v>
      </c>
      <c r="Y12" s="1189">
        <f>Model!Y233</f>
        <v>714</v>
      </c>
      <c r="Z12" s="1189">
        <f>Model!Z233</f>
        <v>762.70</v>
      </c>
      <c r="AA12" s="1515">
        <f>Model!AA233</f>
        <v>2793.90</v>
      </c>
      <c r="AB12" s="1189">
        <f>Model!AB233</f>
        <v>808.60</v>
      </c>
      <c r="AC12" s="1189">
        <f>Model!AC233</f>
        <v>884.30</v>
      </c>
      <c r="AD12" s="1189">
        <f>Model!AD233</f>
        <v>939.60</v>
      </c>
      <c r="AE12" s="1189">
        <f>Model!AE233</f>
        <v>978.40000000000009</v>
      </c>
      <c r="AF12" s="1515">
        <f>Model!AF233</f>
        <v>3610.90</v>
      </c>
      <c r="AG12" s="1189">
        <f>Model!AG233</f>
        <v>1013</v>
      </c>
      <c r="AH12" s="1189">
        <f>Model!AH233</f>
        <v>1070.50</v>
      </c>
      <c r="AI12" s="1189">
        <f>Model!AI233</f>
        <v>1106.9000000000001</v>
      </c>
      <c r="AJ12" s="1189">
        <f>Model!AJ233</f>
        <v>1237.2000000000003</v>
      </c>
      <c r="AK12" s="1515">
        <f>Model!AK233</f>
        <v>4427.6000000000004</v>
      </c>
      <c r="AL12" s="1189">
        <f>Model!AL233</f>
        <v>1189</v>
      </c>
      <c r="AM12" s="1189">
        <f>Model!AM233</f>
        <v>1129</v>
      </c>
      <c r="AN12" s="1189">
        <f>Model!AN233</f>
        <v>1214.80</v>
      </c>
      <c r="AO12" s="1189">
        <f>Model!AO233</f>
        <v>1343</v>
      </c>
      <c r="AP12" s="1515">
        <f>Model!AP233</f>
        <v>4875.80</v>
      </c>
      <c r="AQ12" s="1189">
        <f>Model!AQ233</f>
        <v>1417.80</v>
      </c>
      <c r="AR12" s="1189">
        <f>Model!AR233</f>
        <v>1621.80</v>
      </c>
      <c r="AS12" s="1189">
        <f>Model!AS233</f>
        <v>1877.40</v>
      </c>
      <c r="AT12" s="1189">
        <f>Model!AT233</f>
        <v>2028.1999999999998</v>
      </c>
      <c r="AU12" s="1515">
        <f>Model!AU233</f>
        <v>6945.20</v>
      </c>
      <c r="AV12" s="1189">
        <f>Model!AV233</f>
        <v>2127.1999999999998</v>
      </c>
      <c r="AW12" s="1189">
        <f>Model!AW233</f>
        <v>2304.4000000000005</v>
      </c>
      <c r="AX12" s="1189">
        <f>Model!AX233</f>
        <v>2317.90</v>
      </c>
      <c r="AY12" s="1189">
        <f>Model!AY233</f>
        <v>2338.7999999999993</v>
      </c>
      <c r="AZ12" s="1515">
        <f>Model!AZ233</f>
        <v>9088.2999999999993</v>
      </c>
      <c r="BA12" s="1189">
        <f>Model!BA233</f>
        <v>2356.10</v>
      </c>
      <c r="BB12" s="1189">
        <f>Model!BB233</f>
        <v>2454.10</v>
      </c>
      <c r="BC12" s="1189">
        <f>Model!BC233</f>
        <v>2486.60</v>
      </c>
      <c r="BD12" s="1189">
        <f>Model!BD233</f>
        <v>2601.9000000000015</v>
      </c>
      <c r="BE12" s="1515">
        <f>Model!BE233</f>
        <v>9898.7000000000007</v>
      </c>
      <c r="BF12" s="1189">
        <f>Model!BF233</f>
        <v>2557.40</v>
      </c>
      <c r="BG12" s="1189">
        <f>Model!BG233</f>
        <v>2664.4999999999995</v>
      </c>
      <c r="BH12" s="1190">
        <f>Model!BH233</f>
        <v>2726.7000000000003</v>
      </c>
      <c r="BI12" s="1191">
        <f>Model!BI233</f>
        <v>2133.8951446764158</v>
      </c>
      <c r="BJ12" s="1516">
        <f>Model!BJ233</f>
        <v>10082.495144676417</v>
      </c>
      <c r="BK12" s="1191">
        <f>Model!BK233</f>
        <v>3365.5643998998776</v>
      </c>
      <c r="BL12" s="1191">
        <f>Model!BL233</f>
        <v>2303.3018908047948</v>
      </c>
      <c r="BM12" s="1191">
        <f>Model!BM233</f>
        <v>2198.0005529010268</v>
      </c>
      <c r="BN12" s="1191">
        <f>Model!BN233</f>
        <v>2431.931187930938</v>
      </c>
      <c r="BO12" s="1516">
        <f>Model!BO233</f>
        <v>10298.798031536637</v>
      </c>
      <c r="BP12" s="1515">
        <f>Model!BP233</f>
        <v>11278.304305763473</v>
      </c>
      <c r="BQ12" s="1515">
        <f>Model!BQ233</f>
        <v>11733.947799716316</v>
      </c>
      <c r="BR12" s="1516">
        <f>Model!BR233</f>
        <v>12207.999290824859</v>
      </c>
      <c r="BS12" s="1015"/>
    </row>
    <row r="13" spans="1:71" s="706" customFormat="1" ht="15">
      <c r="A13" s="122" t="str">
        <f>Model!A234</f>
        <v>Property  Business - Net Earned Premiums, mm</v>
      </c>
      <c r="B13" s="123"/>
      <c r="C13" s="1515">
        <f>Model!C234</f>
        <v>0</v>
      </c>
      <c r="D13" s="1515">
        <f>Model!D234</f>
        <v>0</v>
      </c>
      <c r="E13" s="1515">
        <f>Model!E234</f>
        <v>0</v>
      </c>
      <c r="F13" s="1515">
        <f>Model!F234</f>
        <v>0</v>
      </c>
      <c r="G13" s="1515">
        <f>Model!G234</f>
        <v>0</v>
      </c>
      <c r="H13" s="1189">
        <f>Model!H234</f>
        <v>0</v>
      </c>
      <c r="I13" s="1189">
        <f>Model!I234</f>
        <v>0</v>
      </c>
      <c r="J13" s="1189">
        <f>Model!J234</f>
        <v>0</v>
      </c>
      <c r="K13" s="1189">
        <f>Model!K234</f>
        <v>0</v>
      </c>
      <c r="L13" s="1515">
        <f>Model!L234</f>
        <v>0</v>
      </c>
      <c r="M13" s="1189">
        <f>Model!M234</f>
        <v>0</v>
      </c>
      <c r="N13" s="1189">
        <f>Model!N234</f>
        <v>198.70</v>
      </c>
      <c r="O13" s="1189">
        <f>Model!O234</f>
        <v>205.20</v>
      </c>
      <c r="P13" s="1189">
        <f>Model!P234</f>
        <v>205.20000000000005</v>
      </c>
      <c r="Q13" s="1515">
        <f>Model!Q234</f>
        <v>609.10</v>
      </c>
      <c r="R13" s="1189">
        <f>Model!R234</f>
        <v>200</v>
      </c>
      <c r="S13" s="1189">
        <f>Model!S234</f>
        <v>210.30</v>
      </c>
      <c r="T13" s="1189">
        <f>Model!T234</f>
        <v>227.70</v>
      </c>
      <c r="U13" s="1189">
        <f>Model!U234</f>
        <v>226.50</v>
      </c>
      <c r="V13" s="1515">
        <f>Model!V234</f>
        <v>864.50</v>
      </c>
      <c r="W13" s="1189">
        <f>Model!W234</f>
        <v>226</v>
      </c>
      <c r="X13" s="1189">
        <f>Model!X234</f>
        <v>239.10</v>
      </c>
      <c r="Y13" s="1189">
        <f>Model!Y234</f>
        <v>255.20</v>
      </c>
      <c r="Z13" s="1189">
        <f>Model!Z234</f>
        <v>268.50</v>
      </c>
      <c r="AA13" s="1515">
        <f>Model!AA234</f>
        <v>988.80</v>
      </c>
      <c r="AB13" s="1189">
        <f>Model!AB234</f>
        <v>285.30</v>
      </c>
      <c r="AC13" s="1189">
        <f>Model!AC234</f>
        <v>312.39999999999998</v>
      </c>
      <c r="AD13" s="1189">
        <f>Model!AD234</f>
        <v>335.50</v>
      </c>
      <c r="AE13" s="1189">
        <f>Model!AE234</f>
        <v>354.50</v>
      </c>
      <c r="AF13" s="1515">
        <f>Model!AF234</f>
        <v>1287.70</v>
      </c>
      <c r="AG13" s="1189">
        <f>Model!AG234</f>
        <v>362</v>
      </c>
      <c r="AH13" s="1189">
        <f>Model!AH234</f>
        <v>381.20</v>
      </c>
      <c r="AI13" s="1189">
        <f>Model!AI234</f>
        <v>397.90</v>
      </c>
      <c r="AJ13" s="1189">
        <f>Model!AJ234</f>
        <v>413.70000000000005</v>
      </c>
      <c r="AK13" s="1515">
        <f>Model!AK234</f>
        <v>1554.80</v>
      </c>
      <c r="AL13" s="1189">
        <f>Model!AL234</f>
        <v>420.60</v>
      </c>
      <c r="AM13" s="1189">
        <f>Model!AM234</f>
        <v>432.69999999999993</v>
      </c>
      <c r="AN13" s="1189">
        <f>Model!AN234</f>
        <v>447.29999999999995</v>
      </c>
      <c r="AO13" s="1189">
        <f>Model!AO234</f>
        <v>465.10000000000014</v>
      </c>
      <c r="AP13" s="1515">
        <f>Model!AP234</f>
        <v>1765.70</v>
      </c>
      <c r="AQ13" s="1189">
        <f>Model!AQ234</f>
        <v>472.50</v>
      </c>
      <c r="AR13" s="1189">
        <f>Model!AR234</f>
        <v>502.29999999999995</v>
      </c>
      <c r="AS13" s="1189">
        <f>Model!AS234</f>
        <v>526.50</v>
      </c>
      <c r="AT13" s="1189">
        <f>Model!AT234</f>
        <v>541.20000000000005</v>
      </c>
      <c r="AU13" s="1515">
        <f>Model!AU234</f>
        <v>2042.50</v>
      </c>
      <c r="AV13" s="1189">
        <f>Model!AV234</f>
        <v>558.10</v>
      </c>
      <c r="AW13" s="1189">
        <f>Model!AW234</f>
        <v>570.49999999999989</v>
      </c>
      <c r="AX13" s="1189">
        <f>Model!AX234</f>
        <v>561</v>
      </c>
      <c r="AY13" s="1189">
        <f>Model!AY234</f>
        <v>580.40000000000009</v>
      </c>
      <c r="AZ13" s="1515">
        <f>Model!AZ234</f>
        <v>2270</v>
      </c>
      <c r="BA13" s="1189">
        <f>Model!BA234</f>
        <v>598.70000000000005</v>
      </c>
      <c r="BB13" s="1189">
        <f>Model!BB234</f>
        <v>622.29999999999995</v>
      </c>
      <c r="BC13" s="1189">
        <f>Model!BC234</f>
        <v>631.79999999999995</v>
      </c>
      <c r="BD13" s="1189">
        <f>Model!BD234</f>
        <v>698.60000000000014</v>
      </c>
      <c r="BE13" s="1515">
        <f>Model!BE234</f>
        <v>2551.40</v>
      </c>
      <c r="BF13" s="1189">
        <f>Model!BF234</f>
        <v>712.80</v>
      </c>
      <c r="BG13" s="1189">
        <f>Model!BG234</f>
        <v>735.90000000000009</v>
      </c>
      <c r="BH13" s="1190">
        <f>Model!BH234</f>
        <v>761.80</v>
      </c>
      <c r="BI13" s="1191">
        <f>Model!BI234</f>
        <v>758.43226173075811</v>
      </c>
      <c r="BJ13" s="1516">
        <f>Model!BJ234</f>
        <v>2968.932261730758</v>
      </c>
      <c r="BK13" s="1191">
        <f>Model!BK234</f>
        <v>754.81011624121584</v>
      </c>
      <c r="BL13" s="1191">
        <f>Model!BL234</f>
        <v>849.2754923489581</v>
      </c>
      <c r="BM13" s="1191">
        <f>Model!BM234</f>
        <v>790.83977685066156</v>
      </c>
      <c r="BN13" s="1191">
        <f>Model!BN234</f>
        <v>839.66466645984292</v>
      </c>
      <c r="BO13" s="1516">
        <f>Model!BO234</f>
        <v>3234.5900519006782</v>
      </c>
      <c r="BP13" s="1515">
        <f>Model!BP234</f>
        <v>3542.2280151548898</v>
      </c>
      <c r="BQ13" s="1515">
        <f>Model!BQ234</f>
        <v>3685.3340269671476</v>
      </c>
      <c r="BR13" s="1516">
        <f>Model!BR234</f>
        <v>3834.221521656621</v>
      </c>
      <c r="BS13" s="1015"/>
    </row>
    <row r="14" spans="1:71" s="706" customFormat="1" ht="15">
      <c r="A14" s="741" t="str">
        <f>Model!A235</f>
        <v>Other Indemnity - Net Earned Premiums, mm</v>
      </c>
      <c r="B14" s="129"/>
      <c r="C14" s="1511">
        <f>Model!C235</f>
        <v>23.60</v>
      </c>
      <c r="D14" s="1511">
        <f>Model!D235</f>
        <v>13.70</v>
      </c>
      <c r="E14" s="1511">
        <f>Model!E235</f>
        <v>4.5999999999999996</v>
      </c>
      <c r="F14" s="1511">
        <f>Model!F235</f>
        <v>0.90</v>
      </c>
      <c r="G14" s="1511">
        <f>Model!G235</f>
        <v>0.20</v>
      </c>
      <c r="H14" s="1193">
        <f>Model!H235</f>
        <v>0</v>
      </c>
      <c r="I14" s="1193">
        <f>Model!I235</f>
        <v>0</v>
      </c>
      <c r="J14" s="1193">
        <f>Model!J235</f>
        <v>0</v>
      </c>
      <c r="K14" s="1193">
        <f>Model!K235</f>
        <v>0</v>
      </c>
      <c r="L14" s="1511">
        <f>Model!L235</f>
        <v>0</v>
      </c>
      <c r="M14" s="1193">
        <f>Model!M235</f>
        <v>0</v>
      </c>
      <c r="N14" s="1193">
        <f>Model!N235</f>
        <v>-0.40</v>
      </c>
      <c r="O14" s="1193">
        <f>Model!O235</f>
        <v>0</v>
      </c>
      <c r="P14" s="1193">
        <f>Model!P235</f>
        <v>0</v>
      </c>
      <c r="Q14" s="1511">
        <f>Model!Q235</f>
        <v>-0.40</v>
      </c>
      <c r="R14" s="1193">
        <f>Model!R235</f>
        <v>0</v>
      </c>
      <c r="S14" s="1193">
        <f>Model!S235</f>
        <v>0</v>
      </c>
      <c r="T14" s="1193">
        <f>Model!T235</f>
        <v>0</v>
      </c>
      <c r="U14" s="1193">
        <f>Model!U235</f>
        <v>0</v>
      </c>
      <c r="V14" s="1511">
        <f>Model!V235</f>
        <v>0</v>
      </c>
      <c r="W14" s="1193">
        <f>Model!W235</f>
        <v>0</v>
      </c>
      <c r="X14" s="1193">
        <f>Model!X235</f>
        <v>0</v>
      </c>
      <c r="Y14" s="1193">
        <f>Model!Y235</f>
        <v>0</v>
      </c>
      <c r="Z14" s="1193">
        <f>Model!Z235</f>
        <v>0</v>
      </c>
      <c r="AA14" s="1511">
        <f>Model!AA235</f>
        <v>0</v>
      </c>
      <c r="AB14" s="1193">
        <f>Model!AB235</f>
        <v>0</v>
      </c>
      <c r="AC14" s="1193">
        <f>Model!AC235</f>
        <v>0</v>
      </c>
      <c r="AD14" s="1193">
        <f>Model!AD235</f>
        <v>0</v>
      </c>
      <c r="AE14" s="1193">
        <f>Model!AE235</f>
        <v>0</v>
      </c>
      <c r="AF14" s="1511">
        <f>Model!AF235</f>
        <v>0</v>
      </c>
      <c r="AG14" s="1193">
        <f>Model!AG235</f>
        <v>0</v>
      </c>
      <c r="AH14" s="1193">
        <f>Model!AH235</f>
        <v>0</v>
      </c>
      <c r="AI14" s="1193">
        <f>Model!AI235</f>
        <v>0</v>
      </c>
      <c r="AJ14" s="1193">
        <f>Model!AJ235</f>
        <v>0</v>
      </c>
      <c r="AK14" s="1511">
        <f>Model!AK235</f>
        <v>0</v>
      </c>
      <c r="AL14" s="1193">
        <f>Model!AL235</f>
        <v>0</v>
      </c>
      <c r="AM14" s="1193">
        <f>Model!AM235</f>
        <v>0</v>
      </c>
      <c r="AN14" s="1193">
        <f>Model!AN235</f>
        <v>0</v>
      </c>
      <c r="AO14" s="1193">
        <f>Model!AO235</f>
        <v>0</v>
      </c>
      <c r="AP14" s="1511">
        <f>Model!AP235</f>
        <v>0</v>
      </c>
      <c r="AQ14" s="1193">
        <f>Model!AQ235</f>
        <v>0</v>
      </c>
      <c r="AR14" s="1193">
        <f>Model!AR235</f>
        <v>4</v>
      </c>
      <c r="AS14" s="1193">
        <f>Model!AS235</f>
        <v>2.80</v>
      </c>
      <c r="AT14" s="1193">
        <f>Model!AT235</f>
        <v>0.90000000000000036</v>
      </c>
      <c r="AU14" s="1511">
        <f>Model!AU235</f>
        <v>7.70</v>
      </c>
      <c r="AV14" s="1193">
        <f>Model!AV235</f>
        <v>0.70</v>
      </c>
      <c r="AW14" s="1193">
        <f>Model!AW235</f>
        <v>0.60</v>
      </c>
      <c r="AX14" s="1193">
        <f>Model!AX235</f>
        <v>0.70</v>
      </c>
      <c r="AY14" s="1193">
        <f>Model!AY235</f>
        <v>0.7000000000000004</v>
      </c>
      <c r="AZ14" s="1511">
        <f>Model!AZ235</f>
        <v>2.70</v>
      </c>
      <c r="BA14" s="1193">
        <f>Model!BA235</f>
        <v>0.70</v>
      </c>
      <c r="BB14" s="1193">
        <f>Model!BB235</f>
        <v>0.10000000000000001</v>
      </c>
      <c r="BC14" s="1193">
        <f>Model!BC235</f>
        <v>0.10000000000000001</v>
      </c>
      <c r="BD14" s="1193">
        <f>Model!BD235</f>
        <v>0.10000000000000009</v>
      </c>
      <c r="BE14" s="1511">
        <f>Model!BE235</f>
        <v>1</v>
      </c>
      <c r="BF14" s="1193">
        <f>Model!BF235</f>
        <v>0.20</v>
      </c>
      <c r="BG14" s="1193">
        <f>Model!BG235</f>
        <v>0.20</v>
      </c>
      <c r="BH14" s="1194">
        <f>Model!BH235</f>
        <v>0.20</v>
      </c>
      <c r="BI14" s="1193">
        <f>Model!BI235</f>
        <v>0</v>
      </c>
      <c r="BJ14" s="1511">
        <f>Model!BJ235</f>
        <v>0.60000000000000009</v>
      </c>
      <c r="BK14" s="1193">
        <f>Model!BK235</f>
        <v>0</v>
      </c>
      <c r="BL14" s="1193">
        <f>Model!BL235</f>
        <v>0</v>
      </c>
      <c r="BM14" s="1193">
        <f>Model!BM235</f>
        <v>0</v>
      </c>
      <c r="BN14" s="1193">
        <f>Model!BN235</f>
        <v>0</v>
      </c>
      <c r="BO14" s="1511">
        <f>Model!BO235</f>
        <v>0</v>
      </c>
      <c r="BP14" s="1511">
        <f>Model!BP235</f>
        <v>0</v>
      </c>
      <c r="BQ14" s="1511">
        <f>Model!BQ235</f>
        <v>0</v>
      </c>
      <c r="BR14" s="1511">
        <f>Model!BR235</f>
        <v>0</v>
      </c>
      <c r="BS14" s="1015"/>
    </row>
    <row r="15" spans="1:71" s="704" customFormat="1" ht="15">
      <c r="A15" s="121" t="str">
        <f>Model!A236</f>
        <v>Total Net Earned Premiums, mm</v>
      </c>
      <c r="B15" s="128"/>
      <c r="C15" s="1517">
        <f>Model!C236</f>
        <v>14012.80</v>
      </c>
      <c r="D15" s="1517">
        <f>Model!D236</f>
        <v>14314.80</v>
      </c>
      <c r="E15" s="1517">
        <f>Model!E236</f>
        <v>14902.80</v>
      </c>
      <c r="F15" s="1517">
        <f>Model!F236</f>
        <v>16017.999999999998</v>
      </c>
      <c r="G15" s="1517">
        <f>Model!G236</f>
        <v>17103.40</v>
      </c>
      <c r="H15" s="1196">
        <f>Model!H236</f>
        <v>4402.2999999999993</v>
      </c>
      <c r="I15" s="1196">
        <f>Model!I236</f>
        <v>4513.50</v>
      </c>
      <c r="J15" s="1196">
        <f>Model!J236</f>
        <v>4540.1000000000004</v>
      </c>
      <c r="K15" s="1196">
        <f>Model!K236</f>
        <v>4942.6000000000004</v>
      </c>
      <c r="L15" s="1517">
        <f>Model!L236</f>
        <v>18398.50</v>
      </c>
      <c r="M15" s="1196">
        <f>Model!M236</f>
        <v>4666.2999999999993</v>
      </c>
      <c r="N15" s="1196">
        <f>Model!N236</f>
        <v>4995.80</v>
      </c>
      <c r="O15" s="1196">
        <f>Model!O236</f>
        <v>5070.6000000000004</v>
      </c>
      <c r="P15" s="1196">
        <f>Model!P236</f>
        <v>5166.4000000000005</v>
      </c>
      <c r="Q15" s="1517">
        <f>Model!Q236</f>
        <v>19899.099999999999</v>
      </c>
      <c r="R15" s="1196">
        <f>Model!R236</f>
        <v>5317.40</v>
      </c>
      <c r="S15" s="1196">
        <f>Model!S236</f>
        <v>5561.80</v>
      </c>
      <c r="T15" s="1196">
        <f>Model!T236</f>
        <v>5723.40</v>
      </c>
      <c r="U15" s="1196">
        <f>Model!U236</f>
        <v>5871.40</v>
      </c>
      <c r="V15" s="1517">
        <f>Model!V236</f>
        <v>22474</v>
      </c>
      <c r="W15" s="1196">
        <f>Model!W236</f>
        <v>6026.70</v>
      </c>
      <c r="X15" s="1196">
        <f>Model!X236</f>
        <v>6313.30</v>
      </c>
      <c r="Y15" s="1196">
        <f>Model!Y236</f>
        <v>6544</v>
      </c>
      <c r="Z15" s="1196">
        <f>Model!Z236</f>
        <v>6845.90</v>
      </c>
      <c r="AA15" s="1517">
        <f>Model!AA236</f>
        <v>25729.900000000001</v>
      </c>
      <c r="AB15" s="1196">
        <f>Model!AB236</f>
        <v>7174.0000000000009</v>
      </c>
      <c r="AC15" s="1196">
        <f>Model!AC236</f>
        <v>7634.20</v>
      </c>
      <c r="AD15" s="1196">
        <f>Model!AD236</f>
        <v>7930.50</v>
      </c>
      <c r="AE15" s="1196">
        <f>Model!AE236</f>
        <v>8194.60</v>
      </c>
      <c r="AF15" s="1517">
        <f>Model!AF236</f>
        <v>30933.300000000003</v>
      </c>
      <c r="AG15" s="1196">
        <f>Model!AG236</f>
        <v>8459.7999999999993</v>
      </c>
      <c r="AH15" s="1196">
        <f>Model!AH236</f>
        <v>8824.7000000000007</v>
      </c>
      <c r="AI15" s="1196">
        <f>Model!AI236</f>
        <v>9012.1999999999989</v>
      </c>
      <c r="AJ15" s="1196">
        <f>Model!AJ236</f>
        <v>9895.7000000000007</v>
      </c>
      <c r="AK15" s="1517">
        <f>Model!AK236</f>
        <v>36192.40</v>
      </c>
      <c r="AL15" s="1196">
        <f>Model!AL236</f>
        <v>9430.7000000000007</v>
      </c>
      <c r="AM15" s="1196">
        <f>Model!AM236</f>
        <v>9648.60</v>
      </c>
      <c r="AN15" s="1196">
        <f>Model!AN236</f>
        <v>9973.4999999999982</v>
      </c>
      <c r="AO15" s="1196">
        <f>Model!AO236</f>
        <v>10208.800000000001</v>
      </c>
      <c r="AP15" s="1517">
        <f>Model!AP236</f>
        <v>39261.60</v>
      </c>
      <c r="AQ15" s="1196">
        <f>Model!AQ236</f>
        <v>10420.199999999999</v>
      </c>
      <c r="AR15" s="1196">
        <f>Model!AR236</f>
        <v>10982.299999999999</v>
      </c>
      <c r="AS15" s="1196">
        <f>Model!AS236</f>
        <v>11364.799999999997</v>
      </c>
      <c r="AT15" s="1196">
        <f>Model!AT236</f>
        <v>11601.40</v>
      </c>
      <c r="AU15" s="1517">
        <f>Model!AU236</f>
        <v>44368.699999999997</v>
      </c>
      <c r="AV15" s="1196">
        <f>Model!AV236</f>
        <v>11802.900000000003</v>
      </c>
      <c r="AW15" s="1196">
        <f>Model!AW236</f>
        <v>12147.90</v>
      </c>
      <c r="AX15" s="1196">
        <f>Model!AX236</f>
        <v>12398.90</v>
      </c>
      <c r="AY15" s="1196">
        <f>Model!AY236</f>
        <v>12891.500000000002</v>
      </c>
      <c r="AZ15" s="1517">
        <f>Model!AZ236</f>
        <v>49241.199999999997</v>
      </c>
      <c r="BA15" s="1196">
        <f>Model!BA236</f>
        <v>13533.10</v>
      </c>
      <c r="BB15" s="1196">
        <f>Model!BB236</f>
        <v>14464.40</v>
      </c>
      <c r="BC15" s="1196">
        <f>Model!BC236</f>
        <v>14894.299999999999</v>
      </c>
      <c r="BD15" s="1196">
        <f>Model!BD236</f>
        <v>15772.600000000004</v>
      </c>
      <c r="BE15" s="1517">
        <f>Model!BE236</f>
        <v>58664.400000000001</v>
      </c>
      <c r="BF15" s="1196">
        <f>Model!BF236</f>
        <v>16148.60</v>
      </c>
      <c r="BG15" s="1196">
        <f>Model!BG236</f>
        <v>17209.500000000004</v>
      </c>
      <c r="BH15" s="1197">
        <f>Model!BH236</f>
        <v>18296.700000000001</v>
      </c>
      <c r="BI15" s="1198">
        <f>Model!BI236</f>
        <v>17559.301553150228</v>
      </c>
      <c r="BJ15" s="1518">
        <f>Model!BJ236</f>
        <v>69214.101553150234</v>
      </c>
      <c r="BK15" s="1198">
        <f>Model!BK236</f>
        <v>21442.044134334246</v>
      </c>
      <c r="BL15" s="1198">
        <f>Model!BL236</f>
        <v>19683.62081517437</v>
      </c>
      <c r="BM15" s="1198">
        <f>Model!BM236</f>
        <v>21013.268236616033</v>
      </c>
      <c r="BN15" s="1198">
        <f>Model!BN236</f>
        <v>19779.357817031436</v>
      </c>
      <c r="BO15" s="1518">
        <f>Model!BO236</f>
        <v>81918.291003156075</v>
      </c>
      <c r="BP15" s="1517">
        <f>Model!BP236</f>
        <v>87742.953041527231</v>
      </c>
      <c r="BQ15" s="1517">
        <f>Model!BQ236</f>
        <v>91287.768344404933</v>
      </c>
      <c r="BR15" s="1518">
        <f>Model!BR236</f>
        <v>94975.794185518884</v>
      </c>
      <c r="BS15" s="1016"/>
    </row>
    <row r="16" spans="1:71" s="704" customFormat="1" ht="15">
      <c r="A16" s="121"/>
      <c r="B16" s="128"/>
      <c r="C16" s="1517"/>
      <c r="D16" s="1517"/>
      <c r="E16" s="1517"/>
      <c r="F16" s="1517"/>
      <c r="G16" s="1517"/>
      <c r="H16" s="1196"/>
      <c r="I16" s="1196"/>
      <c r="J16" s="1196"/>
      <c r="K16" s="1196"/>
      <c r="L16" s="1517"/>
      <c r="M16" s="1196"/>
      <c r="N16" s="1196"/>
      <c r="O16" s="1196"/>
      <c r="P16" s="1196"/>
      <c r="Q16" s="1517"/>
      <c r="R16" s="1196"/>
      <c r="S16" s="1196"/>
      <c r="T16" s="1196"/>
      <c r="U16" s="1196"/>
      <c r="V16" s="1517"/>
      <c r="W16" s="1196"/>
      <c r="X16" s="1196"/>
      <c r="Y16" s="1196"/>
      <c r="Z16" s="1196"/>
      <c r="AA16" s="1517"/>
      <c r="AB16" s="1196"/>
      <c r="AC16" s="1196"/>
      <c r="AD16" s="1196"/>
      <c r="AE16" s="1196"/>
      <c r="AF16" s="1517"/>
      <c r="AG16" s="1196"/>
      <c r="AH16" s="1196"/>
      <c r="AI16" s="1196"/>
      <c r="AJ16" s="1196"/>
      <c r="AK16" s="1517"/>
      <c r="AL16" s="1196"/>
      <c r="AM16" s="1196"/>
      <c r="AN16" s="1196"/>
      <c r="AO16" s="1196"/>
      <c r="AP16" s="1517"/>
      <c r="AQ16" s="1196"/>
      <c r="AR16" s="1196"/>
      <c r="AS16" s="1196"/>
      <c r="AT16" s="1196"/>
      <c r="AU16" s="1517"/>
      <c r="AV16" s="1196"/>
      <c r="AW16" s="1196"/>
      <c r="AX16" s="1196"/>
      <c r="AY16" s="1196"/>
      <c r="AZ16" s="1517"/>
      <c r="BA16" s="1196"/>
      <c r="BB16" s="1196"/>
      <c r="BC16" s="1196"/>
      <c r="BD16" s="1196"/>
      <c r="BE16" s="1517"/>
      <c r="BF16" s="1196"/>
      <c r="BG16" s="1196"/>
      <c r="BH16" s="1197"/>
      <c r="BI16" s="1198"/>
      <c r="BJ16" s="1518"/>
      <c r="BK16" s="1198"/>
      <c r="BL16" s="1198"/>
      <c r="BM16" s="1198"/>
      <c r="BN16" s="1198"/>
      <c r="BO16" s="1518"/>
      <c r="BP16" s="1517"/>
      <c r="BQ16" s="1517"/>
      <c r="BR16" s="1518"/>
      <c r="BS16" s="1016"/>
    </row>
    <row r="17" spans="1:71" s="702" customFormat="1" ht="15">
      <c r="A17" s="122" t="str">
        <f>INDEX(MO_UI_Loss,0,COLUMN())</f>
        <v>Total Loss and LAE, mm</v>
      </c>
      <c r="B17" s="123"/>
      <c r="C17" s="1515">
        <f t="shared" si="17" ref="C17:AU17">INDEX(MO_UI_Loss,0,COLUMN())</f>
        <v>9904.90</v>
      </c>
      <c r="D17" s="1515">
        <f t="shared" si="17"/>
        <v>10131.299999999999</v>
      </c>
      <c r="E17" s="1515">
        <f t="shared" si="17"/>
        <v>10634.80</v>
      </c>
      <c r="F17" s="1515">
        <f t="shared" si="17"/>
        <v>11948</v>
      </c>
      <c r="G17" s="1515">
        <f t="shared" si="17"/>
        <v>12472.40</v>
      </c>
      <c r="H17" s="1189">
        <f t="shared" si="17"/>
        <v>3205.90</v>
      </c>
      <c r="I17" s="1189">
        <f t="shared" si="17"/>
        <v>3269.10</v>
      </c>
      <c r="J17" s="1189">
        <f t="shared" si="17"/>
        <v>3291.80</v>
      </c>
      <c r="K17" s="1189">
        <f t="shared" si="17"/>
        <v>3539.4000000000015</v>
      </c>
      <c r="L17" s="1515">
        <f t="shared" si="17"/>
        <v>13306.20</v>
      </c>
      <c r="M17" s="1189">
        <f t="shared" si="17"/>
        <v>3368.60</v>
      </c>
      <c r="N17" s="1189">
        <f t="shared" si="17"/>
        <v>3617.20</v>
      </c>
      <c r="O17" s="1189">
        <f t="shared" si="17"/>
        <v>3654.30</v>
      </c>
      <c r="P17" s="1189">
        <f t="shared" si="17"/>
        <v>3701.9000000000015</v>
      </c>
      <c r="Q17" s="1515">
        <f t="shared" si="17"/>
        <v>14342</v>
      </c>
      <c r="R17" s="1189">
        <f t="shared" si="17"/>
        <v>3913.40</v>
      </c>
      <c r="S17" s="1189">
        <f t="shared" si="17"/>
        <v>4243</v>
      </c>
      <c r="T17" s="1189">
        <f t="shared" si="17"/>
        <v>4398.20</v>
      </c>
      <c r="U17" s="1189">
        <f t="shared" si="17"/>
        <v>4325</v>
      </c>
      <c r="V17" s="1515">
        <f t="shared" si="17"/>
        <v>16879.60</v>
      </c>
      <c r="W17" s="1189">
        <f t="shared" si="17"/>
        <v>4263.3999999999996</v>
      </c>
      <c r="X17" s="1189">
        <f t="shared" si="17"/>
        <v>4614.8999999999996</v>
      </c>
      <c r="Y17" s="1189">
        <f t="shared" si="17"/>
        <v>5050.50</v>
      </c>
      <c r="Z17" s="1189">
        <f t="shared" si="17"/>
        <v>4879.2000000000007</v>
      </c>
      <c r="AA17" s="1515">
        <f t="shared" si="17"/>
        <v>18808</v>
      </c>
      <c r="AB17" s="1189">
        <f t="shared" si="17"/>
        <v>4870.80</v>
      </c>
      <c r="AC17" s="1189">
        <f t="shared" si="17"/>
        <v>5375.30</v>
      </c>
      <c r="AD17" s="1189">
        <f t="shared" si="17"/>
        <v>5523.10</v>
      </c>
      <c r="AE17" s="1189">
        <f t="shared" si="17"/>
        <v>5951.7999999999993</v>
      </c>
      <c r="AF17" s="1515">
        <f t="shared" si="17"/>
        <v>21721</v>
      </c>
      <c r="AG17" s="1189">
        <f t="shared" si="17"/>
        <v>5759</v>
      </c>
      <c r="AH17" s="1189">
        <f t="shared" si="17"/>
        <v>6138.10</v>
      </c>
      <c r="AI17" s="1189">
        <f t="shared" si="17"/>
        <v>6426.30</v>
      </c>
      <c r="AJ17" s="1189">
        <f t="shared" si="17"/>
        <v>7147.0999999999985</v>
      </c>
      <c r="AK17" s="1515">
        <f t="shared" si="17"/>
        <v>25470.50</v>
      </c>
      <c r="AL17" s="1189">
        <f t="shared" si="17"/>
        <v>6155.20</v>
      </c>
      <c r="AM17" s="1189">
        <f t="shared" si="17"/>
        <v>5321.40</v>
      </c>
      <c r="AN17" s="1189">
        <f t="shared" si="17"/>
        <v>6713.10</v>
      </c>
      <c r="AO17" s="1189">
        <f>INDEX(MO_UI_Loss,0,COLUMN())</f>
        <v>6932.1000000000022</v>
      </c>
      <c r="AP17" s="1515">
        <f>INDEX(MO_UI_Loss,0,COLUMN())</f>
        <v>25121.799999999999</v>
      </c>
      <c r="AQ17" s="1189">
        <f t="shared" si="17"/>
        <v>7110.50</v>
      </c>
      <c r="AR17" s="1189">
        <f t="shared" si="17"/>
        <v>8406.40</v>
      </c>
      <c r="AS17" s="1189">
        <f>INDEX(MO_UI_Loss,0,COLUMN())</f>
        <v>9250.7000000000007</v>
      </c>
      <c r="AT17" s="1189">
        <f t="shared" si="17"/>
        <v>8860</v>
      </c>
      <c r="AU17" s="1515">
        <f t="shared" si="17"/>
        <v>33627.60</v>
      </c>
      <c r="AV17" s="1189">
        <f>INDEX(MO_UI_Loss,0,COLUMN())</f>
        <v>8858.40</v>
      </c>
      <c r="AW17" s="1189">
        <f>INDEX(MO_UI_Loss,0,COLUMN())</f>
        <v>9421.10</v>
      </c>
      <c r="AX17" s="1189">
        <f>INDEX(MO_UI_Loss,0,COLUMN())</f>
        <v>10018.700000000001</v>
      </c>
      <c r="AY17" s="1189">
        <f>INDEX(MO_UI_Loss,0,COLUMN())</f>
        <v>9824.4999999999964</v>
      </c>
      <c r="AZ17" s="1515">
        <f>INDEX(MO_UI_Loss,0,COLUMN())</f>
        <v>38122.699999999997</v>
      </c>
      <c r="BA17" s="1189">
        <f t="shared" si="18" ref="BA17:BE17">INDEX(MO_UI_Loss,0,COLUMN())</f>
        <v>10624</v>
      </c>
      <c r="BB17" s="1189">
        <f t="shared" si="18"/>
        <v>12170.099999999999</v>
      </c>
      <c r="BC17" s="1189">
        <f t="shared" si="18"/>
        <v>11387.90</v>
      </c>
      <c r="BD17" s="1189">
        <f t="shared" si="18"/>
        <v>11472.60</v>
      </c>
      <c r="BE17" s="1515">
        <f t="shared" si="18"/>
        <v>45654.599999999999</v>
      </c>
      <c r="BF17" s="1189">
        <f t="shared" si="19" ref="BF17:BJ17">INDEX(MO_UI_Loss,0,COLUMN())</f>
        <v>10971.60</v>
      </c>
      <c r="BG17" s="1189">
        <f t="shared" si="19"/>
        <v>12595.300000000001</v>
      </c>
      <c r="BH17" s="1190">
        <f t="shared" si="19"/>
        <v>12510.299999999994</v>
      </c>
      <c r="BI17" s="1191">
        <f t="shared" si="19"/>
        <v>13563.335002433738</v>
      </c>
      <c r="BJ17" s="1516">
        <f t="shared" si="19"/>
        <v>49640.535002433724</v>
      </c>
      <c r="BK17" s="1191">
        <f t="shared" si="20" ref="BK17:BR17">INDEX(MO_UI_Loss,0,COLUMN())</f>
        <v>16086.160765705765</v>
      </c>
      <c r="BL17" s="1191">
        <f t="shared" si="20"/>
        <v>15012.267778075118</v>
      </c>
      <c r="BM17" s="1191">
        <f t="shared" si="20"/>
        <v>15535.283064004127</v>
      </c>
      <c r="BN17" s="1191">
        <f t="shared" si="20"/>
        <v>14864.533824892049</v>
      </c>
      <c r="BO17" s="1516">
        <f t="shared" si="20"/>
        <v>61498.245432677068</v>
      </c>
      <c r="BP17" s="1515">
        <f t="shared" si="20"/>
        <v>65925.906555438996</v>
      </c>
      <c r="BQ17" s="1515">
        <f t="shared" si="20"/>
        <v>68589.313180278725</v>
      </c>
      <c r="BR17" s="1516">
        <f t="shared" si="20"/>
        <v>71360.321432761993</v>
      </c>
      <c r="BS17" s="1015"/>
    </row>
    <row r="18" spans="1:71" s="702" customFormat="1" ht="15">
      <c r="A18" s="122" t="str">
        <f>INDEX(MO_UI_PAE,0,COLUMN())</f>
        <v>Total Policy Acquisition Expense, mm</v>
      </c>
      <c r="B18" s="123"/>
      <c r="C18" s="1515">
        <f t="shared" si="21" ref="C18:AU18">INDEX(MO_UI_PAE,0,COLUMN())</f>
        <v>1364.60</v>
      </c>
      <c r="D18" s="1515">
        <f t="shared" si="21"/>
        <v>1359.90</v>
      </c>
      <c r="E18" s="1515">
        <f t="shared" si="21"/>
        <v>1399.20</v>
      </c>
      <c r="F18" s="1515">
        <f t="shared" si="21"/>
        <v>1436.60</v>
      </c>
      <c r="G18" s="1515">
        <f t="shared" si="21"/>
        <v>1451.80</v>
      </c>
      <c r="H18" s="1189">
        <f t="shared" si="21"/>
        <v>369</v>
      </c>
      <c r="I18" s="1189">
        <f t="shared" si="21"/>
        <v>374.80</v>
      </c>
      <c r="J18" s="1189">
        <f t="shared" si="21"/>
        <v>375.20</v>
      </c>
      <c r="K18" s="1189">
        <f t="shared" si="21"/>
        <v>405</v>
      </c>
      <c r="L18" s="1515">
        <f t="shared" si="21"/>
        <v>1524</v>
      </c>
      <c r="M18" s="1189">
        <f t="shared" si="21"/>
        <v>379.40</v>
      </c>
      <c r="N18" s="1189">
        <f t="shared" si="21"/>
        <v>417.30</v>
      </c>
      <c r="O18" s="1189">
        <f t="shared" si="21"/>
        <v>423.20</v>
      </c>
      <c r="P18" s="1189">
        <f t="shared" si="21"/>
        <v>431.89999999999986</v>
      </c>
      <c r="Q18" s="1515">
        <f t="shared" si="21"/>
        <v>1651.80</v>
      </c>
      <c r="R18" s="1189">
        <f t="shared" si="21"/>
        <v>440.30</v>
      </c>
      <c r="S18" s="1189">
        <f t="shared" si="21"/>
        <v>458.90</v>
      </c>
      <c r="T18" s="1189">
        <f t="shared" si="21"/>
        <v>475.40</v>
      </c>
      <c r="U18" s="1189">
        <f t="shared" si="21"/>
        <v>489.20000000000005</v>
      </c>
      <c r="V18" s="1515">
        <f t="shared" si="21"/>
        <v>1863.80</v>
      </c>
      <c r="W18" s="1189">
        <f t="shared" si="21"/>
        <v>502.90</v>
      </c>
      <c r="X18" s="1189">
        <f t="shared" si="21"/>
        <v>514.20000000000005</v>
      </c>
      <c r="Y18" s="1189">
        <f t="shared" si="21"/>
        <v>540.10</v>
      </c>
      <c r="Z18" s="1189">
        <f t="shared" si="21"/>
        <v>567.70000000000005</v>
      </c>
      <c r="AA18" s="1515">
        <f t="shared" si="21"/>
        <v>2124.90</v>
      </c>
      <c r="AB18" s="1189">
        <f t="shared" si="21"/>
        <v>596.20000000000005</v>
      </c>
      <c r="AC18" s="1189">
        <f t="shared" si="21"/>
        <v>630.79999999999995</v>
      </c>
      <c r="AD18" s="1189">
        <f t="shared" si="21"/>
        <v>662.70</v>
      </c>
      <c r="AE18" s="1189">
        <f t="shared" si="21"/>
        <v>683.99999999999977</v>
      </c>
      <c r="AF18" s="1515">
        <f t="shared" si="21"/>
        <v>2573.6999999999998</v>
      </c>
      <c r="AG18" s="1189">
        <f t="shared" si="21"/>
        <v>710.60</v>
      </c>
      <c r="AH18" s="1189">
        <f t="shared" si="21"/>
        <v>738.60</v>
      </c>
      <c r="AI18" s="1189">
        <f t="shared" si="21"/>
        <v>751.50</v>
      </c>
      <c r="AJ18" s="1189">
        <f t="shared" si="21"/>
        <v>822.50</v>
      </c>
      <c r="AK18" s="1515">
        <f t="shared" si="21"/>
        <v>3023.20</v>
      </c>
      <c r="AL18" s="1189">
        <f t="shared" si="21"/>
        <v>782.80</v>
      </c>
      <c r="AM18" s="1189">
        <f t="shared" si="21"/>
        <v>795.50</v>
      </c>
      <c r="AN18" s="1189">
        <f t="shared" si="21"/>
        <v>835.20</v>
      </c>
      <c r="AO18" s="1189">
        <f>INDEX(MO_UI_PAE,0,COLUMN())</f>
        <v>859.69999999999982</v>
      </c>
      <c r="AP18" s="1515">
        <f>INDEX(MO_UI_PAE,0,COLUMN())</f>
        <v>3273.20</v>
      </c>
      <c r="AQ18" s="1189">
        <f t="shared" si="21"/>
        <v>874.40</v>
      </c>
      <c r="AR18" s="1189">
        <f t="shared" si="21"/>
        <v>928.80</v>
      </c>
      <c r="AS18" s="1189">
        <f>INDEX(MO_UI_PAE,0,COLUMN())</f>
        <v>951.50</v>
      </c>
      <c r="AT18" s="1189">
        <f t="shared" si="21"/>
        <v>958.10000000000036</v>
      </c>
      <c r="AU18" s="1515">
        <f t="shared" si="21"/>
        <v>3712.80</v>
      </c>
      <c r="AV18" s="1189">
        <f>INDEX(MO_UI_PAE,0,COLUMN())</f>
        <v>963.40</v>
      </c>
      <c r="AW18" s="1189">
        <f>INDEX(MO_UI_PAE,0,COLUMN())</f>
        <v>933.60</v>
      </c>
      <c r="AX18" s="1189">
        <f>INDEX(MO_UI_PAE,0,COLUMN())</f>
        <v>970.90</v>
      </c>
      <c r="AY18" s="1189">
        <f>INDEX(MO_UI_PAE,0,COLUMN())</f>
        <v>1049.0999999999999</v>
      </c>
      <c r="AZ18" s="1515">
        <f>INDEX(MO_UI_PAE,0,COLUMN())</f>
        <v>3917</v>
      </c>
      <c r="BA18" s="1189">
        <f t="shared" si="22" ref="BA18:BE18">INDEX(MO_UI_PAE,0,COLUMN())</f>
        <v>1115.80</v>
      </c>
      <c r="BB18" s="1189">
        <f t="shared" si="22"/>
        <v>1153.6000000000001</v>
      </c>
      <c r="BC18" s="1189">
        <f t="shared" si="22"/>
        <v>1173.20</v>
      </c>
      <c r="BD18" s="1189">
        <f t="shared" si="22"/>
        <v>1222.50</v>
      </c>
      <c r="BE18" s="1515">
        <f t="shared" si="22"/>
        <v>4665.1000000000004</v>
      </c>
      <c r="BF18" s="1189">
        <f t="shared" si="23" ref="BF18:BJ18">INDEX(MO_UI_PAE,0,COLUMN())</f>
        <v>1232.20</v>
      </c>
      <c r="BG18" s="1189">
        <f t="shared" si="23"/>
        <v>1307.6000000000001</v>
      </c>
      <c r="BH18" s="1190">
        <f t="shared" si="23"/>
        <v>1390.1999999999996</v>
      </c>
      <c r="BI18" s="1191">
        <f t="shared" si="23"/>
        <v>1343.4270432284175</v>
      </c>
      <c r="BJ18" s="1516">
        <f t="shared" si="23"/>
        <v>5273.4270432284175</v>
      </c>
      <c r="BK18" s="1191">
        <f t="shared" si="24" ref="BK18:BR18">INDEX(MO_UI_PAE,0,COLUMN())</f>
        <v>1593.2296473575718</v>
      </c>
      <c r="BL18" s="1191">
        <f t="shared" si="24"/>
        <v>1475.8975723425897</v>
      </c>
      <c r="BM18" s="1191">
        <f t="shared" si="24"/>
        <v>1575.5958656497069</v>
      </c>
      <c r="BN18" s="1191">
        <f t="shared" si="24"/>
        <v>1493.4997500484094</v>
      </c>
      <c r="BO18" s="1516">
        <f t="shared" si="24"/>
        <v>6138.2228353982782</v>
      </c>
      <c r="BP18" s="1515">
        <f t="shared" si="24"/>
        <v>6486.9242613131491</v>
      </c>
      <c r="BQ18" s="1515">
        <f t="shared" si="24"/>
        <v>6657.7082331257961</v>
      </c>
      <c r="BR18" s="1516">
        <f t="shared" si="24"/>
        <v>6831.7038515585582</v>
      </c>
      <c r="BS18" s="1015"/>
    </row>
    <row r="19" spans="1:71" s="702" customFormat="1" ht="15">
      <c r="A19" s="299" t="str">
        <f>INDEX(MO_UI_OOE,0,COLUMN())</f>
        <v>Total Other Operating Expense, mm</v>
      </c>
      <c r="B19" s="300"/>
      <c r="C19" s="1515">
        <f t="shared" si="25" ref="C19:AU19">INDEX(MO_UI_OOE,0,COLUMN())</f>
        <v>1567.70</v>
      </c>
      <c r="D19" s="1515">
        <f t="shared" si="25"/>
        <v>1992.30</v>
      </c>
      <c r="E19" s="1515">
        <f t="shared" si="25"/>
        <v>2088</v>
      </c>
      <c r="F19" s="1515">
        <f t="shared" si="25"/>
        <v>2206.3000000000002</v>
      </c>
      <c r="G19" s="1515">
        <f t="shared" si="25"/>
        <v>2350.90</v>
      </c>
      <c r="H19" s="1189">
        <f t="shared" si="25"/>
        <v>610.40</v>
      </c>
      <c r="I19" s="1189">
        <f t="shared" si="25"/>
        <v>611.70000000000005</v>
      </c>
      <c r="J19" s="1189">
        <f t="shared" si="25"/>
        <v>609.20000000000005</v>
      </c>
      <c r="K19" s="1189">
        <f t="shared" si="25"/>
        <v>635.79999999999995</v>
      </c>
      <c r="L19" s="1515">
        <f t="shared" si="25"/>
        <v>2467.10</v>
      </c>
      <c r="M19" s="1189">
        <f t="shared" si="25"/>
        <v>650.40</v>
      </c>
      <c r="N19" s="1189">
        <f t="shared" si="25"/>
        <v>662.40</v>
      </c>
      <c r="O19" s="1189">
        <f t="shared" si="25"/>
        <v>707.50</v>
      </c>
      <c r="P19" s="1189">
        <f t="shared" si="25"/>
        <v>691.80</v>
      </c>
      <c r="Q19" s="1515">
        <f t="shared" si="25"/>
        <v>2712.10</v>
      </c>
      <c r="R19" s="1189">
        <f t="shared" si="25"/>
        <v>755.80</v>
      </c>
      <c r="S19" s="1189">
        <f t="shared" si="25"/>
        <v>766.80</v>
      </c>
      <c r="T19" s="1189">
        <f t="shared" si="25"/>
        <v>739.60</v>
      </c>
      <c r="U19" s="1189">
        <f t="shared" si="25"/>
        <v>709.80000000000018</v>
      </c>
      <c r="V19" s="1515">
        <f t="shared" si="25"/>
        <v>2972</v>
      </c>
      <c r="W19" s="1189">
        <f t="shared" si="25"/>
        <v>845.60</v>
      </c>
      <c r="X19" s="1189">
        <f t="shared" si="25"/>
        <v>845</v>
      </c>
      <c r="Y19" s="1189">
        <f t="shared" si="25"/>
        <v>877.70</v>
      </c>
      <c r="Z19" s="1189">
        <f t="shared" si="25"/>
        <v>912.39999999999964</v>
      </c>
      <c r="AA19" s="1515">
        <f t="shared" si="25"/>
        <v>3480.70</v>
      </c>
      <c r="AB19" s="1189">
        <f t="shared" si="25"/>
        <v>980.20</v>
      </c>
      <c r="AC19" s="1189">
        <f t="shared" si="25"/>
        <v>1046.9000000000001</v>
      </c>
      <c r="AD19" s="1189">
        <f t="shared" si="25"/>
        <v>1095.9000000000001</v>
      </c>
      <c r="AE19" s="1189">
        <f t="shared" si="25"/>
        <v>1072.8000000000002</v>
      </c>
      <c r="AF19" s="1515">
        <f t="shared" si="25"/>
        <v>4195.80</v>
      </c>
      <c r="AG19" s="1189">
        <f t="shared" si="25"/>
        <v>1171.20</v>
      </c>
      <c r="AH19" s="1189">
        <f t="shared" si="25"/>
        <v>1231.50</v>
      </c>
      <c r="AI19" s="1189">
        <f t="shared" si="25"/>
        <v>1240.30</v>
      </c>
      <c r="AJ19" s="1189">
        <f t="shared" si="25"/>
        <v>1332.1000000000004</v>
      </c>
      <c r="AK19" s="1515">
        <f t="shared" si="25"/>
        <v>4975.1000000000004</v>
      </c>
      <c r="AL19" s="1189">
        <f t="shared" si="25"/>
        <v>1409.90</v>
      </c>
      <c r="AM19" s="1189">
        <f t="shared" si="25"/>
        <v>1438.90</v>
      </c>
      <c r="AN19" s="1189">
        <f t="shared" si="25"/>
        <v>1330.90</v>
      </c>
      <c r="AO19" s="1189">
        <f>INDEX(MO_UI_OOE,0,COLUMN())</f>
        <v>1390.2999999999993</v>
      </c>
      <c r="AP19" s="1515">
        <f>INDEX(MO_UI_OOE,0,COLUMN())</f>
        <v>5570</v>
      </c>
      <c r="AQ19" s="1189">
        <f t="shared" si="25"/>
        <v>1481.10</v>
      </c>
      <c r="AR19" s="1189">
        <f t="shared" si="25"/>
        <v>1440.50</v>
      </c>
      <c r="AS19" s="1189">
        <f>INDEX(MO_UI_OOE,0,COLUMN())</f>
        <v>1384.40</v>
      </c>
      <c r="AT19" s="1189">
        <f t="shared" si="25"/>
        <v>1348.6999999999998</v>
      </c>
      <c r="AU19" s="1515">
        <f t="shared" si="25"/>
        <v>5654.70</v>
      </c>
      <c r="AV19" s="1189">
        <f>INDEX(MO_UI_OOE,0,COLUMN())</f>
        <v>1506.30</v>
      </c>
      <c r="AW19" s="1189">
        <f>INDEX(MO_UI_OOE,0,COLUMN())</f>
        <v>1431.20</v>
      </c>
      <c r="AX19" s="1189">
        <f>INDEX(MO_UI_OOE,0,COLUMN())</f>
        <v>1496.40</v>
      </c>
      <c r="AY19" s="1189">
        <f>INDEX(MO_UI_OOE,0,COLUMN())</f>
        <v>1425.7000000000007</v>
      </c>
      <c r="AZ19" s="1515">
        <f>INDEX(MO_UI_OOE,0,COLUMN())</f>
        <v>5859.60</v>
      </c>
      <c r="BA19" s="1189">
        <f t="shared" si="26" ref="BA19:BE19">INDEX(MO_UI_OOE,0,COLUMN())</f>
        <v>1857.90</v>
      </c>
      <c r="BB19" s="1189">
        <f t="shared" si="26"/>
        <v>1431.6999999999998</v>
      </c>
      <c r="BC19" s="1189">
        <f t="shared" si="26"/>
        <v>1420.70</v>
      </c>
      <c r="BD19" s="1189">
        <f t="shared" si="26"/>
        <v>1531.1999999999998</v>
      </c>
      <c r="BE19" s="1515">
        <f t="shared" si="26"/>
        <v>6241.50</v>
      </c>
      <c r="BF19" s="1189">
        <f t="shared" si="27" ref="BF19:BJ19">INDEX(MO_UI_OOE,0,COLUMN())</f>
        <v>1931.40</v>
      </c>
      <c r="BG19" s="1189">
        <f t="shared" si="27"/>
        <v>2179.7999999999997</v>
      </c>
      <c r="BH19" s="1190">
        <f t="shared" si="27"/>
        <v>2669.900000000001</v>
      </c>
      <c r="BI19" s="1189">
        <f t="shared" si="27"/>
        <v>1634.4197885672231</v>
      </c>
      <c r="BJ19" s="1515">
        <f t="shared" si="27"/>
        <v>8415.5197885672242</v>
      </c>
      <c r="BK19" s="1189">
        <f t="shared" si="28" ref="BK19:BR19">INDEX(MO_UI_OOE,0,COLUMN())</f>
        <v>2457.3011418829733</v>
      </c>
      <c r="BL19" s="1189">
        <f t="shared" si="28"/>
        <v>2453.8192216820826</v>
      </c>
      <c r="BM19" s="1189">
        <f t="shared" si="28"/>
        <v>3045.2848593868689</v>
      </c>
      <c r="BN19" s="1189">
        <f t="shared" si="28"/>
        <v>1761.9451943411602</v>
      </c>
      <c r="BO19" s="1515">
        <f t="shared" si="28"/>
        <v>9718.3504172930861</v>
      </c>
      <c r="BP19" s="1515">
        <f t="shared" si="28"/>
        <v>10409.385234081583</v>
      </c>
      <c r="BQ19" s="1515">
        <f t="shared" si="28"/>
        <v>10829.92439753848</v>
      </c>
      <c r="BR19" s="1515">
        <f t="shared" si="28"/>
        <v>11267.453343199033</v>
      </c>
      <c r="BS19" s="1015"/>
    </row>
    <row r="20" spans="1:71" s="702" customFormat="1" ht="15">
      <c r="A20" s="741" t="str">
        <f>INDEX(z_FHFK200110_MO_OS_TotalFeesandOtherRevenue,0,COLUMN())</f>
        <v>Total Fees and Other Revenue, mm</v>
      </c>
      <c r="B20" s="300"/>
      <c r="C20" s="1515">
        <f t="shared" si="29" ref="C20:AU20">INDEX(z_FHFK200110_MO_OS_TotalFeesandOtherRevenue,0,COLUMN())</f>
        <v>0</v>
      </c>
      <c r="D20" s="1515">
        <f t="shared" si="29"/>
        <v>252.20</v>
      </c>
      <c r="E20" s="1515">
        <f t="shared" si="29"/>
        <v>266.50</v>
      </c>
      <c r="F20" s="1515">
        <f t="shared" si="29"/>
        <v>281.80</v>
      </c>
      <c r="G20" s="1515">
        <f t="shared" si="29"/>
        <v>291.80</v>
      </c>
      <c r="H20" s="1189">
        <f t="shared" si="29"/>
        <v>72.80</v>
      </c>
      <c r="I20" s="1189">
        <f t="shared" si="29"/>
        <v>74.400000000000006</v>
      </c>
      <c r="J20" s="1189">
        <f t="shared" si="29"/>
        <v>75.900000000000006</v>
      </c>
      <c r="K20" s="1189">
        <f t="shared" si="29"/>
        <v>86.000000000000028</v>
      </c>
      <c r="L20" s="1515">
        <f t="shared" si="29"/>
        <v>309.10000000000002</v>
      </c>
      <c r="M20" s="1189">
        <f t="shared" si="29"/>
        <v>73.70</v>
      </c>
      <c r="N20" s="1189">
        <f t="shared" si="29"/>
        <v>74.900000000000006</v>
      </c>
      <c r="O20" s="1189">
        <f t="shared" si="29"/>
        <v>79.30</v>
      </c>
      <c r="P20" s="1189">
        <f t="shared" si="29"/>
        <v>74.099999999999966</v>
      </c>
      <c r="Q20" s="1515">
        <f t="shared" si="29"/>
        <v>302</v>
      </c>
      <c r="R20" s="1189">
        <f t="shared" si="29"/>
        <v>78.900000000000006</v>
      </c>
      <c r="S20" s="1189">
        <f t="shared" si="29"/>
        <v>82.50</v>
      </c>
      <c r="T20" s="1189">
        <f t="shared" si="29"/>
        <v>86.80</v>
      </c>
      <c r="U20" s="1189">
        <f t="shared" si="29"/>
        <v>84.300000000000011</v>
      </c>
      <c r="V20" s="1515">
        <f t="shared" si="29"/>
        <v>332.50</v>
      </c>
      <c r="W20" s="1189">
        <f t="shared" si="29"/>
        <v>85.20</v>
      </c>
      <c r="X20" s="1189">
        <f t="shared" si="29"/>
        <v>88.80</v>
      </c>
      <c r="Y20" s="1189">
        <f t="shared" si="29"/>
        <v>96.30</v>
      </c>
      <c r="Z20" s="1189">
        <f t="shared" si="29"/>
        <v>100.30000000000001</v>
      </c>
      <c r="AA20" s="1515">
        <f t="shared" si="29"/>
        <v>370.60</v>
      </c>
      <c r="AB20" s="1189">
        <f t="shared" si="29"/>
        <v>103.80</v>
      </c>
      <c r="AC20" s="1189">
        <f t="shared" si="29"/>
        <v>116</v>
      </c>
      <c r="AD20" s="1189">
        <f t="shared" si="29"/>
        <v>122.59999999999999</v>
      </c>
      <c r="AE20" s="1189">
        <f t="shared" si="29"/>
        <v>129.80000000000001</v>
      </c>
      <c r="AF20" s="1515">
        <f t="shared" si="29"/>
        <v>472.20</v>
      </c>
      <c r="AG20" s="1189">
        <f t="shared" si="29"/>
        <v>130.19999999999999</v>
      </c>
      <c r="AH20" s="1189">
        <f t="shared" si="29"/>
        <v>134.80000000000001</v>
      </c>
      <c r="AI20" s="1189">
        <f t="shared" si="29"/>
        <v>138.40000000000001</v>
      </c>
      <c r="AJ20" s="1189">
        <f t="shared" si="29"/>
        <v>160.30000000000007</v>
      </c>
      <c r="AK20" s="1511">
        <f t="shared" si="29"/>
        <v>563.70000000000005</v>
      </c>
      <c r="AL20" s="1189">
        <f t="shared" si="29"/>
        <v>153.50</v>
      </c>
      <c r="AM20" s="1189">
        <f t="shared" si="29"/>
        <v>129.50</v>
      </c>
      <c r="AN20" s="1189">
        <f t="shared" si="29"/>
        <v>151.80000000000001</v>
      </c>
      <c r="AO20" s="1189">
        <f>INDEX(z_FHFK200110_MO_OS_TotalFeesandOtherRevenue,0,COLUMN())</f>
        <v>168.70</v>
      </c>
      <c r="AP20" s="1511">
        <f>INDEX(z_FHFK200110_MO_OS_TotalFeesandOtherRevenue,0,COLUMN())</f>
        <v>603.50</v>
      </c>
      <c r="AQ20" s="1189">
        <f t="shared" si="29"/>
        <v>165.70</v>
      </c>
      <c r="AR20" s="1189">
        <f t="shared" si="29"/>
        <v>176.20</v>
      </c>
      <c r="AS20" s="1189">
        <f>INDEX(z_FHFK200110_MO_OS_TotalFeesandOtherRevenue,0,COLUMN())</f>
        <v>174.90</v>
      </c>
      <c r="AT20" s="1189">
        <f t="shared" si="29"/>
        <v>175</v>
      </c>
      <c r="AU20" s="1515">
        <f t="shared" si="29"/>
        <v>691.80</v>
      </c>
      <c r="AV20" s="1189">
        <f>INDEX(z_FHFK200110_MO_OS_TotalFeesandOtherRevenue,0,COLUMN())</f>
        <v>174</v>
      </c>
      <c r="AW20" s="1189">
        <f>INDEX(z_FHFK200110_MO_OS_TotalFeesandOtherRevenue,0,COLUMN())</f>
        <v>176.50</v>
      </c>
      <c r="AX20" s="1189">
        <f>INDEX(z_FHFK200110_MO_OS_TotalFeesandOtherRevenue,0,COLUMN())</f>
        <v>181.40</v>
      </c>
      <c r="AY20" s="1189">
        <f>INDEX(z_FHFK200110_MO_OS_TotalFeesandOtherRevenue,0,COLUMN())</f>
        <v>190.20000000000005</v>
      </c>
      <c r="AZ20" s="1515">
        <f>INDEX(z_FHFK200110_MO_OS_TotalFeesandOtherRevenue,0,COLUMN())</f>
        <v>722.10</v>
      </c>
      <c r="BA20" s="1189">
        <f t="shared" si="30" ref="BA20:BE20">INDEX(z_FHFK200110_MO_OS_TotalFeesandOtherRevenue,0,COLUMN())</f>
        <v>206.20</v>
      </c>
      <c r="BB20" s="1189">
        <f t="shared" si="30"/>
        <v>226.70</v>
      </c>
      <c r="BC20" s="1189">
        <f t="shared" si="30"/>
        <v>223.70</v>
      </c>
      <c r="BD20" s="1189">
        <f t="shared" si="30"/>
        <v>232.50000000000011</v>
      </c>
      <c r="BE20" s="1515">
        <f t="shared" si="30"/>
        <v>889.10</v>
      </c>
      <c r="BF20" s="1189">
        <f t="shared" si="31" ref="BF20:BJ20">INDEX(z_FHFK200110_MO_OS_TotalFeesandOtherRevenue,0,COLUMN())</f>
        <v>236.50</v>
      </c>
      <c r="BG20" s="1189">
        <f t="shared" si="31"/>
        <v>259.80</v>
      </c>
      <c r="BH20" s="1190">
        <f t="shared" si="31"/>
        <v>278.09999999999991</v>
      </c>
      <c r="BI20" s="1189">
        <f t="shared" si="31"/>
        <v>244.12500000000014</v>
      </c>
      <c r="BJ20" s="1515">
        <f t="shared" si="31"/>
        <v>1018.525</v>
      </c>
      <c r="BK20" s="1189">
        <f t="shared" si="32" ref="BK20:BR20">INDEX(z_FHFK200110_MO_OS_TotalFeesandOtherRevenue,0,COLUMN())</f>
        <v>248.32500000000002</v>
      </c>
      <c r="BL20" s="1189">
        <f t="shared" si="32"/>
        <v>272.79000000000002</v>
      </c>
      <c r="BM20" s="1189">
        <f t="shared" si="32"/>
        <v>292.00499999999994</v>
      </c>
      <c r="BN20" s="1189">
        <f t="shared" si="32"/>
        <v>256.33125000000018</v>
      </c>
      <c r="BO20" s="1515">
        <f t="shared" si="32"/>
        <v>1069.4512500000001</v>
      </c>
      <c r="BP20" s="1515">
        <f t="shared" si="32"/>
        <v>1122.9238125000002</v>
      </c>
      <c r="BQ20" s="1515">
        <f t="shared" si="32"/>
        <v>1179.0700031250003</v>
      </c>
      <c r="BR20" s="1515">
        <f t="shared" si="32"/>
        <v>1238.0235032812504</v>
      </c>
      <c r="BS20" s="1015"/>
    </row>
    <row r="21" spans="1:71" s="704" customFormat="1" ht="15">
      <c r="A21" s="124" t="str">
        <f>INDEX(MO_UI_UnderwritingExpense,0,COLUMN())</f>
        <v>Total Underwriting Expense, mm</v>
      </c>
      <c r="B21" s="125"/>
      <c r="C21" s="1512">
        <f t="shared" si="33" ref="C21:AU21">SUM(C17:C20)</f>
        <v>12837.20</v>
      </c>
      <c r="D21" s="1512">
        <f t="shared" si="33"/>
        <v>13735.699999999999</v>
      </c>
      <c r="E21" s="1512">
        <f t="shared" si="33"/>
        <v>14388.50</v>
      </c>
      <c r="F21" s="1512">
        <f t="shared" si="33"/>
        <v>15872.700000000001</v>
      </c>
      <c r="G21" s="1512">
        <f t="shared" si="33"/>
        <v>16566.899999999998</v>
      </c>
      <c r="H21" s="1183">
        <f t="shared" si="33"/>
        <v>4258.1000000000004</v>
      </c>
      <c r="I21" s="1183">
        <f t="shared" si="33"/>
        <v>4330</v>
      </c>
      <c r="J21" s="1183">
        <f t="shared" si="33"/>
        <v>4352.0999999999995</v>
      </c>
      <c r="K21" s="1183">
        <f t="shared" si="33"/>
        <v>4666.2000000000016</v>
      </c>
      <c r="L21" s="1512">
        <f t="shared" si="33"/>
        <v>17606.399999999998</v>
      </c>
      <c r="M21" s="1183">
        <f t="shared" si="33"/>
        <v>4472.0999999999995</v>
      </c>
      <c r="N21" s="1183">
        <f t="shared" si="33"/>
        <v>4771.7999999999993</v>
      </c>
      <c r="O21" s="1183">
        <f t="shared" si="33"/>
        <v>4864.30</v>
      </c>
      <c r="P21" s="1183">
        <f t="shared" si="33"/>
        <v>4899.7000000000016</v>
      </c>
      <c r="Q21" s="1512">
        <f t="shared" si="33"/>
        <v>19007.899999999998</v>
      </c>
      <c r="R21" s="1183">
        <f t="shared" si="33"/>
        <v>5188.3999999999996</v>
      </c>
      <c r="S21" s="1183">
        <f t="shared" si="33"/>
        <v>5551.20</v>
      </c>
      <c r="T21" s="1183">
        <f t="shared" si="33"/>
        <v>5700</v>
      </c>
      <c r="U21" s="1183">
        <f t="shared" si="33"/>
        <v>5608.30</v>
      </c>
      <c r="V21" s="1512">
        <f t="shared" si="33"/>
        <v>22047.899999999998</v>
      </c>
      <c r="W21" s="1183">
        <f t="shared" si="33"/>
        <v>5697.10</v>
      </c>
      <c r="X21" s="1183">
        <f t="shared" si="33"/>
        <v>6062.90</v>
      </c>
      <c r="Y21" s="1183">
        <f t="shared" si="33"/>
        <v>6564.60</v>
      </c>
      <c r="Z21" s="1183">
        <f t="shared" si="33"/>
        <v>6459.60</v>
      </c>
      <c r="AA21" s="1512">
        <f t="shared" si="33"/>
        <v>24784.200000000001</v>
      </c>
      <c r="AB21" s="1183">
        <f t="shared" si="33"/>
        <v>6551</v>
      </c>
      <c r="AC21" s="1183">
        <f t="shared" si="33"/>
        <v>7169</v>
      </c>
      <c r="AD21" s="1183">
        <f t="shared" si="33"/>
        <v>7404.3000000000011</v>
      </c>
      <c r="AE21" s="1183">
        <f t="shared" si="33"/>
        <v>7838.40</v>
      </c>
      <c r="AF21" s="1512">
        <f t="shared" si="33"/>
        <v>28962.700000000001</v>
      </c>
      <c r="AG21" s="1183">
        <f t="shared" si="33"/>
        <v>7771</v>
      </c>
      <c r="AH21" s="1183">
        <f t="shared" si="33"/>
        <v>8243</v>
      </c>
      <c r="AI21" s="1183">
        <f t="shared" si="33"/>
        <v>8556.50</v>
      </c>
      <c r="AJ21" s="1183">
        <f t="shared" si="33"/>
        <v>9461.9999999999982</v>
      </c>
      <c r="AK21" s="1512">
        <f t="shared" si="33"/>
        <v>34032.50</v>
      </c>
      <c r="AL21" s="1183">
        <f t="shared" si="33"/>
        <v>8501.40</v>
      </c>
      <c r="AM21" s="1183">
        <f t="shared" si="33"/>
        <v>7685.2999999999993</v>
      </c>
      <c r="AN21" s="1183">
        <f t="shared" si="33"/>
        <v>9031</v>
      </c>
      <c r="AO21" s="1183">
        <f>SUM(AO17:AO20)</f>
        <v>9350.8000000000029</v>
      </c>
      <c r="AP21" s="1512">
        <f>SUM(AP17:AP20)</f>
        <v>34568.50</v>
      </c>
      <c r="AQ21" s="1183">
        <f t="shared" si="33"/>
        <v>9631.7000000000007</v>
      </c>
      <c r="AR21" s="1183">
        <f t="shared" si="33"/>
        <v>10951.90</v>
      </c>
      <c r="AS21" s="1183">
        <f>SUM(AS17:AS20)</f>
        <v>11761.50</v>
      </c>
      <c r="AT21" s="1183">
        <f t="shared" si="33"/>
        <v>11341.80</v>
      </c>
      <c r="AU21" s="1512">
        <f t="shared" si="33"/>
        <v>43686.900000000001</v>
      </c>
      <c r="AV21" s="1183">
        <f>SUM(AV17:AV20)</f>
        <v>11502.099999999999</v>
      </c>
      <c r="AW21" s="1183">
        <f>SUM(AW17:AW20)</f>
        <v>11962.40</v>
      </c>
      <c r="AX21" s="1183">
        <f>SUM(AX17:AX20)</f>
        <v>12667.40</v>
      </c>
      <c r="AY21" s="1183">
        <f>SUM(AY17:AY20)</f>
        <v>12489.499999999998</v>
      </c>
      <c r="AZ21" s="1512">
        <f>SUM(AZ17:AZ20)</f>
        <v>48621.399999999994</v>
      </c>
      <c r="BA21" s="1183">
        <f t="shared" si="34" ref="BA21:BE21">SUM(BA17:BA20)</f>
        <v>13803.90</v>
      </c>
      <c r="BB21" s="1183">
        <f t="shared" si="34"/>
        <v>14982.099999999999</v>
      </c>
      <c r="BC21" s="1183">
        <f t="shared" si="34"/>
        <v>14205.500000000002</v>
      </c>
      <c r="BD21" s="1183">
        <f t="shared" si="34"/>
        <v>14458.80</v>
      </c>
      <c r="BE21" s="1512">
        <f t="shared" si="34"/>
        <v>57450.299999999996</v>
      </c>
      <c r="BF21" s="1183">
        <f t="shared" si="35" ref="BF21:BJ21">SUM(BF17:BF20)</f>
        <v>14371.700000000001</v>
      </c>
      <c r="BG21" s="1183">
        <f t="shared" si="35"/>
        <v>16342.50</v>
      </c>
      <c r="BH21" s="1184">
        <f t="shared" si="35"/>
        <v>16848.499999999993</v>
      </c>
      <c r="BI21" s="1183">
        <f t="shared" si="35"/>
        <v>16785.306834229377</v>
      </c>
      <c r="BJ21" s="1512">
        <f t="shared" si="35"/>
        <v>64348.006834229367</v>
      </c>
      <c r="BK21" s="1183">
        <f t="shared" si="36" ref="BK21:BR21">SUM(BK17:BK20)</f>
        <v>20385.016554946313</v>
      </c>
      <c r="BL21" s="1183">
        <f t="shared" si="36"/>
        <v>19214.774572099792</v>
      </c>
      <c r="BM21" s="1183">
        <f t="shared" si="36"/>
        <v>20448.168789040705</v>
      </c>
      <c r="BN21" s="1183">
        <f t="shared" si="36"/>
        <v>18376.310019281616</v>
      </c>
      <c r="BO21" s="1512">
        <f t="shared" si="36"/>
        <v>78424.269935368429</v>
      </c>
      <c r="BP21" s="1512">
        <f t="shared" si="36"/>
        <v>83945.139863333723</v>
      </c>
      <c r="BQ21" s="1512">
        <f t="shared" si="36"/>
        <v>87256.015814068</v>
      </c>
      <c r="BR21" s="1512">
        <f t="shared" si="36"/>
        <v>90697.502130800829</v>
      </c>
      <c r="BS21" s="1016"/>
    </row>
    <row r="22" spans="1:71" s="702" customFormat="1" ht="15">
      <c r="A22" s="130"/>
      <c r="B22" s="123"/>
      <c r="C22" s="1515"/>
      <c r="D22" s="1515"/>
      <c r="E22" s="1515"/>
      <c r="F22" s="1515"/>
      <c r="G22" s="1515"/>
      <c r="H22" s="1189"/>
      <c r="I22" s="1189"/>
      <c r="J22" s="1189"/>
      <c r="K22" s="1189"/>
      <c r="L22" s="1515"/>
      <c r="M22" s="1189"/>
      <c r="N22" s="1189"/>
      <c r="O22" s="1189"/>
      <c r="P22" s="1189"/>
      <c r="Q22" s="1515"/>
      <c r="R22" s="1189"/>
      <c r="S22" s="1189"/>
      <c r="T22" s="1189"/>
      <c r="U22" s="1189"/>
      <c r="V22" s="1515"/>
      <c r="W22" s="1189"/>
      <c r="X22" s="1189"/>
      <c r="Y22" s="1189"/>
      <c r="Z22" s="1189"/>
      <c r="AA22" s="1515"/>
      <c r="AB22" s="1189"/>
      <c r="AC22" s="1189"/>
      <c r="AD22" s="1189"/>
      <c r="AE22" s="1189"/>
      <c r="AF22" s="1515"/>
      <c r="AG22" s="1189"/>
      <c r="AH22" s="1189"/>
      <c r="AI22" s="1189"/>
      <c r="AJ22" s="1189"/>
      <c r="AK22" s="1515"/>
      <c r="AL22" s="1189"/>
      <c r="AM22" s="1189"/>
      <c r="AN22" s="1189"/>
      <c r="AO22" s="1189"/>
      <c r="AP22" s="1515"/>
      <c r="AQ22" s="1189"/>
      <c r="AR22" s="1189"/>
      <c r="AS22" s="1189"/>
      <c r="AT22" s="1189"/>
      <c r="AU22" s="1515"/>
      <c r="AV22" s="1189"/>
      <c r="AW22" s="1189"/>
      <c r="AX22" s="1189"/>
      <c r="AY22" s="1189"/>
      <c r="AZ22" s="1515"/>
      <c r="BA22" s="1189"/>
      <c r="BB22" s="1189"/>
      <c r="BC22" s="1189"/>
      <c r="BD22" s="1189"/>
      <c r="BE22" s="1515"/>
      <c r="BF22" s="1189"/>
      <c r="BG22" s="1189"/>
      <c r="BH22" s="1190"/>
      <c r="BI22" s="1191"/>
      <c r="BJ22" s="1516"/>
      <c r="BK22" s="1191"/>
      <c r="BL22" s="1191"/>
      <c r="BM22" s="1191"/>
      <c r="BN22" s="1191"/>
      <c r="BO22" s="1516"/>
      <c r="BP22" s="1515"/>
      <c r="BQ22" s="1515"/>
      <c r="BR22" s="1516"/>
      <c r="BS22" s="1015"/>
    </row>
    <row r="23" spans="1:71" s="704" customFormat="1" ht="15">
      <c r="A23" s="121" t="str">
        <f>INDEX(MO_UI_UI,0,COLUMN())</f>
        <v>Total Underwriting Income, mm</v>
      </c>
      <c r="B23" s="128"/>
      <c r="C23" s="1517">
        <f t="shared" si="37" ref="C23:AH23">INDEX(MO_UI_UI,0,COLUMN())</f>
        <v>1175.6000000000004</v>
      </c>
      <c r="D23" s="1517">
        <f t="shared" si="37"/>
        <v>1083.5000000000036</v>
      </c>
      <c r="E23" s="1517">
        <f t="shared" si="37"/>
        <v>1047.2999999999993</v>
      </c>
      <c r="F23" s="1517">
        <f t="shared" si="37"/>
        <v>708.899999999996</v>
      </c>
      <c r="G23" s="1517">
        <f t="shared" si="37"/>
        <v>1120.1000000000022</v>
      </c>
      <c r="H23" s="1196">
        <f t="shared" si="37"/>
        <v>289.79999999999927</v>
      </c>
      <c r="I23" s="1196">
        <f t="shared" si="37"/>
        <v>332.29999999999927</v>
      </c>
      <c r="J23" s="1196">
        <f t="shared" si="37"/>
        <v>339.80000000000018</v>
      </c>
      <c r="K23" s="1196">
        <f t="shared" si="37"/>
        <v>448.39999999999873</v>
      </c>
      <c r="L23" s="1517">
        <f t="shared" si="37"/>
        <v>1410.2999999999993</v>
      </c>
      <c r="M23" s="1196">
        <f t="shared" si="37"/>
        <v>341.59999999999945</v>
      </c>
      <c r="N23" s="1196">
        <f t="shared" si="37"/>
        <v>373.80000000000018</v>
      </c>
      <c r="O23" s="1196">
        <f t="shared" si="37"/>
        <v>364.90000000000055</v>
      </c>
      <c r="P23" s="1196">
        <f t="shared" si="37"/>
        <v>414.89999999999964</v>
      </c>
      <c r="Q23" s="1517">
        <f t="shared" si="37"/>
        <v>1495.2000000000007</v>
      </c>
      <c r="R23" s="1196">
        <f t="shared" si="37"/>
        <v>286.80000000000018</v>
      </c>
      <c r="S23" s="1196">
        <f t="shared" si="37"/>
        <v>175.60000000000036</v>
      </c>
      <c r="T23" s="1196">
        <f t="shared" si="37"/>
        <v>197</v>
      </c>
      <c r="U23" s="1196">
        <f t="shared" si="37"/>
        <v>431.70000000000073</v>
      </c>
      <c r="V23" s="1517">
        <f t="shared" si="37"/>
        <v>1091.1000000000022</v>
      </c>
      <c r="W23" s="1196">
        <f t="shared" si="37"/>
        <v>500</v>
      </c>
      <c r="X23" s="1196">
        <f t="shared" si="37"/>
        <v>428.00000000000091</v>
      </c>
      <c r="Y23" s="1196">
        <f t="shared" si="37"/>
        <v>172</v>
      </c>
      <c r="Z23" s="1196">
        <f t="shared" si="37"/>
        <v>586.89999999999964</v>
      </c>
      <c r="AA23" s="1517">
        <f t="shared" si="37"/>
        <v>1686.8999999999978</v>
      </c>
      <c r="AB23" s="1196">
        <f t="shared" si="37"/>
        <v>830.60000000000127</v>
      </c>
      <c r="AC23" s="1196">
        <f t="shared" si="37"/>
        <v>697.19999999999982</v>
      </c>
      <c r="AD23" s="1196">
        <f t="shared" si="37"/>
        <v>771.39999999999964</v>
      </c>
      <c r="AE23" s="1196">
        <f t="shared" si="37"/>
        <v>615.80000000000018</v>
      </c>
      <c r="AF23" s="1517">
        <f t="shared" si="37"/>
        <v>2915.0000000000036</v>
      </c>
      <c r="AG23" s="1196">
        <f t="shared" si="37"/>
        <v>949.19999999999982</v>
      </c>
      <c r="AH23" s="1196">
        <f t="shared" si="37"/>
        <v>851.29999999999927</v>
      </c>
      <c r="AI23" s="1196">
        <f t="shared" si="38" ref="AI23:BE23">INDEX(MO_UI_UI,0,COLUMN())</f>
        <v>732.49999999999818</v>
      </c>
      <c r="AJ23" s="1196">
        <f t="shared" si="38"/>
        <v>754.30000000000109</v>
      </c>
      <c r="AK23" s="1517">
        <f t="shared" si="38"/>
        <v>3287.2999999999956</v>
      </c>
      <c r="AL23" s="1196">
        <f t="shared" si="38"/>
        <v>1236.3000000000011</v>
      </c>
      <c r="AM23" s="1196">
        <f t="shared" si="38"/>
        <v>1188.9000000000015</v>
      </c>
      <c r="AN23" s="1196">
        <f t="shared" si="38"/>
        <v>1217.0999999999967</v>
      </c>
      <c r="AO23" s="1196">
        <f t="shared" si="38"/>
        <v>1180.3999999999996</v>
      </c>
      <c r="AP23" s="1517">
        <f t="shared" si="38"/>
        <v>4822.6999999999971</v>
      </c>
      <c r="AQ23" s="1196">
        <f t="shared" si="38"/>
        <v>1119.8999999999996</v>
      </c>
      <c r="AR23" s="1196">
        <f t="shared" si="38"/>
        <v>382.80000000000109</v>
      </c>
      <c r="AS23" s="1196">
        <f t="shared" si="38"/>
        <v>-46.900000000003274</v>
      </c>
      <c r="AT23" s="1196">
        <f t="shared" si="38"/>
        <v>609.60000000000036</v>
      </c>
      <c r="AU23" s="1517">
        <f t="shared" si="38"/>
        <v>2065.4000000000015</v>
      </c>
      <c r="AV23" s="1196">
        <f>INDEX(MO_UI_UI,0,COLUMN())</f>
        <v>648.80000000000473</v>
      </c>
      <c r="AW23" s="1196">
        <f t="shared" si="38"/>
        <v>538.49999999999818</v>
      </c>
      <c r="AX23" s="1196">
        <f>INDEX(MO_UI_UI,0,COLUMN())</f>
        <v>94.299999999999272</v>
      </c>
      <c r="AY23" s="1196">
        <f t="shared" si="38"/>
        <v>782.40000000000509</v>
      </c>
      <c r="AZ23" s="1517">
        <f t="shared" si="38"/>
        <v>2064</v>
      </c>
      <c r="BA23" s="1196">
        <f t="shared" si="38"/>
        <v>141.60000000000218</v>
      </c>
      <c r="BB23" s="1196">
        <f t="shared" si="38"/>
        <v>-64.299999999997453</v>
      </c>
      <c r="BC23" s="1196">
        <f t="shared" si="38"/>
        <v>1136.1999999999989</v>
      </c>
      <c r="BD23" s="1196">
        <f t="shared" si="38"/>
        <v>1778.8000000000047</v>
      </c>
      <c r="BE23" s="1517">
        <f t="shared" si="38"/>
        <v>2992.3000000000029</v>
      </c>
      <c r="BF23" s="1196">
        <f t="shared" si="39" ref="BF23:BJ23">INDEX(MO_UI_UI,0,COLUMN())</f>
        <v>2249.8999999999978</v>
      </c>
      <c r="BG23" s="1196">
        <f t="shared" si="39"/>
        <v>1386.6000000000022</v>
      </c>
      <c r="BH23" s="1197">
        <f t="shared" si="39"/>
        <v>2004.4000000000051</v>
      </c>
      <c r="BI23" s="1198">
        <f t="shared" si="39"/>
        <v>1262.2447189208506</v>
      </c>
      <c r="BJ23" s="1518">
        <f t="shared" si="39"/>
        <v>6903.1447189208557</v>
      </c>
      <c r="BK23" s="1198">
        <f t="shared" si="40" ref="BK23:BR23">INDEX(MO_UI_UI,0,COLUMN())</f>
        <v>1553.6775793879351</v>
      </c>
      <c r="BL23" s="1198">
        <f t="shared" si="40"/>
        <v>1014.4262430745803</v>
      </c>
      <c r="BM23" s="1198">
        <f t="shared" si="40"/>
        <v>1149.1094475753307</v>
      </c>
      <c r="BN23" s="1198">
        <f t="shared" si="40"/>
        <v>1915.710297749818</v>
      </c>
      <c r="BO23" s="1518">
        <f t="shared" si="40"/>
        <v>5632.9235677876641</v>
      </c>
      <c r="BP23" s="1517">
        <f t="shared" si="40"/>
        <v>6043.6608031935029</v>
      </c>
      <c r="BQ23" s="1517">
        <f t="shared" si="40"/>
        <v>6389.8925365869363</v>
      </c>
      <c r="BR23" s="1518">
        <f t="shared" si="40"/>
        <v>6754.3390612805524</v>
      </c>
      <c r="BS23" s="1016"/>
    </row>
    <row r="24" spans="1:71" s="705" customFormat="1" ht="15">
      <c r="A24" s="126"/>
      <c r="B24" s="127"/>
      <c r="C24" s="1513"/>
      <c r="D24" s="1513"/>
      <c r="E24" s="1513"/>
      <c r="F24" s="1513"/>
      <c r="G24" s="1513"/>
      <c r="H24" s="231"/>
      <c r="I24" s="231"/>
      <c r="J24" s="231"/>
      <c r="K24" s="231"/>
      <c r="L24" s="1513"/>
      <c r="M24" s="231"/>
      <c r="N24" s="231"/>
      <c r="O24" s="231"/>
      <c r="P24" s="231"/>
      <c r="Q24" s="1513"/>
      <c r="R24" s="231"/>
      <c r="S24" s="231"/>
      <c r="T24" s="231"/>
      <c r="U24" s="231"/>
      <c r="V24" s="1513"/>
      <c r="W24" s="231"/>
      <c r="X24" s="231"/>
      <c r="Y24" s="231"/>
      <c r="Z24" s="231"/>
      <c r="AA24" s="1513"/>
      <c r="AB24" s="231"/>
      <c r="AC24" s="231"/>
      <c r="AD24" s="231"/>
      <c r="AE24" s="231"/>
      <c r="AF24" s="1513"/>
      <c r="AG24" s="231"/>
      <c r="AH24" s="231"/>
      <c r="AI24" s="231"/>
      <c r="AJ24" s="231"/>
      <c r="AK24" s="1513"/>
      <c r="AL24" s="231"/>
      <c r="AM24" s="231"/>
      <c r="AN24" s="231"/>
      <c r="AO24" s="231"/>
      <c r="AP24" s="1513"/>
      <c r="AQ24" s="231"/>
      <c r="AR24" s="231"/>
      <c r="AS24" s="231"/>
      <c r="AT24" s="231"/>
      <c r="AU24" s="1513"/>
      <c r="AV24" s="231"/>
      <c r="AW24" s="231"/>
      <c r="AX24" s="231"/>
      <c r="AY24" s="231"/>
      <c r="AZ24" s="1513"/>
      <c r="BA24" s="231"/>
      <c r="BB24" s="231"/>
      <c r="BC24" s="231"/>
      <c r="BD24" s="231"/>
      <c r="BE24" s="1513"/>
      <c r="BF24" s="231"/>
      <c r="BG24" s="231"/>
      <c r="BH24" s="903"/>
      <c r="BI24" s="81"/>
      <c r="BJ24" s="1514"/>
      <c r="BK24" s="81"/>
      <c r="BL24" s="81"/>
      <c r="BM24" s="81"/>
      <c r="BN24" s="81"/>
      <c r="BO24" s="1514"/>
      <c r="BP24" s="1513"/>
      <c r="BQ24" s="1513"/>
      <c r="BR24" s="1514"/>
      <c r="BS24" s="81"/>
    </row>
    <row r="25" spans="1:71" ht="15">
      <c r="A25" s="74" t="s">
        <v>282</v>
      </c>
      <c r="B25" s="1012"/>
      <c r="C25" s="1185"/>
      <c r="D25" s="1185"/>
      <c r="E25" s="1185"/>
      <c r="F25" s="1185"/>
      <c r="G25" s="1185"/>
      <c r="H25" s="1185"/>
      <c r="I25" s="1185"/>
      <c r="J25" s="1185"/>
      <c r="K25" s="1185"/>
      <c r="L25" s="1185"/>
      <c r="M25" s="1185"/>
      <c r="N25" s="1185"/>
      <c r="O25" s="1185"/>
      <c r="P25" s="1185"/>
      <c r="Q25" s="1185"/>
      <c r="R25" s="1185"/>
      <c r="S25" s="1185"/>
      <c r="T25" s="1185"/>
      <c r="U25" s="1185"/>
      <c r="V25" s="1185"/>
      <c r="W25" s="1185"/>
      <c r="X25" s="1185"/>
      <c r="Y25" s="1185"/>
      <c r="Z25" s="1185"/>
      <c r="AA25" s="1185"/>
      <c r="AB25" s="1185"/>
      <c r="AC25" s="1185"/>
      <c r="AD25" s="1185"/>
      <c r="AE25" s="1185"/>
      <c r="AF25" s="1185"/>
      <c r="AG25" s="1185"/>
      <c r="AH25" s="1185"/>
      <c r="AI25" s="1185"/>
      <c r="AJ25" s="1185"/>
      <c r="AK25" s="1185"/>
      <c r="AL25" s="1185"/>
      <c r="AM25" s="1185"/>
      <c r="AN25" s="1185"/>
      <c r="AO25" s="1185"/>
      <c r="AP25" s="1185"/>
      <c r="AQ25" s="1185"/>
      <c r="AR25" s="1185"/>
      <c r="AS25" s="1185"/>
      <c r="AT25" s="1185"/>
      <c r="AU25" s="1185"/>
      <c r="AV25" s="1185"/>
      <c r="AW25" s="1185"/>
      <c r="AX25" s="1185"/>
      <c r="AY25" s="1185"/>
      <c r="AZ25" s="1185"/>
      <c r="BA25" s="1185"/>
      <c r="BB25" s="1185"/>
      <c r="BC25" s="1185"/>
      <c r="BD25" s="1185"/>
      <c r="BE25" s="1185"/>
      <c r="BF25" s="1185"/>
      <c r="BG25" s="1185"/>
      <c r="BH25" s="1186"/>
      <c r="BI25" s="1187"/>
      <c r="BJ25" s="1187"/>
      <c r="BK25" s="1187"/>
      <c r="BL25" s="1187"/>
      <c r="BM25" s="1187"/>
      <c r="BN25" s="1187"/>
      <c r="BO25" s="1187"/>
      <c r="BP25" s="1185"/>
      <c r="BQ25" s="1185"/>
      <c r="BR25" s="1187"/>
      <c r="BS25" s="1016"/>
    </row>
    <row r="26" spans="1:71" s="707" customFormat="1" ht="15">
      <c r="A26" s="131" t="str">
        <f>INDEX(MO_UR_LossRatio,0,COLUMN())</f>
        <v>Total Loss and LAE Ratio, %</v>
      </c>
      <c r="B26" s="132"/>
      <c r="C26" s="1519">
        <f t="shared" si="41" ref="C26:AU26">INDEX(MO_UR_LossRatio,0,COLUMN())</f>
        <v>0.70684659739666578</v>
      </c>
      <c r="D26" s="1519">
        <f t="shared" si="41"/>
        <v>0.70775002095733075</v>
      </c>
      <c r="E26" s="1519">
        <f t="shared" si="41"/>
        <v>0.7136108650723354</v>
      </c>
      <c r="F26" s="1519">
        <f t="shared" si="41"/>
        <v>0.74591085029341997</v>
      </c>
      <c r="G26" s="1519">
        <f t="shared" si="41"/>
        <v>0.7292351228410725</v>
      </c>
      <c r="H26" s="233">
        <f t="shared" si="41"/>
        <v>0.7282329691297732</v>
      </c>
      <c r="I26" s="233">
        <f t="shared" si="41"/>
        <v>0.72429378531073441</v>
      </c>
      <c r="J26" s="233">
        <f t="shared" si="41"/>
        <v>0.72505010902843547</v>
      </c>
      <c r="K26" s="233">
        <f t="shared" si="41"/>
        <v>0.71610083761582999</v>
      </c>
      <c r="L26" s="1519">
        <f t="shared" si="41"/>
        <v>0.7232220017936245</v>
      </c>
      <c r="M26" s="233">
        <f t="shared" si="41"/>
        <v>0.72189957782397196</v>
      </c>
      <c r="N26" s="233">
        <f t="shared" si="41"/>
        <v>0.72404820048841023</v>
      </c>
      <c r="O26" s="233">
        <f t="shared" si="41"/>
        <v>0.7206839427286712</v>
      </c>
      <c r="P26" s="233">
        <f t="shared" si="41"/>
        <v>0.71653375658098506</v>
      </c>
      <c r="Q26" s="1519">
        <f t="shared" si="41"/>
        <v>0.72073611369358415</v>
      </c>
      <c r="R26" s="233">
        <f t="shared" si="41"/>
        <v>0.73596118403731137</v>
      </c>
      <c r="S26" s="233">
        <f t="shared" si="41"/>
        <v>0.76288252004746659</v>
      </c>
      <c r="T26" s="233">
        <f t="shared" si="41"/>
        <v>0.76845930740468948</v>
      </c>
      <c r="U26" s="233">
        <f t="shared" si="41"/>
        <v>0.73662158939946176</v>
      </c>
      <c r="V26" s="1519">
        <f t="shared" si="41"/>
        <v>0.75107235027142472</v>
      </c>
      <c r="W26" s="233">
        <f t="shared" si="41"/>
        <v>0.70741865365788903</v>
      </c>
      <c r="X26" s="233">
        <f t="shared" si="41"/>
        <v>0.73098062819761445</v>
      </c>
      <c r="Y26" s="233">
        <f t="shared" si="41"/>
        <v>0.77177567237163813</v>
      </c>
      <c r="Z26" s="233">
        <f t="shared" si="41"/>
        <v>0.71271856147475132</v>
      </c>
      <c r="AA26" s="1519">
        <f t="shared" si="41"/>
        <v>0.73097835592054372</v>
      </c>
      <c r="AB26" s="233">
        <f t="shared" si="41"/>
        <v>0.67895177028157228</v>
      </c>
      <c r="AC26" s="233">
        <f t="shared" si="41"/>
        <v>0.70410783055198978</v>
      </c>
      <c r="AD26" s="233">
        <f t="shared" si="41"/>
        <v>0.69643780341718686</v>
      </c>
      <c r="AE26" s="233">
        <f t="shared" si="41"/>
        <v>0.72630756839870148</v>
      </c>
      <c r="AF26" s="1519">
        <f t="shared" si="41"/>
        <v>0.70218825666837992</v>
      </c>
      <c r="AG26" s="233">
        <f t="shared" si="41"/>
        <v>0.68074895387597822</v>
      </c>
      <c r="AH26" s="233">
        <f t="shared" si="41"/>
        <v>0.69555905583192623</v>
      </c>
      <c r="AI26" s="233">
        <f t="shared" si="41"/>
        <v>0.71306673176360946</v>
      </c>
      <c r="AJ26" s="233">
        <f t="shared" si="41"/>
        <v>0.72224299443192475</v>
      </c>
      <c r="AK26" s="1519">
        <f t="shared" si="41"/>
        <v>0.70375272156585356</v>
      </c>
      <c r="AL26" s="233">
        <f t="shared" si="41"/>
        <v>0.65267689567052278</v>
      </c>
      <c r="AM26" s="233">
        <f t="shared" si="41"/>
        <v>0.55152042783408983</v>
      </c>
      <c r="AN26" s="233">
        <f t="shared" si="41"/>
        <v>0.67309369830049648</v>
      </c>
      <c r="AO26" s="233">
        <f>INDEX(MO_UR_LossRatio,0,COLUMN())</f>
        <v>0.67903181568842585</v>
      </c>
      <c r="AP26" s="1519">
        <f>INDEX(MO_UR_LossRatio,0,COLUMN())</f>
        <v>0.63985675571041423</v>
      </c>
      <c r="AQ26" s="233">
        <f t="shared" si="41"/>
        <v>0.68237653787835173</v>
      </c>
      <c r="AR26" s="233">
        <f t="shared" si="41"/>
        <v>0.76544986022964223</v>
      </c>
      <c r="AS26" s="233">
        <f>INDEX(MO_UR_LossRatio,0,COLUMN())</f>
        <v>0.81397824862734081</v>
      </c>
      <c r="AT26" s="233">
        <f t="shared" si="41"/>
        <v>0.76370093264605998</v>
      </c>
      <c r="AU26" s="1519">
        <f t="shared" si="41"/>
        <v>0.75791267267240192</v>
      </c>
      <c r="AV26" s="233">
        <f>INDEX(MO_UR_LossRatio,0,COLUMN())</f>
        <v>0.75052741275449231</v>
      </c>
      <c r="AW26" s="233">
        <f>INDEX(MO_UR_LossRatio,0,COLUMN())</f>
        <v>0.77553321973345191</v>
      </c>
      <c r="AX26" s="233">
        <f>INDEX(MO_UR_LossRatio,0,COLUMN())</f>
        <v>0.8080313576204341</v>
      </c>
      <c r="AY26" s="233">
        <f>INDEX(MO_UR_LossRatio,0,COLUMN())</f>
        <v>0.76209130046930107</v>
      </c>
      <c r="AZ26" s="1519">
        <f>INDEX(MO_UR_LossRatio,0,COLUMN())</f>
        <v>0.77420330942381577</v>
      </c>
      <c r="BA26" s="233">
        <f t="shared" si="42" ref="BA26:BE26">INDEX(MO_UR_LossRatio,0,COLUMN())</f>
        <v>0.78503816568265949</v>
      </c>
      <c r="BB26" s="233">
        <f t="shared" si="42"/>
        <v>0.84138298166532999</v>
      </c>
      <c r="BC26" s="233">
        <f t="shared" si="42"/>
        <v>0.76458108135326941</v>
      </c>
      <c r="BD26" s="233">
        <f t="shared" si="42"/>
        <v>0.72737532176052111</v>
      </c>
      <c r="BE26" s="1519">
        <f t="shared" si="42"/>
        <v>0.77823347720252822</v>
      </c>
      <c r="BF26" s="233">
        <f t="shared" si="43" ref="BF26:BJ26">INDEX(MO_UR_LossRatio,0,COLUMN())</f>
        <v>0.67941493380231099</v>
      </c>
      <c r="BG26" s="233">
        <f t="shared" si="43"/>
        <v>0.73188064731688884</v>
      </c>
      <c r="BH26" s="849">
        <f t="shared" si="43"/>
        <v>0.68374624932364814</v>
      </c>
      <c r="BI26" s="83">
        <f t="shared" si="43"/>
        <v>0.77243021092717701</v>
      </c>
      <c r="BJ26" s="1520">
        <f t="shared" si="43"/>
        <v>0.71720262039830474</v>
      </c>
      <c r="BK26" s="83">
        <f t="shared" si="44" ref="BK26:BR26">INDEX(MO_UR_LossRatio,0,COLUMN())</f>
        <v>0.75021582200493986</v>
      </c>
      <c r="BL26" s="83">
        <f t="shared" si="44"/>
        <v>0.76267816368937347</v>
      </c>
      <c r="BM26" s="83">
        <f t="shared" si="44"/>
        <v>0.73930827366176144</v>
      </c>
      <c r="BN26" s="83">
        <f t="shared" si="44"/>
        <v>0.75151751449142734</v>
      </c>
      <c r="BO26" s="1520">
        <f t="shared" si="44"/>
        <v>0.75072666530979892</v>
      </c>
      <c r="BP26" s="1519">
        <f t="shared" si="44"/>
        <v>0.75135272144575982</v>
      </c>
      <c r="BQ26" s="1519">
        <f t="shared" si="44"/>
        <v>0.75135272144575971</v>
      </c>
      <c r="BR26" s="1520">
        <f t="shared" si="44"/>
        <v>0.75135272144575993</v>
      </c>
      <c r="BS26" s="83"/>
    </row>
    <row r="27" spans="1:71" s="707" customFormat="1" ht="15">
      <c r="A27" s="131" t="str">
        <f>INDEX(MO_UR_PAERatio,0,COLUMN())</f>
        <v>Total Policy Acquisition Expense Ratio, %</v>
      </c>
      <c r="B27" s="132"/>
      <c r="C27" s="1519">
        <f t="shared" si="45" ref="C27:AU27">INDEX(MO_UR_PAERatio,0,COLUMN())</f>
        <v>0.097381999999999996</v>
      </c>
      <c r="D27" s="1519">
        <f t="shared" si="45"/>
        <v>0.095</v>
      </c>
      <c r="E27" s="1519">
        <f t="shared" si="45"/>
        <v>0.093887999999999999</v>
      </c>
      <c r="F27" s="1519">
        <f t="shared" si="45"/>
        <v>0.089687000000000003</v>
      </c>
      <c r="G27" s="1519">
        <f t="shared" si="45"/>
        <v>0.084884000000000001</v>
      </c>
      <c r="H27" s="233">
        <f t="shared" si="45"/>
        <v>0.083820000000000006</v>
      </c>
      <c r="I27" s="233">
        <f t="shared" si="45"/>
        <v>0.083040000000000003</v>
      </c>
      <c r="J27" s="233">
        <f t="shared" si="45"/>
        <v>0.082641000000000006</v>
      </c>
      <c r="K27" s="233">
        <f t="shared" si="45"/>
        <v>0.081941</v>
      </c>
      <c r="L27" s="1519">
        <f t="shared" si="45"/>
        <v>0.082833000000000004</v>
      </c>
      <c r="M27" s="233">
        <f t="shared" si="45"/>
        <v>0.081306000000000003</v>
      </c>
      <c r="N27" s="233">
        <f t="shared" si="45"/>
        <v>0.083529999999999993</v>
      </c>
      <c r="O27" s="233">
        <f t="shared" si="45"/>
        <v>0.083461999999999995</v>
      </c>
      <c r="P27" s="233">
        <f t="shared" si="45"/>
        <v>0.083598000000000006</v>
      </c>
      <c r="Q27" s="1519">
        <f t="shared" si="45"/>
        <v>0.083008999999999999</v>
      </c>
      <c r="R27" s="233">
        <f t="shared" si="45"/>
        <v>0.082804000000000003</v>
      </c>
      <c r="S27" s="233">
        <f t="shared" si="45"/>
        <v>0.082508999999999999</v>
      </c>
      <c r="T27" s="233">
        <f t="shared" si="45"/>
        <v>0.083062999999999998</v>
      </c>
      <c r="U27" s="233">
        <f t="shared" si="45"/>
        <v>0.083319000000000004</v>
      </c>
      <c r="V27" s="1519">
        <f t="shared" si="45"/>
        <v>0.082931000000000005</v>
      </c>
      <c r="W27" s="233">
        <f t="shared" si="45"/>
        <v>0.083445000000000005</v>
      </c>
      <c r="X27" s="233">
        <f t="shared" si="45"/>
        <v>0.081447000000000006</v>
      </c>
      <c r="Y27" s="233">
        <f t="shared" si="45"/>
        <v>0.082533999999999996</v>
      </c>
      <c r="Z27" s="233">
        <f t="shared" si="45"/>
        <v>0.082926</v>
      </c>
      <c r="AA27" s="1519">
        <f t="shared" si="45"/>
        <v>0.082585000000000006</v>
      </c>
      <c r="AB27" s="233">
        <f t="shared" si="45"/>
        <v>0.083105999999999999</v>
      </c>
      <c r="AC27" s="233">
        <f t="shared" si="45"/>
        <v>0.082627999999999993</v>
      </c>
      <c r="AD27" s="233">
        <f t="shared" si="45"/>
        <v>0.083562999999999998</v>
      </c>
      <c r="AE27" s="233">
        <f t="shared" si="45"/>
        <v>0.083470000000000003</v>
      </c>
      <c r="AF27" s="1519">
        <f t="shared" si="45"/>
        <v>0.083201999999999998</v>
      </c>
      <c r="AG27" s="233">
        <f t="shared" si="45"/>
        <v>0.083997000000000002</v>
      </c>
      <c r="AH27" s="233">
        <f t="shared" si="45"/>
        <v>0.083696999999999994</v>
      </c>
      <c r="AI27" s="233">
        <f t="shared" si="45"/>
        <v>0.083387000000000003</v>
      </c>
      <c r="AJ27" s="233">
        <f t="shared" si="45"/>
        <v>0.083116999999999996</v>
      </c>
      <c r="AK27" s="1519">
        <f t="shared" si="45"/>
        <v>0.083530999999999994</v>
      </c>
      <c r="AL27" s="233">
        <f t="shared" si="45"/>
        <v>0.083005999999999996</v>
      </c>
      <c r="AM27" s="233">
        <f t="shared" si="45"/>
        <v>0.082447000000000006</v>
      </c>
      <c r="AN27" s="233">
        <f t="shared" si="45"/>
        <v>0.083741999999999997</v>
      </c>
      <c r="AO27" s="233">
        <f>INDEX(MO_UR_PAERatio,0,COLUMN())</f>
        <v>0.084211999999999995</v>
      </c>
      <c r="AP27" s="1519">
        <f>INDEX(MO_UR_PAERatio,0,COLUMN())</f>
        <v>0.083368999999999999</v>
      </c>
      <c r="AQ27" s="233">
        <f t="shared" si="45"/>
        <v>0.083914000000000002</v>
      </c>
      <c r="AR27" s="233">
        <f t="shared" si="45"/>
        <v>0.084571999999999994</v>
      </c>
      <c r="AS27" s="233">
        <f>INDEX(MO_UR_PAERatio,0,COLUMN())</f>
        <v>0.083723000000000006</v>
      </c>
      <c r="AT27" s="233">
        <f t="shared" si="45"/>
        <v>0.082585000000000006</v>
      </c>
      <c r="AU27" s="1519">
        <f t="shared" si="45"/>
        <v>0.083681000000000005</v>
      </c>
      <c r="AV27" s="233">
        <f>INDEX(MO_UR_PAERatio,0,COLUMN())</f>
        <v>0.081624000000000002</v>
      </c>
      <c r="AW27" s="233">
        <f>INDEX(MO_UR_PAERatio,0,COLUMN())</f>
        <v>0.076853000000000005</v>
      </c>
      <c r="AX27" s="233">
        <f>INDEX(MO_UR_PAERatio,0,COLUMN())</f>
        <v>0.078305</v>
      </c>
      <c r="AY27" s="233">
        <f>INDEX(MO_UR_PAERatio,0,COLUMN())</f>
        <v>0.081379000000000007</v>
      </c>
      <c r="AZ27" s="1519">
        <f>INDEX(MO_UR_PAERatio,0,COLUMN())</f>
        <v>0.079547000000000007</v>
      </c>
      <c r="BA27" s="233">
        <f t="shared" si="46" ref="BA27:BE27">INDEX(MO_UR_PAERatio,0,COLUMN())</f>
        <v>0.082449999999999996</v>
      </c>
      <c r="BB27" s="233">
        <f t="shared" si="46"/>
        <v>0.079754000000000005</v>
      </c>
      <c r="BC27" s="233">
        <f t="shared" si="46"/>
        <v>0.078768000000000005</v>
      </c>
      <c r="BD27" s="233">
        <f t="shared" si="46"/>
        <v>0.077507999999999994</v>
      </c>
      <c r="BE27" s="1519">
        <f t="shared" si="46"/>
        <v>0.079521999999999995</v>
      </c>
      <c r="BF27" s="233">
        <f t="shared" si="47" ref="BF27:BJ27">INDEX(MO_UR_PAERatio,0,COLUMN())</f>
        <v>0.076303999999999997</v>
      </c>
      <c r="BG27" s="233">
        <f t="shared" si="47"/>
        <v>0.075981000000000007</v>
      </c>
      <c r="BH27" s="849">
        <f t="shared" si="47"/>
        <v>0.075981000000000007</v>
      </c>
      <c r="BI27" s="83">
        <f t="shared" si="47"/>
        <v>0.076507999999999993</v>
      </c>
      <c r="BJ27" s="1520">
        <f t="shared" si="47"/>
        <v>0.076189999999999994</v>
      </c>
      <c r="BK27" s="83">
        <f t="shared" si="48" ref="BK27:BR27">INDEX(MO_UR_PAERatio,0,COLUMN())</f>
        <v>0.074303999999999995</v>
      </c>
      <c r="BL27" s="83">
        <f t="shared" si="48"/>
        <v>0.074981000000000006</v>
      </c>
      <c r="BM27" s="83">
        <f t="shared" si="48"/>
        <v>0.074981000000000006</v>
      </c>
      <c r="BN27" s="83">
        <f t="shared" si="48"/>
        <v>0.075507999999999992</v>
      </c>
      <c r="BO27" s="1520">
        <f t="shared" si="48"/>
        <v>0.074930999999999998</v>
      </c>
      <c r="BP27" s="1519">
        <f t="shared" si="48"/>
        <v>0.073930999999999997</v>
      </c>
      <c r="BQ27" s="1519">
        <f t="shared" si="48"/>
        <v>0.072930999999999996</v>
      </c>
      <c r="BR27" s="1520">
        <f t="shared" si="48"/>
        <v>0.071930999999999995</v>
      </c>
      <c r="BS27" s="83"/>
    </row>
    <row r="28" spans="1:71" s="707" customFormat="1" ht="15">
      <c r="A28" s="133" t="str">
        <f>INDEX(MO_UR_OOERatio,0,COLUMN())</f>
        <v>Total Other Operating Expense Ratio, %</v>
      </c>
      <c r="B28" s="134"/>
      <c r="C28" s="1521">
        <f t="shared" si="49" ref="C28:AU28">INDEX(MO_UR_OOERatio,0,COLUMN())</f>
        <v>0.111876</v>
      </c>
      <c r="D28" s="1521">
        <f t="shared" si="49"/>
        <v>0.139178</v>
      </c>
      <c r="E28" s="1521">
        <f t="shared" si="49"/>
        <v>0.14010800000000001</v>
      </c>
      <c r="F28" s="1521">
        <f t="shared" si="49"/>
        <v>0.137739</v>
      </c>
      <c r="G28" s="1521">
        <f t="shared" si="49"/>
        <v>0.13745199999999999</v>
      </c>
      <c r="H28" s="85">
        <f t="shared" si="49"/>
        <v>0.138655</v>
      </c>
      <c r="I28" s="85">
        <f t="shared" si="49"/>
        <v>0.13552700000000001</v>
      </c>
      <c r="J28" s="85">
        <f t="shared" si="49"/>
        <v>0.134182</v>
      </c>
      <c r="K28" s="85">
        <f t="shared" si="49"/>
        <v>0.128637</v>
      </c>
      <c r="L28" s="1521">
        <f t="shared" si="49"/>
        <v>0.13409199999999999</v>
      </c>
      <c r="M28" s="85">
        <f t="shared" si="49"/>
        <v>0.13938200000000001</v>
      </c>
      <c r="N28" s="85">
        <f t="shared" si="49"/>
        <v>0.13259099999999999</v>
      </c>
      <c r="O28" s="85">
        <f t="shared" si="49"/>
        <v>0.13952999999999999</v>
      </c>
      <c r="P28" s="85">
        <f t="shared" si="49"/>
        <v>0.133904</v>
      </c>
      <c r="Q28" s="1521">
        <f t="shared" si="49"/>
        <v>0.136293</v>
      </c>
      <c r="R28" s="85">
        <f t="shared" si="49"/>
        <v>0.14213700000000001</v>
      </c>
      <c r="S28" s="85">
        <f t="shared" si="49"/>
        <v>0.13786899999999999</v>
      </c>
      <c r="T28" s="85">
        <f t="shared" si="49"/>
        <v>0.12922400000000001</v>
      </c>
      <c r="U28" s="85">
        <f t="shared" si="49"/>
        <v>0.120891</v>
      </c>
      <c r="V28" s="1521">
        <f t="shared" si="49"/>
        <v>0.132242</v>
      </c>
      <c r="W28" s="85">
        <f t="shared" si="49"/>
        <v>0.14030899999999999</v>
      </c>
      <c r="X28" s="85">
        <f t="shared" si="49"/>
        <v>0.13384399999999999</v>
      </c>
      <c r="Y28" s="85">
        <f t="shared" si="49"/>
        <v>0.13412299999999999</v>
      </c>
      <c r="Z28" s="85">
        <f t="shared" si="49"/>
        <v>0.13327700000000001</v>
      </c>
      <c r="AA28" s="1521">
        <f t="shared" si="49"/>
        <v>0.13527800000000001</v>
      </c>
      <c r="AB28" s="85">
        <f t="shared" si="49"/>
        <v>0.136632</v>
      </c>
      <c r="AC28" s="85">
        <f t="shared" si="49"/>
        <v>0.137133</v>
      </c>
      <c r="AD28" s="85">
        <f t="shared" si="49"/>
        <v>0.13818800000000001</v>
      </c>
      <c r="AE28" s="85">
        <f t="shared" si="49"/>
        <v>0.130915</v>
      </c>
      <c r="AF28" s="1521">
        <f t="shared" si="49"/>
        <v>0.13564000000000001</v>
      </c>
      <c r="AG28" s="85">
        <f t="shared" si="49"/>
        <v>0.13844300000000001</v>
      </c>
      <c r="AH28" s="85">
        <f t="shared" si="49"/>
        <v>0.13955100000000001</v>
      </c>
      <c r="AI28" s="85">
        <f t="shared" si="49"/>
        <v>0.137625</v>
      </c>
      <c r="AJ28" s="85">
        <f t="shared" si="49"/>
        <v>0.13461400000000001</v>
      </c>
      <c r="AK28" s="1521">
        <f t="shared" si="49"/>
        <v>0.137463</v>
      </c>
      <c r="AL28" s="85">
        <f t="shared" si="49"/>
        <v>0.149501</v>
      </c>
      <c r="AM28" s="85">
        <f t="shared" si="49"/>
        <v>0.14913000000000001</v>
      </c>
      <c r="AN28" s="85">
        <f t="shared" si="49"/>
        <v>0.13344400000000001</v>
      </c>
      <c r="AO28" s="85">
        <f>INDEX(MO_UR_OOERatio,0,COLUMN())</f>
        <v>0.136186</v>
      </c>
      <c r="AP28" s="1521">
        <f>INDEX(MO_UR_OOERatio,0,COLUMN())</f>
        <v>0.141869</v>
      </c>
      <c r="AQ28" s="85">
        <f t="shared" si="49"/>
        <v>0.14213700000000001</v>
      </c>
      <c r="AR28" s="85">
        <f t="shared" si="49"/>
        <v>0.131166</v>
      </c>
      <c r="AS28" s="85">
        <f>INDEX(MO_UR_OOERatio,0,COLUMN())</f>
        <v>0.12181500000000001</v>
      </c>
      <c r="AT28" s="85">
        <f t="shared" si="49"/>
        <v>0.116253</v>
      </c>
      <c r="AU28" s="1521">
        <f t="shared" si="49"/>
        <v>0.12744800000000001</v>
      </c>
      <c r="AV28" s="85">
        <f>INDEX(MO_UR_OOERatio,0,COLUMN())</f>
        <v>0.12762100000000001</v>
      </c>
      <c r="AW28" s="85">
        <f>INDEX(MO_UR_OOERatio,0,COLUMN())</f>
        <v>0.117815</v>
      </c>
      <c r="AX28" s="85">
        <f>INDEX(MO_UR_OOERatio,0,COLUMN())</f>
        <v>0.120688</v>
      </c>
      <c r="AY28" s="85">
        <f>INDEX(MO_UR_OOERatio,0,COLUMN())</f>
        <v>0.110592</v>
      </c>
      <c r="AZ28" s="1521">
        <f>INDEX(MO_UR_OOERatio,0,COLUMN())</f>
        <v>0.11899800000000001</v>
      </c>
      <c r="BA28" s="85">
        <f t="shared" si="50" ref="BA28:BE28">INDEX(MO_UR_OOERatio,0,COLUMN())</f>
        <v>0.13728599999999999</v>
      </c>
      <c r="BB28" s="85">
        <f t="shared" si="50"/>
        <v>0.098981</v>
      </c>
      <c r="BC28" s="85">
        <f t="shared" si="50"/>
        <v>0.095384999999999998</v>
      </c>
      <c r="BD28" s="85">
        <f t="shared" si="50"/>
        <v>0.09708</v>
      </c>
      <c r="BE28" s="1521">
        <f t="shared" si="50"/>
        <v>0.106393</v>
      </c>
      <c r="BF28" s="85">
        <f t="shared" si="51" ref="BF28:BJ28">INDEX(MO_UR_OOERatio,0,COLUMN())</f>
        <v>0.119602</v>
      </c>
      <c r="BG28" s="85">
        <f t="shared" si="51"/>
        <v>0.126663</v>
      </c>
      <c r="BH28" s="850">
        <f t="shared" si="51"/>
        <v>0.145922</v>
      </c>
      <c r="BI28" s="85">
        <f t="shared" si="51"/>
        <v>0.093079999999999996</v>
      </c>
      <c r="BJ28" s="1521">
        <f t="shared" si="51"/>
        <v>0.121587</v>
      </c>
      <c r="BK28" s="85">
        <f t="shared" si="52" ref="BK28:BR28">INDEX(MO_UR_OOERatio,0,COLUMN())</f>
        <v>0.114602</v>
      </c>
      <c r="BL28" s="85">
        <f t="shared" si="52"/>
        <v>0.124663</v>
      </c>
      <c r="BM28" s="85">
        <f t="shared" si="52"/>
        <v>0.144922</v>
      </c>
      <c r="BN28" s="85">
        <f t="shared" si="52"/>
        <v>0.089079999999999993</v>
      </c>
      <c r="BO28" s="1521">
        <f t="shared" si="52"/>
        <v>0.118635</v>
      </c>
      <c r="BP28" s="1521">
        <f t="shared" si="52"/>
        <v>0.118635</v>
      </c>
      <c r="BQ28" s="1521">
        <f t="shared" si="52"/>
        <v>0.118635</v>
      </c>
      <c r="BR28" s="1521">
        <f t="shared" si="52"/>
        <v>0.118635</v>
      </c>
      <c r="BS28" s="83"/>
    </row>
    <row r="29" spans="1:71" s="708" customFormat="1" ht="15">
      <c r="A29" s="281" t="str">
        <f>INDEX(MO_UR_CombinedRatio,0,COLUMN())</f>
        <v>Total Combined Ratio, %</v>
      </c>
      <c r="B29" s="282"/>
      <c r="C29" s="1522">
        <f t="shared" si="53" ref="C29:AU29">INDEX(MO_UR_CombinedRatio,0,COLUMN())</f>
        <v>0.91610527517698104</v>
      </c>
      <c r="D29" s="1522">
        <f t="shared" si="53"/>
        <v>0.92430910665884236</v>
      </c>
      <c r="E29" s="1522">
        <f t="shared" si="53"/>
        <v>0.92972461550849506</v>
      </c>
      <c r="F29" s="1522">
        <f t="shared" si="53"/>
        <v>0.95574353851916616</v>
      </c>
      <c r="G29" s="1522">
        <f t="shared" si="53"/>
        <v>0.93451009740753288</v>
      </c>
      <c r="H29" s="284">
        <f t="shared" si="53"/>
        <v>0.93417077436794416</v>
      </c>
      <c r="I29" s="284">
        <f t="shared" si="53"/>
        <v>0.92637642627672556</v>
      </c>
      <c r="J29" s="284">
        <f t="shared" si="53"/>
        <v>0.92515583357194775</v>
      </c>
      <c r="K29" s="284">
        <f t="shared" si="53"/>
        <v>0.90927851737951715</v>
      </c>
      <c r="L29" s="1522">
        <f t="shared" si="53"/>
        <v>0.92334701198467273</v>
      </c>
      <c r="M29" s="284">
        <f t="shared" si="53"/>
        <v>0.92679424811949518</v>
      </c>
      <c r="N29" s="284">
        <f t="shared" si="53"/>
        <v>0.92517714880499613</v>
      </c>
      <c r="O29" s="284">
        <f t="shared" si="53"/>
        <v>0.92803612984656636</v>
      </c>
      <c r="P29" s="284">
        <f t="shared" si="53"/>
        <v>0.91969262929699602</v>
      </c>
      <c r="Q29" s="1522">
        <f t="shared" si="53"/>
        <v>0.9248609233583428</v>
      </c>
      <c r="R29" s="284">
        <f t="shared" si="53"/>
        <v>0.94606386579907475</v>
      </c>
      <c r="S29" s="284">
        <f t="shared" si="53"/>
        <v>0.96842748750404539</v>
      </c>
      <c r="T29" s="284">
        <f t="shared" si="53"/>
        <v>0.96557990005940519</v>
      </c>
      <c r="U29" s="284">
        <f t="shared" si="53"/>
        <v>0.92647409476445131</v>
      </c>
      <c r="V29" s="1522">
        <f t="shared" si="53"/>
        <v>0.95145056509744586</v>
      </c>
      <c r="W29" s="284">
        <f t="shared" si="53"/>
        <v>0.9170358571025603</v>
      </c>
      <c r="X29" s="284">
        <f t="shared" si="53"/>
        <v>0.93220661143934225</v>
      </c>
      <c r="Y29" s="284">
        <f t="shared" si="53"/>
        <v>0.97371638141809291</v>
      </c>
      <c r="Z29" s="284">
        <f t="shared" si="53"/>
        <v>0.91426985494967794</v>
      </c>
      <c r="AA29" s="1522">
        <f t="shared" si="53"/>
        <v>0.93443814394925762</v>
      </c>
      <c r="AB29" s="284">
        <f t="shared" si="53"/>
        <v>0.88422079732366865</v>
      </c>
      <c r="AC29" s="284">
        <f t="shared" si="53"/>
        <v>0.90867412433522832</v>
      </c>
      <c r="AD29" s="284">
        <f t="shared" si="53"/>
        <v>0.90272996658470461</v>
      </c>
      <c r="AE29" s="284">
        <f t="shared" si="53"/>
        <v>0.924852951943963</v>
      </c>
      <c r="AF29" s="1522">
        <f t="shared" si="53"/>
        <v>0.90576498466054367</v>
      </c>
      <c r="AG29" s="284">
        <f t="shared" si="53"/>
        <v>0.88779876592827267</v>
      </c>
      <c r="AH29" s="284">
        <f t="shared" si="53"/>
        <v>0.90353213140390043</v>
      </c>
      <c r="AI29" s="284">
        <f t="shared" si="53"/>
        <v>0.91872128891946492</v>
      </c>
      <c r="AJ29" s="284">
        <f t="shared" si="53"/>
        <v>0.92377497296805677</v>
      </c>
      <c r="AK29" s="1522">
        <f t="shared" si="53"/>
        <v>0.9091715387760968</v>
      </c>
      <c r="AL29" s="284">
        <f t="shared" si="53"/>
        <v>0.86890686799495254</v>
      </c>
      <c r="AM29" s="284">
        <f t="shared" si="53"/>
        <v>0.87678005099185363</v>
      </c>
      <c r="AN29" s="284">
        <f t="shared" si="53"/>
        <v>0.87796661152052968</v>
      </c>
      <c r="AO29" s="284">
        <f>INDEX(MO_UR_CombinedRatio,0,COLUMN())</f>
        <v>0.88437426533970698</v>
      </c>
      <c r="AP29" s="1522">
        <f>INDEX(MO_UR_CombinedRatio,0,COLUMN())</f>
        <v>0.87716496525867527</v>
      </c>
      <c r="AQ29" s="284">
        <f t="shared" si="53"/>
        <v>0.89252605516208905</v>
      </c>
      <c r="AR29" s="284">
        <f t="shared" si="53"/>
        <v>0.96514391338790584</v>
      </c>
      <c r="AS29" s="284">
        <f>INDEX(MO_UR_CombinedRatio,0,COLUMN())</f>
        <v>1.0041267774179927</v>
      </c>
      <c r="AT29" s="284">
        <f t="shared" si="53"/>
        <v>0.94745461754615823</v>
      </c>
      <c r="AU29" s="1522">
        <f t="shared" si="53"/>
        <v>0.95344916574071359</v>
      </c>
      <c r="AV29" s="284">
        <f>INDEX(MO_UR_CombinedRatio,0,COLUMN())</f>
        <v>0.94503045861610246</v>
      </c>
      <c r="AW29" s="284">
        <f>INDEX(MO_UR_CombinedRatio,0,COLUMN())</f>
        <v>0.95567135060380826</v>
      </c>
      <c r="AX29" s="284">
        <f>INDEX(MO_UR_CombinedRatio,0,COLUMN())</f>
        <v>0.99239448660768304</v>
      </c>
      <c r="AY29" s="284">
        <f>INDEX(MO_UR_CombinedRatio,0,COLUMN())</f>
        <v>0.93930884691463323</v>
      </c>
      <c r="AZ29" s="1522">
        <f>INDEX(MO_UR_CombinedRatio,0,COLUMN())</f>
        <v>0.95808388097771779</v>
      </c>
      <c r="BA29" s="284">
        <f t="shared" si="54" ref="BA29:BE29">INDEX(MO_UR_CombinedRatio,0,COLUMN())</f>
        <v>0.98953676541221136</v>
      </c>
      <c r="BB29" s="284">
        <f t="shared" si="54"/>
        <v>1.004445396974641</v>
      </c>
      <c r="BC29" s="284">
        <f t="shared" si="54"/>
        <v>0.9237157838904817</v>
      </c>
      <c r="BD29" s="284">
        <f t="shared" si="54"/>
        <v>0.88722214473200334</v>
      </c>
      <c r="BE29" s="1522">
        <f t="shared" si="54"/>
        <v>0.9489929156353768</v>
      </c>
      <c r="BF29" s="284">
        <f t="shared" si="55" ref="BF29:BJ29">INDEX(MO_UR_CombinedRatio,0,COLUMN())</f>
        <v>0.86067522881240477</v>
      </c>
      <c r="BG29" s="284">
        <f t="shared" si="55"/>
        <v>0.91942822278392733</v>
      </c>
      <c r="BH29" s="851">
        <f t="shared" si="55"/>
        <v>0.89045019047150542</v>
      </c>
      <c r="BI29" s="284">
        <f t="shared" si="55"/>
        <v>0.94201821092717697</v>
      </c>
      <c r="BJ29" s="1522">
        <f t="shared" si="55"/>
        <v>0.91497946824604814</v>
      </c>
      <c r="BK29" s="284">
        <f t="shared" si="56" ref="BK29:BR29">INDEX(MO_UR_CombinedRatio,0,COLUMN())</f>
        <v>0.93912182200493988</v>
      </c>
      <c r="BL29" s="284">
        <f t="shared" si="56"/>
        <v>0.96232216368937351</v>
      </c>
      <c r="BM29" s="284">
        <f t="shared" si="56"/>
        <v>0.95921127366176151</v>
      </c>
      <c r="BN29" s="284">
        <f t="shared" si="56"/>
        <v>0.9161055144914273</v>
      </c>
      <c r="BO29" s="1522">
        <f t="shared" si="56"/>
        <v>0.94429238864844189</v>
      </c>
      <c r="BP29" s="1522">
        <f t="shared" si="56"/>
        <v>0.94391872144575983</v>
      </c>
      <c r="BQ29" s="1522">
        <f t="shared" si="56"/>
        <v>0.94291872144575972</v>
      </c>
      <c r="BR29" s="1522">
        <f t="shared" si="56"/>
        <v>0.94191872144575983</v>
      </c>
      <c r="BS29" s="87"/>
    </row>
    <row r="30" spans="1:71" s="705" customFormat="1" ht="15">
      <c r="A30" s="126"/>
      <c r="B30" s="127"/>
      <c r="C30" s="1513"/>
      <c r="D30" s="1513"/>
      <c r="E30" s="1513"/>
      <c r="F30" s="1513"/>
      <c r="G30" s="1513"/>
      <c r="H30" s="231"/>
      <c r="I30" s="231"/>
      <c r="J30" s="231"/>
      <c r="K30" s="231"/>
      <c r="L30" s="1513"/>
      <c r="M30" s="231"/>
      <c r="N30" s="231"/>
      <c r="O30" s="231"/>
      <c r="P30" s="231"/>
      <c r="Q30" s="1513"/>
      <c r="R30" s="231"/>
      <c r="S30" s="231"/>
      <c r="T30" s="231"/>
      <c r="U30" s="231"/>
      <c r="V30" s="1513"/>
      <c r="W30" s="231"/>
      <c r="X30" s="231"/>
      <c r="Y30" s="231"/>
      <c r="Z30" s="231"/>
      <c r="AA30" s="1513"/>
      <c r="AB30" s="231"/>
      <c r="AC30" s="231"/>
      <c r="AD30" s="231"/>
      <c r="AE30" s="231"/>
      <c r="AF30" s="1513"/>
      <c r="AG30" s="231"/>
      <c r="AH30" s="231"/>
      <c r="AI30" s="231"/>
      <c r="AJ30" s="231"/>
      <c r="AK30" s="1513"/>
      <c r="AL30" s="231"/>
      <c r="AM30" s="231"/>
      <c r="AN30" s="231"/>
      <c r="AO30" s="231"/>
      <c r="AP30" s="1513"/>
      <c r="AQ30" s="231"/>
      <c r="AR30" s="231"/>
      <c r="AS30" s="231"/>
      <c r="AT30" s="231"/>
      <c r="AU30" s="1513"/>
      <c r="AV30" s="231"/>
      <c r="AW30" s="231"/>
      <c r="AX30" s="231"/>
      <c r="AY30" s="231"/>
      <c r="AZ30" s="1513"/>
      <c r="BA30" s="231"/>
      <c r="BB30" s="231"/>
      <c r="BC30" s="231"/>
      <c r="BD30" s="231"/>
      <c r="BE30" s="1513"/>
      <c r="BF30" s="231"/>
      <c r="BG30" s="231"/>
      <c r="BH30" s="903"/>
      <c r="BI30" s="81"/>
      <c r="BJ30" s="1514"/>
      <c r="BK30" s="81"/>
      <c r="BL30" s="81"/>
      <c r="BM30" s="81"/>
      <c r="BN30" s="81"/>
      <c r="BO30" s="1514"/>
      <c r="BP30" s="1513"/>
      <c r="BQ30" s="1513"/>
      <c r="BR30" s="1514"/>
      <c r="BS30" s="81"/>
    </row>
    <row r="31" spans="1:71" ht="15">
      <c r="A31" s="74" t="s">
        <v>283</v>
      </c>
      <c r="B31" s="1012"/>
      <c r="C31" s="1185"/>
      <c r="D31" s="1185"/>
      <c r="E31" s="1185"/>
      <c r="F31" s="1185"/>
      <c r="G31" s="1185"/>
      <c r="H31" s="1185"/>
      <c r="I31" s="1185"/>
      <c r="J31" s="1185"/>
      <c r="K31" s="1185"/>
      <c r="L31" s="1185"/>
      <c r="M31" s="1185"/>
      <c r="N31" s="1185"/>
      <c r="O31" s="1185"/>
      <c r="P31" s="1185"/>
      <c r="Q31" s="1185"/>
      <c r="R31" s="1185"/>
      <c r="S31" s="1185"/>
      <c r="T31" s="1185"/>
      <c r="U31" s="1185"/>
      <c r="V31" s="1185"/>
      <c r="W31" s="1185"/>
      <c r="X31" s="1185"/>
      <c r="Y31" s="1185"/>
      <c r="Z31" s="1185"/>
      <c r="AA31" s="1185"/>
      <c r="AB31" s="1185"/>
      <c r="AC31" s="1185"/>
      <c r="AD31" s="1185"/>
      <c r="AE31" s="1185"/>
      <c r="AF31" s="1185"/>
      <c r="AG31" s="1185"/>
      <c r="AH31" s="1185"/>
      <c r="AI31" s="1185"/>
      <c r="AJ31" s="1185"/>
      <c r="AK31" s="1185"/>
      <c r="AL31" s="1185"/>
      <c r="AM31" s="1185"/>
      <c r="AN31" s="1185"/>
      <c r="AO31" s="1185"/>
      <c r="AP31" s="1185"/>
      <c r="AQ31" s="1185"/>
      <c r="AR31" s="1185"/>
      <c r="AS31" s="1185"/>
      <c r="AT31" s="1185"/>
      <c r="AU31" s="1185"/>
      <c r="AV31" s="1185"/>
      <c r="AW31" s="1185"/>
      <c r="AX31" s="1185"/>
      <c r="AY31" s="1185"/>
      <c r="AZ31" s="1185"/>
      <c r="BA31" s="1185"/>
      <c r="BB31" s="1185"/>
      <c r="BC31" s="1185"/>
      <c r="BD31" s="1185"/>
      <c r="BE31" s="1185"/>
      <c r="BF31" s="1185"/>
      <c r="BG31" s="1185"/>
      <c r="BH31" s="1186"/>
      <c r="BI31" s="1187"/>
      <c r="BJ31" s="1187"/>
      <c r="BK31" s="1187"/>
      <c r="BL31" s="1187"/>
      <c r="BM31" s="1187"/>
      <c r="BN31" s="1187"/>
      <c r="BO31" s="1187"/>
      <c r="BP31" s="1185"/>
      <c r="BQ31" s="1185"/>
      <c r="BR31" s="1187"/>
      <c r="BS31" s="1016"/>
    </row>
    <row r="32" spans="1:71" s="704" customFormat="1" ht="15">
      <c r="A32" s="121" t="str">
        <f>INDEX(MO_II_InvestmentBalance,0,COLUMN())</f>
        <v>Total Investments - Avg. of Period, mm</v>
      </c>
      <c r="B32" s="128"/>
      <c r="C32" s="1517">
        <f t="shared" si="57" ref="C32:AU32">INDEX(MO_II_InvestmentBalance,0,COLUMN())</f>
        <v>0</v>
      </c>
      <c r="D32" s="1517">
        <f t="shared" si="57"/>
        <v>15118.40</v>
      </c>
      <c r="E32" s="1517">
        <f t="shared" si="57"/>
        <v>15743.20</v>
      </c>
      <c r="F32" s="1517">
        <f t="shared" si="57"/>
        <v>16219.25</v>
      </c>
      <c r="G32" s="1517">
        <f t="shared" si="57"/>
        <v>17265.099999999999</v>
      </c>
      <c r="H32" s="1196">
        <f t="shared" si="57"/>
        <v>17725.199999999997</v>
      </c>
      <c r="I32" s="1196">
        <f t="shared" si="57"/>
        <v>18077.449999999997</v>
      </c>
      <c r="J32" s="1196">
        <f t="shared" si="57"/>
        <v>18921.199999999997</v>
      </c>
      <c r="K32" s="1196">
        <f t="shared" si="57"/>
        <v>19050.60</v>
      </c>
      <c r="L32" s="1517">
        <f t="shared" si="57"/>
        <v>18448.552191780818</v>
      </c>
      <c r="M32" s="1196">
        <f t="shared" si="57"/>
        <v>19424.300000000003</v>
      </c>
      <c r="N32" s="1196">
        <f t="shared" si="57"/>
        <v>20204</v>
      </c>
      <c r="O32" s="1196">
        <f t="shared" si="57"/>
        <v>20795.50</v>
      </c>
      <c r="P32" s="1196">
        <f t="shared" si="57"/>
        <v>20975.449999999997</v>
      </c>
      <c r="Q32" s="1517">
        <f t="shared" si="57"/>
        <v>20355.283287671231</v>
      </c>
      <c r="R32" s="1196">
        <f t="shared" si="57"/>
        <v>21133.900000000001</v>
      </c>
      <c r="S32" s="1196">
        <f t="shared" si="57"/>
        <v>21855.150000000001</v>
      </c>
      <c r="T32" s="1196">
        <f t="shared" si="57"/>
        <v>22950.50</v>
      </c>
      <c r="U32" s="1196">
        <f t="shared" si="57"/>
        <v>23501.900000000001</v>
      </c>
      <c r="V32" s="1517">
        <f t="shared" si="57"/>
        <v>22365.09385245902</v>
      </c>
      <c r="W32" s="1196">
        <f t="shared" si="57"/>
        <v>23892.800000000003</v>
      </c>
      <c r="X32" s="1196">
        <f t="shared" si="57"/>
        <v>25140.700000000001</v>
      </c>
      <c r="Y32" s="1196">
        <f t="shared" si="57"/>
        <v>26486.549999999999</v>
      </c>
      <c r="Z32" s="1196">
        <f t="shared" si="57"/>
        <v>27134.699999999997</v>
      </c>
      <c r="AA32" s="1517">
        <f t="shared" si="57"/>
        <v>25674.82383561644</v>
      </c>
      <c r="AB32" s="1196">
        <f t="shared" si="57"/>
        <v>28263.150000000001</v>
      </c>
      <c r="AC32" s="1196">
        <f t="shared" si="57"/>
        <v>30086.40</v>
      </c>
      <c r="AD32" s="1196">
        <f t="shared" si="57"/>
        <v>31635.899999999998</v>
      </c>
      <c r="AE32" s="1196">
        <f t="shared" si="57"/>
        <v>32959</v>
      </c>
      <c r="AF32" s="1517">
        <f t="shared" si="57"/>
        <v>30751.443013698627</v>
      </c>
      <c r="AG32" s="1196">
        <f t="shared" si="57"/>
        <v>34039.949999999997</v>
      </c>
      <c r="AH32" s="1196">
        <f t="shared" si="57"/>
        <v>35663.550000000003</v>
      </c>
      <c r="AI32" s="1196">
        <f t="shared" si="57"/>
        <v>37694.150000000009</v>
      </c>
      <c r="AJ32" s="1196">
        <f t="shared" si="57"/>
        <v>38914</v>
      </c>
      <c r="AK32" s="1517">
        <f t="shared" si="57"/>
        <v>36594.32424657535</v>
      </c>
      <c r="AL32" s="1196">
        <f t="shared" si="57"/>
        <v>39798.300000000003</v>
      </c>
      <c r="AM32" s="1196">
        <f t="shared" si="57"/>
        <v>42060.099999999999</v>
      </c>
      <c r="AN32" s="1196">
        <f t="shared" si="57"/>
        <v>44771.099999999999</v>
      </c>
      <c r="AO32" s="1196">
        <f>INDEX(MO_II_InvestmentBalance,0,COLUMN())</f>
        <v>46647.300000000003</v>
      </c>
      <c r="AP32" s="1517">
        <f>INDEX(MO_II_InvestmentBalance,0,COLUMN())</f>
        <v>43332.260109289615</v>
      </c>
      <c r="AQ32" s="1196">
        <f t="shared" si="57"/>
        <v>47465.449999999997</v>
      </c>
      <c r="AR32" s="1196">
        <f t="shared" si="57"/>
        <v>49171.699999999997</v>
      </c>
      <c r="AS32" s="1196">
        <f>INDEX(MO_II_InvestmentBalance,0,COLUMN())</f>
        <v>51615.099999999991</v>
      </c>
      <c r="AT32" s="1196">
        <f t="shared" si="57"/>
        <v>51900.75</v>
      </c>
      <c r="AU32" s="1517">
        <f t="shared" si="57"/>
        <v>50054.721643835612</v>
      </c>
      <c r="AV32" s="1196">
        <f>INDEX(MO_II_InvestmentBalance,0,COLUMN())</f>
        <v>52350.25</v>
      </c>
      <c r="AW32" s="1196">
        <f>INDEX(MO_II_InvestmentBalance,0,COLUMN())</f>
        <v>52557.949999999997</v>
      </c>
      <c r="AX32" s="1196">
        <f>INDEX(MO_II_InvestmentBalance,0,COLUMN())</f>
        <v>52129.949999999997</v>
      </c>
      <c r="AY32" s="1196">
        <f>INDEX(MO_II_InvestmentBalance,0,COLUMN())</f>
        <v>52939.349999999991</v>
      </c>
      <c r="AZ32" s="1517">
        <f>INDEX(MO_II_InvestmentBalance,0,COLUMN())</f>
        <v>52494.990547945199</v>
      </c>
      <c r="BA32" s="1196">
        <f t="shared" si="58" ref="BA32:BE32">INDEX(MO_II_InvestmentBalance,0,COLUMN())</f>
        <v>55117.349999999991</v>
      </c>
      <c r="BB32" s="1196">
        <f t="shared" si="58"/>
        <v>57975.999999999993</v>
      </c>
      <c r="BC32" s="1196">
        <f t="shared" si="58"/>
        <v>60568.050000000003</v>
      </c>
      <c r="BD32" s="1196">
        <f t="shared" si="58"/>
        <v>63934.550000000003</v>
      </c>
      <c r="BE32" s="1517">
        <f t="shared" si="58"/>
        <v>59426.347123287669</v>
      </c>
      <c r="BF32" s="1196">
        <f t="shared" si="59" ref="BF32:BJ32">INDEX(MO_II_InvestmentBalance,0,COLUMN())</f>
        <v>67518.300000000003</v>
      </c>
      <c r="BG32" s="1196">
        <f t="shared" si="59"/>
        <v>70696.75</v>
      </c>
      <c r="BH32" s="1197">
        <f t="shared" si="59"/>
        <v>75877.600000000006</v>
      </c>
      <c r="BI32" s="1198">
        <f t="shared" si="59"/>
        <v>75954.332500000004</v>
      </c>
      <c r="BJ32" s="1518">
        <f t="shared" si="59"/>
        <v>72530.347923497262</v>
      </c>
      <c r="BK32" s="1198">
        <f t="shared" si="60" ref="BK32:BR32">INDEX(MO_II_InvestmentBalance,0,COLUMN())</f>
        <v>72499.432499999995</v>
      </c>
      <c r="BL32" s="1198">
        <f t="shared" si="60"/>
        <v>74231.587500000009</v>
      </c>
      <c r="BM32" s="1198">
        <f t="shared" si="60"/>
        <v>79671.48000000001</v>
      </c>
      <c r="BN32" s="1198">
        <f t="shared" si="60"/>
        <v>79752.04912499999</v>
      </c>
      <c r="BO32" s="1518">
        <f t="shared" si="60"/>
        <v>76567.090594520545</v>
      </c>
      <c r="BP32" s="1517">
        <f t="shared" si="60"/>
        <v>78037.773581250018</v>
      </c>
      <c r="BQ32" s="1517">
        <f t="shared" si="60"/>
        <v>81939.662260312514</v>
      </c>
      <c r="BR32" s="1518">
        <f t="shared" si="60"/>
        <v>86036.645373328138</v>
      </c>
      <c r="BS32" s="1016"/>
    </row>
    <row r="33" spans="1:71" s="702" customFormat="1" ht="15">
      <c r="A33" s="122"/>
      <c r="B33" s="123"/>
      <c r="C33" s="1515"/>
      <c r="D33" s="1515"/>
      <c r="E33" s="1515"/>
      <c r="F33" s="1515"/>
      <c r="G33" s="1515"/>
      <c r="H33" s="1189"/>
      <c r="I33" s="1189"/>
      <c r="J33" s="1189"/>
      <c r="K33" s="1189"/>
      <c r="L33" s="1515"/>
      <c r="M33" s="1189"/>
      <c r="N33" s="1189"/>
      <c r="O33" s="1189"/>
      <c r="P33" s="1189"/>
      <c r="Q33" s="1515"/>
      <c r="R33" s="1189"/>
      <c r="S33" s="1189"/>
      <c r="T33" s="1189"/>
      <c r="U33" s="1189"/>
      <c r="V33" s="1515"/>
      <c r="W33" s="1189"/>
      <c r="X33" s="1189"/>
      <c r="Y33" s="1189"/>
      <c r="Z33" s="1189"/>
      <c r="AA33" s="1515"/>
      <c r="AB33" s="1189"/>
      <c r="AC33" s="1189"/>
      <c r="AD33" s="1189"/>
      <c r="AE33" s="1189"/>
      <c r="AF33" s="1515"/>
      <c r="AG33" s="1189"/>
      <c r="AH33" s="1189"/>
      <c r="AI33" s="1189"/>
      <c r="AJ33" s="1189"/>
      <c r="AK33" s="1515"/>
      <c r="AL33" s="1189"/>
      <c r="AM33" s="1189"/>
      <c r="AN33" s="1189"/>
      <c r="AO33" s="1189"/>
      <c r="AP33" s="1515"/>
      <c r="AQ33" s="1189"/>
      <c r="AR33" s="1189"/>
      <c r="AS33" s="1189"/>
      <c r="AT33" s="1189"/>
      <c r="AU33" s="1515"/>
      <c r="AV33" s="1189"/>
      <c r="AW33" s="1189"/>
      <c r="AX33" s="1189"/>
      <c r="AY33" s="1189"/>
      <c r="AZ33" s="1515"/>
      <c r="BA33" s="1189"/>
      <c r="BB33" s="1189"/>
      <c r="BC33" s="1189"/>
      <c r="BD33" s="1189"/>
      <c r="BE33" s="1515"/>
      <c r="BF33" s="1189"/>
      <c r="BG33" s="1189"/>
      <c r="BH33" s="1190"/>
      <c r="BI33" s="1191"/>
      <c r="BJ33" s="1516"/>
      <c r="BK33" s="1191"/>
      <c r="BL33" s="1191"/>
      <c r="BM33" s="1191"/>
      <c r="BN33" s="1191"/>
      <c r="BO33" s="1516"/>
      <c r="BP33" s="1515"/>
      <c r="BQ33" s="1515"/>
      <c r="BR33" s="1516"/>
      <c r="BS33" s="1015"/>
    </row>
    <row r="34" spans="1:71" s="704" customFormat="1" ht="15">
      <c r="A34" s="121" t="str">
        <f>INDEX(MO_II_NetII,0,COLUMN())</f>
        <v>Net Investment Income, mm</v>
      </c>
      <c r="B34" s="128"/>
      <c r="C34" s="1517">
        <f t="shared" si="61" ref="C34:AU34">INDEX(MO_II_NetII,0,COLUMN())</f>
        <v>495.90</v>
      </c>
      <c r="D34" s="1517">
        <f t="shared" si="61"/>
        <v>508.20000000000005</v>
      </c>
      <c r="E34" s="1517">
        <f t="shared" si="61"/>
        <v>466.50</v>
      </c>
      <c r="F34" s="1517">
        <f t="shared" si="61"/>
        <v>427.60</v>
      </c>
      <c r="G34" s="1517">
        <f t="shared" si="61"/>
        <v>403.19999999999993</v>
      </c>
      <c r="H34" s="1196">
        <f t="shared" si="61"/>
        <v>99.20</v>
      </c>
      <c r="I34" s="1196">
        <f t="shared" si="61"/>
        <v>93.20</v>
      </c>
      <c r="J34" s="1196">
        <f t="shared" si="61"/>
        <v>97.800000000000011</v>
      </c>
      <c r="K34" s="1196">
        <f t="shared" si="61"/>
        <v>99.299999999999983</v>
      </c>
      <c r="L34" s="1517">
        <f t="shared" si="61"/>
        <v>389.50000000000006</v>
      </c>
      <c r="M34" s="1196">
        <f t="shared" si="61"/>
        <v>99.80</v>
      </c>
      <c r="N34" s="1196">
        <f t="shared" si="61"/>
        <v>107.60000000000001</v>
      </c>
      <c r="O34" s="1196">
        <f t="shared" si="61"/>
        <v>112.60000000000001</v>
      </c>
      <c r="P34" s="1196">
        <f t="shared" si="61"/>
        <v>111.80000000000001</v>
      </c>
      <c r="Q34" s="1517">
        <f t="shared" si="61"/>
        <v>431.79999999999995</v>
      </c>
      <c r="R34" s="1196">
        <f t="shared" si="61"/>
        <v>113.99999999999999</v>
      </c>
      <c r="S34" s="1196">
        <f t="shared" si="61"/>
        <v>109.30000000000003</v>
      </c>
      <c r="T34" s="1196">
        <f t="shared" si="61"/>
        <v>114.49999999999999</v>
      </c>
      <c r="U34" s="1196">
        <f t="shared" si="61"/>
        <v>118.69999999999999</v>
      </c>
      <c r="V34" s="1517">
        <f t="shared" si="61"/>
        <v>456.50</v>
      </c>
      <c r="W34" s="1196">
        <f t="shared" si="61"/>
        <v>123.60000000000002</v>
      </c>
      <c r="X34" s="1196">
        <f t="shared" si="61"/>
        <v>132.19999999999999</v>
      </c>
      <c r="Y34" s="1196">
        <f t="shared" si="61"/>
        <v>137.09999999999999</v>
      </c>
      <c r="Z34" s="1196">
        <f t="shared" si="61"/>
        <v>146.30000000000001</v>
      </c>
      <c r="AA34" s="1517">
        <f t="shared" si="61"/>
        <v>539.20000000000005</v>
      </c>
      <c r="AB34" s="1196">
        <f t="shared" si="61"/>
        <v>160.30000000000001</v>
      </c>
      <c r="AC34" s="1196">
        <f t="shared" si="61"/>
        <v>185.90</v>
      </c>
      <c r="AD34" s="1196">
        <f t="shared" si="61"/>
        <v>212.29999999999998</v>
      </c>
      <c r="AE34" s="1196">
        <f t="shared" si="61"/>
        <v>237.70000000000005</v>
      </c>
      <c r="AF34" s="1517">
        <f t="shared" si="61"/>
        <v>796.20</v>
      </c>
      <c r="AG34" s="1196">
        <f t="shared" si="61"/>
        <v>246.69999999999996</v>
      </c>
      <c r="AH34" s="1196">
        <f t="shared" si="61"/>
        <v>255.10000000000002</v>
      </c>
      <c r="AI34" s="1196">
        <f t="shared" si="61"/>
        <v>257.10000000000002</v>
      </c>
      <c r="AJ34" s="1196">
        <f t="shared" si="61"/>
        <v>258.49999999999994</v>
      </c>
      <c r="AK34" s="1517">
        <f t="shared" si="61"/>
        <v>1017.40</v>
      </c>
      <c r="AL34" s="1196">
        <f t="shared" si="61"/>
        <v>235.89999999999998</v>
      </c>
      <c r="AM34" s="1196">
        <f t="shared" si="61"/>
        <v>239.30</v>
      </c>
      <c r="AN34" s="1196">
        <f t="shared" si="61"/>
        <v>225.80000000000004</v>
      </c>
      <c r="AO34" s="1196">
        <f>INDEX(MO_II_NetII,0,COLUMN())</f>
        <v>215.60000000000002</v>
      </c>
      <c r="AP34" s="1517">
        <f>INDEX(MO_II_NetII,0,COLUMN())</f>
        <v>916.59999999999991</v>
      </c>
      <c r="AQ34" s="1196">
        <f t="shared" si="61"/>
        <v>214.60</v>
      </c>
      <c r="AR34" s="1196">
        <f t="shared" si="61"/>
        <v>204.39999999999998</v>
      </c>
      <c r="AS34" s="1196">
        <f>INDEX(MO_II_NetII,0,COLUMN())</f>
        <v>202.30000000000004</v>
      </c>
      <c r="AT34" s="1196">
        <f t="shared" si="61"/>
        <v>214.10000000000002</v>
      </c>
      <c r="AU34" s="1517">
        <f t="shared" si="61"/>
        <v>835.40000000000009</v>
      </c>
      <c r="AV34" s="1196">
        <f>INDEX(MO_II_NetII,0,COLUMN())</f>
        <v>236.50</v>
      </c>
      <c r="AW34" s="1196">
        <f>INDEX(MO_II_NetII,0,COLUMN())</f>
        <v>286.50000000000006</v>
      </c>
      <c r="AX34" s="1196">
        <f>INDEX(MO_II_NetII,0,COLUMN())</f>
        <v>327.80</v>
      </c>
      <c r="AY34" s="1196">
        <f>INDEX(MO_II_NetII,0,COLUMN())</f>
        <v>385.2000000000001</v>
      </c>
      <c r="AZ34" s="1517">
        <f>INDEX(MO_II_NetII,0,COLUMN())</f>
        <v>1236</v>
      </c>
      <c r="BA34" s="1196">
        <f t="shared" si="62" ref="BA34:BE34">INDEX(MO_II_NetII,0,COLUMN())</f>
        <v>414.10</v>
      </c>
      <c r="BB34" s="1196">
        <f t="shared" si="62"/>
        <v>448.40</v>
      </c>
      <c r="BC34" s="1196">
        <f t="shared" si="62"/>
        <v>503</v>
      </c>
      <c r="BD34" s="1196">
        <f t="shared" si="62"/>
        <v>500.09999999999991</v>
      </c>
      <c r="BE34" s="1517">
        <f t="shared" si="62"/>
        <v>1865.60</v>
      </c>
      <c r="BF34" s="1196">
        <f t="shared" si="63" ref="BF34:BJ34">INDEX(MO_II_NetII,0,COLUMN())</f>
        <v>611.90</v>
      </c>
      <c r="BG34" s="1196">
        <f t="shared" si="63"/>
        <v>677.70</v>
      </c>
      <c r="BH34" s="1197">
        <f t="shared" si="63"/>
        <v>732.29999999999984</v>
      </c>
      <c r="BI34" s="1198">
        <f t="shared" si="63"/>
        <v>514.89836442622959</v>
      </c>
      <c r="BJ34" s="1518">
        <f t="shared" si="63"/>
        <v>2536.7983644262295</v>
      </c>
      <c r="BK34" s="1198">
        <f t="shared" si="64" ref="BK34:BR34">INDEX(MO_II_NetII,0,COLUMN())</f>
        <v>481.69805363013711</v>
      </c>
      <c r="BL34" s="1198">
        <f t="shared" si="64"/>
        <v>499.4175200958905</v>
      </c>
      <c r="BM34" s="1198">
        <f t="shared" si="64"/>
        <v>542.32387290410963</v>
      </c>
      <c r="BN34" s="1198">
        <f t="shared" si="64"/>
        <v>542.12449712054797</v>
      </c>
      <c r="BO34" s="1518">
        <f t="shared" si="64"/>
        <v>2065.5639437506852</v>
      </c>
      <c r="BP34" s="1517">
        <f t="shared" si="64"/>
        <v>2101.4412255375005</v>
      </c>
      <c r="BQ34" s="1517">
        <f t="shared" si="64"/>
        <v>2206.5132868143751</v>
      </c>
      <c r="BR34" s="1518">
        <f t="shared" si="64"/>
        <v>2316.838951155094</v>
      </c>
      <c r="BS34" s="1016"/>
    </row>
    <row r="35" spans="1:71" s="702" customFormat="1" ht="15">
      <c r="A35" s="122"/>
      <c r="B35" s="123"/>
      <c r="C35" s="1515"/>
      <c r="D35" s="1515"/>
      <c r="E35" s="1515"/>
      <c r="F35" s="1515"/>
      <c r="G35" s="1515"/>
      <c r="H35" s="1189"/>
      <c r="I35" s="1189"/>
      <c r="J35" s="1189"/>
      <c r="K35" s="1189"/>
      <c r="L35" s="1515"/>
      <c r="M35" s="1189"/>
      <c r="N35" s="1189"/>
      <c r="O35" s="1189"/>
      <c r="P35" s="1189"/>
      <c r="Q35" s="1515"/>
      <c r="R35" s="1189"/>
      <c r="S35" s="1189"/>
      <c r="T35" s="1189"/>
      <c r="U35" s="1189"/>
      <c r="V35" s="1515"/>
      <c r="W35" s="1189"/>
      <c r="X35" s="1189"/>
      <c r="Y35" s="1189"/>
      <c r="Z35" s="1189"/>
      <c r="AA35" s="1515"/>
      <c r="AB35" s="1189"/>
      <c r="AC35" s="1189"/>
      <c r="AD35" s="1189"/>
      <c r="AE35" s="1189"/>
      <c r="AF35" s="1515"/>
      <c r="AG35" s="1189"/>
      <c r="AH35" s="1189"/>
      <c r="AI35" s="1189"/>
      <c r="AJ35" s="1189"/>
      <c r="AK35" s="1515"/>
      <c r="AL35" s="1189"/>
      <c r="AM35" s="1189"/>
      <c r="AN35" s="1189"/>
      <c r="AO35" s="1189"/>
      <c r="AP35" s="1515"/>
      <c r="AQ35" s="1189"/>
      <c r="AR35" s="1189"/>
      <c r="AS35" s="1189"/>
      <c r="AT35" s="1189"/>
      <c r="AU35" s="1515"/>
      <c r="AV35" s="1189"/>
      <c r="AW35" s="1189"/>
      <c r="AX35" s="1189"/>
      <c r="AY35" s="1189"/>
      <c r="AZ35" s="1515"/>
      <c r="BA35" s="1189"/>
      <c r="BB35" s="1189"/>
      <c r="BC35" s="1189"/>
      <c r="BD35" s="1189"/>
      <c r="BE35" s="1515"/>
      <c r="BF35" s="1189"/>
      <c r="BG35" s="1189"/>
      <c r="BH35" s="1190"/>
      <c r="BI35" s="1191"/>
      <c r="BJ35" s="1516"/>
      <c r="BK35" s="1191"/>
      <c r="BL35" s="1191"/>
      <c r="BM35" s="1191"/>
      <c r="BN35" s="1191"/>
      <c r="BO35" s="1516"/>
      <c r="BP35" s="1515"/>
      <c r="BQ35" s="1515"/>
      <c r="BR35" s="1516"/>
      <c r="BS35" s="1015"/>
    </row>
    <row r="36" spans="1:71" s="704" customFormat="1" ht="15">
      <c r="A36" s="121" t="str">
        <f>INDEX(MO_II_NetIG,0,COLUMN())</f>
        <v>Net Investment Gains, mm</v>
      </c>
      <c r="B36" s="128"/>
      <c r="C36" s="1517">
        <f t="shared" si="65" ref="C36:AU36">INDEX(MO_II_NetIG,0,COLUMN())</f>
        <v>27.100000000000009</v>
      </c>
      <c r="D36" s="1517">
        <f t="shared" si="65"/>
        <v>96.10</v>
      </c>
      <c r="E36" s="1517">
        <f t="shared" si="65"/>
        <v>102.59999999999999</v>
      </c>
      <c r="F36" s="1517">
        <f t="shared" si="65"/>
        <v>306.80</v>
      </c>
      <c r="G36" s="1517">
        <f t="shared" si="65"/>
        <v>318.39999999999998</v>
      </c>
      <c r="H36" s="1196">
        <f t="shared" si="65"/>
        <v>119.40000000000001</v>
      </c>
      <c r="I36" s="1196">
        <f t="shared" si="65"/>
        <v>40.40</v>
      </c>
      <c r="J36" s="1196">
        <f t="shared" si="65"/>
        <v>38.199999999999996</v>
      </c>
      <c r="K36" s="1196">
        <f t="shared" si="65"/>
        <v>26.20</v>
      </c>
      <c r="L36" s="1517">
        <f t="shared" si="65"/>
        <v>224.20</v>
      </c>
      <c r="M36" s="1196">
        <f t="shared" si="65"/>
        <v>33</v>
      </c>
      <c r="N36" s="1196">
        <f t="shared" si="65"/>
        <v>76</v>
      </c>
      <c r="O36" s="1196">
        <f t="shared" si="65"/>
        <v>-15.80</v>
      </c>
      <c r="P36" s="1196">
        <f t="shared" si="65"/>
        <v>19.499999999999986</v>
      </c>
      <c r="Q36" s="1517">
        <f t="shared" si="65"/>
        <v>112.70</v>
      </c>
      <c r="R36" s="1196">
        <f t="shared" si="65"/>
        <v>17.40</v>
      </c>
      <c r="S36" s="1196">
        <f t="shared" si="65"/>
        <v>32.299999999999997</v>
      </c>
      <c r="T36" s="1196">
        <f t="shared" si="65"/>
        <v>-20.700000000000003</v>
      </c>
      <c r="U36" s="1196">
        <f t="shared" si="65"/>
        <v>22.100000000000005</v>
      </c>
      <c r="V36" s="1517">
        <f t="shared" si="65"/>
        <v>51.100000000000009</v>
      </c>
      <c r="W36" s="1196">
        <f t="shared" si="65"/>
        <v>51.90</v>
      </c>
      <c r="X36" s="1196">
        <f t="shared" si="65"/>
        <v>32.099999999999994</v>
      </c>
      <c r="Y36" s="1196">
        <f t="shared" si="65"/>
        <v>-24.70</v>
      </c>
      <c r="Z36" s="1196">
        <f t="shared" si="65"/>
        <v>-9.6999999999999993</v>
      </c>
      <c r="AA36" s="1517">
        <f t="shared" si="65"/>
        <v>49.599999999999994</v>
      </c>
      <c r="AB36" s="1196">
        <f t="shared" si="65"/>
        <v>-48.199999999999989</v>
      </c>
      <c r="AC36" s="1196">
        <f t="shared" si="65"/>
        <v>32.799999999999997</v>
      </c>
      <c r="AD36" s="1196">
        <f t="shared" si="65"/>
        <v>182.10</v>
      </c>
      <c r="AE36" s="1196">
        <f t="shared" si="65"/>
        <v>-572.20000000000005</v>
      </c>
      <c r="AF36" s="1517">
        <f t="shared" si="65"/>
        <v>-405.50</v>
      </c>
      <c r="AG36" s="1196">
        <f t="shared" si="65"/>
        <v>414.50</v>
      </c>
      <c r="AH36" s="1196">
        <f t="shared" si="65"/>
        <v>179.90</v>
      </c>
      <c r="AI36" s="1196">
        <f t="shared" si="65"/>
        <v>65.400000000000006</v>
      </c>
      <c r="AJ36" s="1196">
        <f t="shared" si="65"/>
        <v>369.40</v>
      </c>
      <c r="AK36" s="1517">
        <f t="shared" si="65"/>
        <v>1029.20</v>
      </c>
      <c r="AL36" s="1196">
        <f t="shared" si="65"/>
        <v>-553.59999999999991</v>
      </c>
      <c r="AM36" s="1196">
        <f t="shared" si="65"/>
        <v>890.80</v>
      </c>
      <c r="AN36" s="1196">
        <f t="shared" si="65"/>
        <v>532.60</v>
      </c>
      <c r="AO36" s="1196">
        <f>INDEX(MO_II_NetIG,0,COLUMN())</f>
        <v>760.20</v>
      </c>
      <c r="AP36" s="1517">
        <f>INDEX(MO_II_NetIG,0,COLUMN())</f>
        <v>1630</v>
      </c>
      <c r="AQ36" s="1196">
        <f t="shared" si="65"/>
        <v>585.29999999999995</v>
      </c>
      <c r="AR36" s="1196">
        <f t="shared" si="65"/>
        <v>461.79999999999995</v>
      </c>
      <c r="AS36" s="1196">
        <f>INDEX(MO_II_NetIG,0,COLUMN())</f>
        <v>36.799999999999997</v>
      </c>
      <c r="AT36" s="1196">
        <f t="shared" si="65"/>
        <v>425.29999999999995</v>
      </c>
      <c r="AU36" s="1517">
        <f t="shared" si="65"/>
        <v>1509.1999999999998</v>
      </c>
      <c r="AV36" s="1196">
        <f>INDEX(MO_II_NetIG,0,COLUMN())</f>
        <v>-445.30</v>
      </c>
      <c r="AW36" s="1196">
        <f>INDEX(MO_II_NetIG,0,COLUMN())</f>
        <v>-1177.7000000000003</v>
      </c>
      <c r="AX36" s="1196">
        <f>INDEX(MO_II_NetIG,0,COLUMN())</f>
        <v>-216.39999999999998</v>
      </c>
      <c r="AY36" s="1196">
        <f>INDEX(MO_II_NetIG,0,COLUMN())</f>
        <v>-72.799999999999727</v>
      </c>
      <c r="AZ36" s="1517">
        <f>INDEX(MO_II_NetIG,0,COLUMN())</f>
        <v>-1912.1999999999998</v>
      </c>
      <c r="BA36" s="1196">
        <f t="shared" si="66" ref="BA36:BE36">INDEX(MO_II_NetIG,0,COLUMN())</f>
        <v>71.800000000000011</v>
      </c>
      <c r="BB36" s="1196">
        <f t="shared" si="66"/>
        <v>126.90000000000001</v>
      </c>
      <c r="BC36" s="1196">
        <f t="shared" si="66"/>
        <v>-149</v>
      </c>
      <c r="BD36" s="1196">
        <f t="shared" si="66"/>
        <v>303.40000000000003</v>
      </c>
      <c r="BE36" s="1517">
        <f t="shared" si="66"/>
        <v>353.10</v>
      </c>
      <c r="BF36" s="1196">
        <f t="shared" si="67" ref="BF36:BJ36">INDEX(MO_II_NetIG,0,COLUMN())</f>
        <v>155.60000000000002</v>
      </c>
      <c r="BG36" s="1196">
        <f t="shared" si="67"/>
        <v>-126.30000000000001</v>
      </c>
      <c r="BH36" s="1197">
        <f t="shared" si="67"/>
        <v>287.39999999999998</v>
      </c>
      <c r="BI36" s="1198">
        <f t="shared" si="67"/>
        <v>381.84691748633884</v>
      </c>
      <c r="BJ36" s="1518">
        <f t="shared" si="67"/>
        <v>698.54691748633877</v>
      </c>
      <c r="BK36" s="1198">
        <f t="shared" si="68" ref="BK36:BR36">INDEX(MO_II_NetIG,0,COLUMN())</f>
        <v>554.17374431506846</v>
      </c>
      <c r="BL36" s="1198">
        <f t="shared" si="68"/>
        <v>370.14106643835623</v>
      </c>
      <c r="BM36" s="1198">
        <f t="shared" si="68"/>
        <v>401.63157041095894</v>
      </c>
      <c r="BN36" s="1198">
        <f t="shared" si="68"/>
        <v>402.03772709589038</v>
      </c>
      <c r="BO36" s="1518">
        <f t="shared" si="68"/>
        <v>1727.9841082602741</v>
      </c>
      <c r="BP36" s="1517">
        <f t="shared" si="68"/>
        <v>1560.7554716250004</v>
      </c>
      <c r="BQ36" s="1517">
        <f t="shared" si="68"/>
        <v>1638.7932452062503</v>
      </c>
      <c r="BR36" s="1518">
        <f t="shared" si="68"/>
        <v>1720.7329074665629</v>
      </c>
      <c r="BS36" s="1016"/>
    </row>
    <row r="37" spans="1:71" s="708" customFormat="1" ht="15">
      <c r="A37" s="135"/>
      <c r="B37" s="136"/>
      <c r="C37" s="1523"/>
      <c r="D37" s="1523"/>
      <c r="E37" s="1523"/>
      <c r="F37" s="1523"/>
      <c r="G37" s="1523"/>
      <c r="H37" s="235"/>
      <c r="I37" s="235"/>
      <c r="J37" s="235"/>
      <c r="K37" s="235"/>
      <c r="L37" s="1523"/>
      <c r="M37" s="235"/>
      <c r="N37" s="235"/>
      <c r="O37" s="235"/>
      <c r="P37" s="235"/>
      <c r="Q37" s="1523"/>
      <c r="R37" s="235"/>
      <c r="S37" s="235"/>
      <c r="T37" s="235"/>
      <c r="U37" s="235"/>
      <c r="V37" s="1523"/>
      <c r="W37" s="235"/>
      <c r="X37" s="235"/>
      <c r="Y37" s="235"/>
      <c r="Z37" s="235"/>
      <c r="AA37" s="1523"/>
      <c r="AB37" s="235"/>
      <c r="AC37" s="235"/>
      <c r="AD37" s="235"/>
      <c r="AE37" s="235"/>
      <c r="AF37" s="1523"/>
      <c r="AG37" s="235"/>
      <c r="AH37" s="235"/>
      <c r="AI37" s="235"/>
      <c r="AJ37" s="235"/>
      <c r="AK37" s="1523"/>
      <c r="AL37" s="235"/>
      <c r="AM37" s="235"/>
      <c r="AN37" s="235"/>
      <c r="AO37" s="235"/>
      <c r="AP37" s="1523"/>
      <c r="AQ37" s="235"/>
      <c r="AR37" s="235"/>
      <c r="AS37" s="235"/>
      <c r="AT37" s="235"/>
      <c r="AU37" s="1523"/>
      <c r="AV37" s="235"/>
      <c r="AW37" s="235"/>
      <c r="AX37" s="235"/>
      <c r="AY37" s="235"/>
      <c r="AZ37" s="1523"/>
      <c r="BA37" s="235"/>
      <c r="BB37" s="235"/>
      <c r="BC37" s="235"/>
      <c r="BD37" s="235"/>
      <c r="BE37" s="1523"/>
      <c r="BF37" s="235"/>
      <c r="BG37" s="235"/>
      <c r="BH37" s="928"/>
      <c r="BI37" s="87"/>
      <c r="BJ37" s="1524"/>
      <c r="BK37" s="87"/>
      <c r="BL37" s="87"/>
      <c r="BM37" s="87"/>
      <c r="BN37" s="87"/>
      <c r="BO37" s="1524"/>
      <c r="BP37" s="1523"/>
      <c r="BQ37" s="1523"/>
      <c r="BR37" s="1524"/>
      <c r="BS37" s="87"/>
    </row>
    <row r="38" spans="1:71" ht="15">
      <c r="A38" s="74" t="s">
        <v>84</v>
      </c>
      <c r="B38" s="1012"/>
      <c r="C38" s="1185"/>
      <c r="D38" s="1185"/>
      <c r="E38" s="1185"/>
      <c r="F38" s="1185"/>
      <c r="G38" s="1185"/>
      <c r="H38" s="1185"/>
      <c r="I38" s="1185"/>
      <c r="J38" s="1185"/>
      <c r="K38" s="1185"/>
      <c r="L38" s="1185"/>
      <c r="M38" s="1185"/>
      <c r="N38" s="1185"/>
      <c r="O38" s="1185"/>
      <c r="P38" s="1185"/>
      <c r="Q38" s="1185"/>
      <c r="R38" s="1185"/>
      <c r="S38" s="1185"/>
      <c r="T38" s="1185"/>
      <c r="U38" s="1185"/>
      <c r="V38" s="1185"/>
      <c r="W38" s="1185"/>
      <c r="X38" s="1185"/>
      <c r="Y38" s="1185"/>
      <c r="Z38" s="1185"/>
      <c r="AA38" s="1185"/>
      <c r="AB38" s="1185"/>
      <c r="AC38" s="1185"/>
      <c r="AD38" s="1185"/>
      <c r="AE38" s="1185"/>
      <c r="AF38" s="1185"/>
      <c r="AG38" s="1185"/>
      <c r="AH38" s="1185"/>
      <c r="AI38" s="1185"/>
      <c r="AJ38" s="1185"/>
      <c r="AK38" s="1185"/>
      <c r="AL38" s="1185"/>
      <c r="AM38" s="1185"/>
      <c r="AN38" s="1185"/>
      <c r="AO38" s="1185"/>
      <c r="AP38" s="1185"/>
      <c r="AQ38" s="1185"/>
      <c r="AR38" s="1185"/>
      <c r="AS38" s="1185"/>
      <c r="AT38" s="1185"/>
      <c r="AU38" s="1185"/>
      <c r="AV38" s="1185"/>
      <c r="AW38" s="1185"/>
      <c r="AX38" s="1185"/>
      <c r="AY38" s="1185"/>
      <c r="AZ38" s="1185"/>
      <c r="BA38" s="1185"/>
      <c r="BB38" s="1185"/>
      <c r="BC38" s="1185"/>
      <c r="BD38" s="1185"/>
      <c r="BE38" s="1185"/>
      <c r="BF38" s="1185"/>
      <c r="BG38" s="1185"/>
      <c r="BH38" s="1186"/>
      <c r="BI38" s="1187"/>
      <c r="BJ38" s="1187"/>
      <c r="BK38" s="1187"/>
      <c r="BL38" s="1187"/>
      <c r="BM38" s="1187"/>
      <c r="BN38" s="1187"/>
      <c r="BO38" s="1187"/>
      <c r="BP38" s="1185"/>
      <c r="BQ38" s="1185"/>
      <c r="BR38" s="1187"/>
      <c r="BS38" s="1016"/>
    </row>
    <row r="39" spans="1:71" s="702" customFormat="1" ht="15" customHeight="1">
      <c r="A39" s="122" t="str">
        <f>Model!A465</f>
        <v>Service Revenues, mm</v>
      </c>
      <c r="B39" s="123"/>
      <c r="C39" s="1515">
        <f>Model!C465</f>
        <v>16.70</v>
      </c>
      <c r="D39" s="1515">
        <f>Model!D465</f>
        <v>25.90</v>
      </c>
      <c r="E39" s="1515">
        <f>Model!E465</f>
        <v>22.80</v>
      </c>
      <c r="F39" s="1515">
        <f>Model!F465</f>
        <v>36.10</v>
      </c>
      <c r="G39" s="1515">
        <f>Model!G465</f>
        <v>39.60</v>
      </c>
      <c r="H39" s="1189">
        <f>Model!H465</f>
        <v>9.8000000000000007</v>
      </c>
      <c r="I39" s="1189">
        <f>Model!I465</f>
        <v>14</v>
      </c>
      <c r="J39" s="1189">
        <f>Model!J465</f>
        <v>15</v>
      </c>
      <c r="K39" s="1189">
        <f>Model!K465</f>
        <v>17.200000000000003</v>
      </c>
      <c r="L39" s="1515">
        <f>Model!L465</f>
        <v>56</v>
      </c>
      <c r="M39" s="1189">
        <f>Model!M465</f>
        <v>17.20</v>
      </c>
      <c r="N39" s="1189">
        <f>Model!N465</f>
        <v>23.30</v>
      </c>
      <c r="O39" s="1189">
        <f>Model!O465</f>
        <v>23.10</v>
      </c>
      <c r="P39" s="1189">
        <f>Model!P465</f>
        <v>22.699999999999996</v>
      </c>
      <c r="Q39" s="1515">
        <f>Model!Q465</f>
        <v>86.30</v>
      </c>
      <c r="R39" s="1189">
        <f>Model!R465</f>
        <v>25</v>
      </c>
      <c r="S39" s="1189">
        <f>Model!S465</f>
        <v>26.50</v>
      </c>
      <c r="T39" s="1189">
        <f>Model!T465</f>
        <v>26.20</v>
      </c>
      <c r="U39" s="1189">
        <f>Model!U465</f>
        <v>25.599999999999994</v>
      </c>
      <c r="V39" s="1515">
        <f>Model!V465</f>
        <v>103.30</v>
      </c>
      <c r="W39" s="1189">
        <f>Model!W465</f>
        <v>28.50</v>
      </c>
      <c r="X39" s="1189">
        <f>Model!X465</f>
        <v>32.700000000000003</v>
      </c>
      <c r="Y39" s="1189">
        <f>Model!Y465</f>
        <v>33.299999999999997</v>
      </c>
      <c r="Z39" s="1189">
        <f>Model!Z465</f>
        <v>32.299999999999997</v>
      </c>
      <c r="AA39" s="1515">
        <f>Model!AA465</f>
        <v>126.80</v>
      </c>
      <c r="AB39" s="1189">
        <f>Model!AB465</f>
        <v>34.200000000000003</v>
      </c>
      <c r="AC39" s="1189">
        <f>Model!AC465</f>
        <v>42.90</v>
      </c>
      <c r="AD39" s="1189">
        <f>Model!AD465</f>
        <v>42.50</v>
      </c>
      <c r="AE39" s="1189">
        <f>Model!AE465</f>
        <v>38.900000000000006</v>
      </c>
      <c r="AF39" s="1515">
        <f>Model!AF465</f>
        <v>158.50</v>
      </c>
      <c r="AG39" s="1189">
        <f>Model!AG465</f>
        <v>42.60</v>
      </c>
      <c r="AH39" s="1189">
        <f>Model!AH465</f>
        <v>50</v>
      </c>
      <c r="AI39" s="1189">
        <f>Model!AI465</f>
        <v>51.50</v>
      </c>
      <c r="AJ39" s="1189">
        <f>Model!AJ465</f>
        <v>50.900000000000006</v>
      </c>
      <c r="AK39" s="1515">
        <f>Model!AK465</f>
        <v>195</v>
      </c>
      <c r="AL39" s="1189">
        <f>Model!AL465</f>
        <v>51.60</v>
      </c>
      <c r="AM39" s="1189">
        <f>Model!AM465</f>
        <v>59</v>
      </c>
      <c r="AN39" s="1189">
        <f>Model!AN465</f>
        <v>58.80</v>
      </c>
      <c r="AO39" s="1189">
        <f>Model!AO465</f>
        <v>57.000000000000028</v>
      </c>
      <c r="AP39" s="1515">
        <f>Model!AP465</f>
        <v>226.40</v>
      </c>
      <c r="AQ39" s="1189">
        <f>Model!AQ465</f>
        <v>53.80</v>
      </c>
      <c r="AR39" s="1189">
        <f>Model!AR465</f>
        <v>74.500000000000014</v>
      </c>
      <c r="AS39" s="1189">
        <f>Model!AS465</f>
        <v>73.80</v>
      </c>
      <c r="AT39" s="1189">
        <f>Model!AT465</f>
        <v>69.299999999999955</v>
      </c>
      <c r="AU39" s="1515">
        <f>Model!AU465</f>
        <v>271.39999999999998</v>
      </c>
      <c r="AV39" s="1189">
        <f>Model!AV465</f>
        <v>67.70</v>
      </c>
      <c r="AW39" s="1189">
        <f>Model!AW465</f>
        <v>80.100000000000009</v>
      </c>
      <c r="AX39" s="1189">
        <f>Model!AX465</f>
        <v>82.70</v>
      </c>
      <c r="AY39" s="1189">
        <f>Model!AY465</f>
        <v>68.800000000000011</v>
      </c>
      <c r="AZ39" s="1515">
        <f>Model!AZ465</f>
        <v>299.30</v>
      </c>
      <c r="BA39" s="1189">
        <f>Model!BA465</f>
        <v>72.50</v>
      </c>
      <c r="BB39" s="1189">
        <f>Model!BB465</f>
        <v>81</v>
      </c>
      <c r="BC39" s="1189">
        <f>Model!BC465</f>
        <v>81.400000000000006</v>
      </c>
      <c r="BD39" s="1189">
        <f>Model!BD465</f>
        <v>75.200000000000017</v>
      </c>
      <c r="BE39" s="1515">
        <f>Model!BE465</f>
        <v>310.10000000000002</v>
      </c>
      <c r="BF39" s="1189">
        <f>Model!BF465</f>
        <v>84.20</v>
      </c>
      <c r="BG39" s="1189">
        <f>Model!BG465</f>
        <v>106.30</v>
      </c>
      <c r="BH39" s="1190">
        <f>Model!BH465</f>
        <v>117.30</v>
      </c>
      <c r="BI39" s="1191">
        <f>Model!BI465</f>
        <v>78.960000000000022</v>
      </c>
      <c r="BJ39" s="1516">
        <f>Model!BJ465</f>
        <v>386.76000000000005</v>
      </c>
      <c r="BK39" s="1191">
        <f>Model!BK465</f>
        <v>88.410000000000011</v>
      </c>
      <c r="BL39" s="1191">
        <f>Model!BL465</f>
        <v>111.61499999999999</v>
      </c>
      <c r="BM39" s="1191">
        <f>Model!BM465</f>
        <v>123.16500000000001</v>
      </c>
      <c r="BN39" s="1191">
        <f>Model!BN465</f>
        <v>82.90800000000003</v>
      </c>
      <c r="BO39" s="1516">
        <f>Model!BO465</f>
        <v>406.09800000000001</v>
      </c>
      <c r="BP39" s="1515">
        <f>Model!BP465</f>
        <v>426.40290000000005</v>
      </c>
      <c r="BQ39" s="1515">
        <f>Model!BQ465</f>
        <v>447.72304500000007</v>
      </c>
      <c r="BR39" s="1516">
        <f>Model!BR465</f>
        <v>470.10919725000008</v>
      </c>
      <c r="BS39" s="1015"/>
    </row>
    <row r="40" spans="1:71" s="702" customFormat="1" ht="15" customHeight="1">
      <c r="A40" s="122" t="str">
        <f>Model!A467</f>
        <v>Fees and Other Revenue, mm</v>
      </c>
      <c r="B40" s="123"/>
      <c r="C40" s="1515">
        <f>Model!C467</f>
        <v>0</v>
      </c>
      <c r="D40" s="1515">
        <f>Model!D467</f>
        <v>252.20</v>
      </c>
      <c r="E40" s="1515">
        <f>Model!E467</f>
        <v>266.50</v>
      </c>
      <c r="F40" s="1515">
        <f>Model!F467</f>
        <v>281.80</v>
      </c>
      <c r="G40" s="1515">
        <f>Model!G467</f>
        <v>291.80</v>
      </c>
      <c r="H40" s="1189">
        <f>Model!H467</f>
        <v>72.80</v>
      </c>
      <c r="I40" s="1189">
        <f>Model!I467</f>
        <v>74.400000000000006</v>
      </c>
      <c r="J40" s="1189">
        <f>Model!J467</f>
        <v>75.900000000000006</v>
      </c>
      <c r="K40" s="1189">
        <f>Model!K467</f>
        <v>86.000000000000028</v>
      </c>
      <c r="L40" s="1515">
        <f>Model!L467</f>
        <v>309.10000000000002</v>
      </c>
      <c r="M40" s="1189">
        <f>Model!M467</f>
        <v>73.70</v>
      </c>
      <c r="N40" s="1189">
        <f>Model!N467</f>
        <v>74.900000000000006</v>
      </c>
      <c r="O40" s="1189">
        <f>Model!O467</f>
        <v>79.30</v>
      </c>
      <c r="P40" s="1189">
        <f>Model!P467</f>
        <v>74.099999999999966</v>
      </c>
      <c r="Q40" s="1515">
        <f>Model!Q467</f>
        <v>302</v>
      </c>
      <c r="R40" s="1189">
        <f>Model!R467</f>
        <v>78.900000000000006</v>
      </c>
      <c r="S40" s="1189">
        <f>Model!S467</f>
        <v>82.50</v>
      </c>
      <c r="T40" s="1189">
        <f>Model!T467</f>
        <v>86.80</v>
      </c>
      <c r="U40" s="1189">
        <f>Model!U467</f>
        <v>84.300000000000011</v>
      </c>
      <c r="V40" s="1515">
        <f>Model!V467</f>
        <v>332.50</v>
      </c>
      <c r="W40" s="1189">
        <f>Model!W467</f>
        <v>85.20</v>
      </c>
      <c r="X40" s="1189">
        <f>Model!X467</f>
        <v>88.80</v>
      </c>
      <c r="Y40" s="1189">
        <f>Model!Y467</f>
        <v>96.30</v>
      </c>
      <c r="Z40" s="1189">
        <f>Model!Z467</f>
        <v>100.30000000000001</v>
      </c>
      <c r="AA40" s="1515">
        <f>Model!AA467</f>
        <v>370.60</v>
      </c>
      <c r="AB40" s="1189">
        <f>Model!AB467</f>
        <v>103.80</v>
      </c>
      <c r="AC40" s="1189">
        <f>Model!AC467</f>
        <v>116</v>
      </c>
      <c r="AD40" s="1189">
        <f>Model!AD467</f>
        <v>122.59999999999999</v>
      </c>
      <c r="AE40" s="1189">
        <f>Model!AE467</f>
        <v>129.80000000000001</v>
      </c>
      <c r="AF40" s="1515">
        <f>Model!AF467</f>
        <v>472.20</v>
      </c>
      <c r="AG40" s="1189">
        <f>Model!AG467</f>
        <v>130.19999999999999</v>
      </c>
      <c r="AH40" s="1189">
        <f>Model!AH467</f>
        <v>134.80000000000001</v>
      </c>
      <c r="AI40" s="1189">
        <f>Model!AI467</f>
        <v>138.40000000000001</v>
      </c>
      <c r="AJ40" s="1189">
        <f>Model!AJ467</f>
        <v>160.30000000000007</v>
      </c>
      <c r="AK40" s="1515">
        <f>Model!AK467</f>
        <v>563.70000000000005</v>
      </c>
      <c r="AL40" s="1189">
        <f>Model!AL467</f>
        <v>153.50</v>
      </c>
      <c r="AM40" s="1189">
        <f>Model!AM467</f>
        <v>129.50</v>
      </c>
      <c r="AN40" s="1189">
        <f>Model!AN467</f>
        <v>151.80000000000001</v>
      </c>
      <c r="AO40" s="1189">
        <f>Model!AO467</f>
        <v>168.70</v>
      </c>
      <c r="AP40" s="1515">
        <f>Model!AP467</f>
        <v>603.50</v>
      </c>
      <c r="AQ40" s="1189">
        <f>Model!AQ467</f>
        <v>165.70</v>
      </c>
      <c r="AR40" s="1189">
        <f>Model!AR467</f>
        <v>176.20</v>
      </c>
      <c r="AS40" s="1189">
        <f>Model!AS467</f>
        <v>174.90</v>
      </c>
      <c r="AT40" s="1189">
        <f>Model!AT467</f>
        <v>175</v>
      </c>
      <c r="AU40" s="1515">
        <f>Model!AU467</f>
        <v>691.80</v>
      </c>
      <c r="AV40" s="1189">
        <f>Model!AV467</f>
        <v>174</v>
      </c>
      <c r="AW40" s="1189">
        <f>Model!AW467</f>
        <v>176.50</v>
      </c>
      <c r="AX40" s="1189">
        <f>Model!AX467</f>
        <v>181.40</v>
      </c>
      <c r="AY40" s="1189">
        <f>Model!AY467</f>
        <v>190.20000000000005</v>
      </c>
      <c r="AZ40" s="1515">
        <f>Model!AZ467</f>
        <v>722.10</v>
      </c>
      <c r="BA40" s="1189">
        <f>Model!BA467</f>
        <v>206.20</v>
      </c>
      <c r="BB40" s="1189">
        <f>Model!BB467</f>
        <v>226.70</v>
      </c>
      <c r="BC40" s="1189">
        <f>Model!BC467</f>
        <v>223.70</v>
      </c>
      <c r="BD40" s="1189">
        <f>Model!BD467</f>
        <v>232.50000000000011</v>
      </c>
      <c r="BE40" s="1515">
        <f>Model!BE467</f>
        <v>889.10</v>
      </c>
      <c r="BF40" s="1189">
        <f>Model!BF467</f>
        <v>236.50</v>
      </c>
      <c r="BG40" s="1189">
        <f>Model!BG467</f>
        <v>259.80</v>
      </c>
      <c r="BH40" s="1190">
        <f>Model!BH467</f>
        <v>278.09999999999991</v>
      </c>
      <c r="BI40" s="1191">
        <f>Model!BI467</f>
        <v>244.12500000000014</v>
      </c>
      <c r="BJ40" s="1516">
        <f>Model!BJ467</f>
        <v>1018.525</v>
      </c>
      <c r="BK40" s="1191">
        <f>Model!BK467</f>
        <v>248.32500000000002</v>
      </c>
      <c r="BL40" s="1191">
        <f>Model!BL467</f>
        <v>272.79000000000002</v>
      </c>
      <c r="BM40" s="1191">
        <f>Model!BM467</f>
        <v>292.00499999999994</v>
      </c>
      <c r="BN40" s="1191">
        <f>Model!BN467</f>
        <v>256.33125000000018</v>
      </c>
      <c r="BO40" s="1516">
        <f>Model!BO467</f>
        <v>1069.4512500000001</v>
      </c>
      <c r="BP40" s="1515">
        <f>Model!BP467</f>
        <v>1122.9238125000002</v>
      </c>
      <c r="BQ40" s="1515">
        <f>Model!BQ467</f>
        <v>1179.0700031250003</v>
      </c>
      <c r="BR40" s="1516">
        <f>Model!BR467</f>
        <v>1238.0235032812504</v>
      </c>
      <c r="BS40" s="1015"/>
    </row>
    <row r="41" spans="1:71" s="702" customFormat="1" ht="15" customHeight="1">
      <c r="A41" s="741" t="str">
        <f>Model!A469</f>
        <v>Gains (Losses) on Extinguishment of Debt, mm</v>
      </c>
      <c r="B41" s="129"/>
      <c r="C41" s="1511">
        <f>Model!C469</f>
        <v>0</v>
      </c>
      <c r="D41" s="1511">
        <f>Model!D469</f>
        <v>6.40</v>
      </c>
      <c r="E41" s="1511">
        <f>Model!E469</f>
        <v>-0.10000000000000001</v>
      </c>
      <c r="F41" s="1511">
        <f>Model!F469</f>
        <v>-1.80</v>
      </c>
      <c r="G41" s="1511">
        <f>Model!G469</f>
        <v>-4.30</v>
      </c>
      <c r="H41" s="1193">
        <f>Model!H469</f>
        <v>0</v>
      </c>
      <c r="I41" s="1193">
        <f>Model!I469</f>
        <v>0</v>
      </c>
      <c r="J41" s="1193">
        <f>Model!J469</f>
        <v>-4.80</v>
      </c>
      <c r="K41" s="1193">
        <f>Model!K469</f>
        <v>0</v>
      </c>
      <c r="L41" s="1511">
        <f>Model!L469</f>
        <v>-4.80</v>
      </c>
      <c r="M41" s="1193">
        <f>Model!M469</f>
        <v>0</v>
      </c>
      <c r="N41" s="1193">
        <f>Model!N469</f>
        <v>0</v>
      </c>
      <c r="O41" s="1193">
        <f>Model!O469</f>
        <v>-0.90</v>
      </c>
      <c r="P41" s="1193">
        <f>Model!P469</f>
        <v>0</v>
      </c>
      <c r="Q41" s="1511">
        <f>Model!Q469</f>
        <v>-0.90</v>
      </c>
      <c r="R41" s="1193">
        <f>Model!R469</f>
        <v>0</v>
      </c>
      <c r="S41" s="1193">
        <f>Model!S469</f>
        <v>1.60</v>
      </c>
      <c r="T41" s="1193">
        <f>Model!T469</f>
        <v>0</v>
      </c>
      <c r="U41" s="1193">
        <f>Model!U469</f>
        <v>0</v>
      </c>
      <c r="V41" s="1511">
        <f>Model!V469</f>
        <v>1.60</v>
      </c>
      <c r="W41" s="1193">
        <f>Model!W469</f>
        <v>0.20</v>
      </c>
      <c r="X41" s="1193">
        <f>Model!X469</f>
        <v>0</v>
      </c>
      <c r="Y41" s="1193">
        <f>Model!Y469</f>
        <v>0</v>
      </c>
      <c r="Z41" s="1193">
        <f>Model!Z469</f>
        <v>-1.20</v>
      </c>
      <c r="AA41" s="1511">
        <f>Model!AA469</f>
        <v>-1</v>
      </c>
      <c r="AB41" s="1193">
        <f>Model!AB469</f>
        <v>0</v>
      </c>
      <c r="AC41" s="1193">
        <f>Model!AC469</f>
        <v>0</v>
      </c>
      <c r="AD41" s="1193">
        <f>Model!AD469</f>
        <v>0</v>
      </c>
      <c r="AE41" s="1193">
        <f>Model!AE469</f>
        <v>0</v>
      </c>
      <c r="AF41" s="1511">
        <f>Model!AF469</f>
        <v>0</v>
      </c>
      <c r="AG41" s="1193">
        <f>Model!AG469</f>
        <v>0</v>
      </c>
      <c r="AH41" s="1193">
        <f>Model!AH469</f>
        <v>0</v>
      </c>
      <c r="AI41" s="1193">
        <f>Model!AI469</f>
        <v>0</v>
      </c>
      <c r="AJ41" s="1193">
        <f>Model!AJ469</f>
        <v>0</v>
      </c>
      <c r="AK41" s="1511">
        <f>Model!AK469</f>
        <v>0</v>
      </c>
      <c r="AL41" s="1193">
        <f>Model!AL469</f>
        <v>0</v>
      </c>
      <c r="AM41" s="1193">
        <f>Model!AM469</f>
        <v>0</v>
      </c>
      <c r="AN41" s="1193">
        <f>Model!AN469</f>
        <v>0</v>
      </c>
      <c r="AO41" s="1193">
        <f>Model!AO469</f>
        <v>0</v>
      </c>
      <c r="AP41" s="1511">
        <f>Model!AP469</f>
        <v>0</v>
      </c>
      <c r="AQ41" s="1193">
        <f>Model!AQ469</f>
        <v>0</v>
      </c>
      <c r="AR41" s="1193">
        <f>Model!AR469</f>
        <v>0</v>
      </c>
      <c r="AS41" s="1193">
        <f>Model!AS469</f>
        <v>0</v>
      </c>
      <c r="AT41" s="1193">
        <f>Model!AT469</f>
        <v>0</v>
      </c>
      <c r="AU41" s="1511">
        <f>Model!AU469</f>
        <v>0</v>
      </c>
      <c r="AV41" s="1193">
        <f>Model!AV469</f>
        <v>0</v>
      </c>
      <c r="AW41" s="1193">
        <f>Model!AW469</f>
        <v>0</v>
      </c>
      <c r="AX41" s="1193">
        <f>Model!AX469</f>
        <v>0</v>
      </c>
      <c r="AY41" s="1193">
        <f>Model!AY469</f>
        <v>0</v>
      </c>
      <c r="AZ41" s="1511">
        <f>Model!AZ469</f>
        <v>0</v>
      </c>
      <c r="BA41" s="1193">
        <f>Model!BA469</f>
        <v>0</v>
      </c>
      <c r="BB41" s="1193">
        <f>Model!BB469</f>
        <v>0</v>
      </c>
      <c r="BC41" s="1193">
        <f>Model!BC469</f>
        <v>0</v>
      </c>
      <c r="BD41" s="1193">
        <f>Model!BD469</f>
        <v>0</v>
      </c>
      <c r="BE41" s="1511">
        <f>Model!BE469</f>
        <v>0</v>
      </c>
      <c r="BF41" s="1193">
        <f>Model!BF469</f>
        <v>0</v>
      </c>
      <c r="BG41" s="1193">
        <f>Model!BG469</f>
        <v>0</v>
      </c>
      <c r="BH41" s="1194">
        <f>Model!BH469</f>
        <v>0</v>
      </c>
      <c r="BI41" s="1193">
        <f>Model!BI469</f>
        <v>0</v>
      </c>
      <c r="BJ41" s="1511">
        <f>Model!BJ469</f>
        <v>0</v>
      </c>
      <c r="BK41" s="1193">
        <f>Model!BK469</f>
        <v>0</v>
      </c>
      <c r="BL41" s="1193">
        <f>Model!BL469</f>
        <v>0</v>
      </c>
      <c r="BM41" s="1193">
        <f>Model!BM469</f>
        <v>0</v>
      </c>
      <c r="BN41" s="1193">
        <f>Model!BN469</f>
        <v>0</v>
      </c>
      <c r="BO41" s="1511">
        <f>Model!BO469</f>
        <v>0</v>
      </c>
      <c r="BP41" s="1511">
        <f>Model!BP469</f>
        <v>0</v>
      </c>
      <c r="BQ41" s="1511">
        <f>Model!BQ469</f>
        <v>0</v>
      </c>
      <c r="BR41" s="1511">
        <f>Model!BR469</f>
        <v>0</v>
      </c>
      <c r="BS41" s="1015"/>
    </row>
    <row r="42" spans="1:71" s="704" customFormat="1" ht="15" customHeight="1">
      <c r="A42" s="124" t="str">
        <f>INDEX(MO_OI_OtherIncome,0,COLUMN())</f>
        <v>Total Other Income, mm</v>
      </c>
      <c r="B42" s="125"/>
      <c r="C42" s="1512">
        <f t="shared" si="69" ref="C42:AU42">SUM(C39:C41)</f>
        <v>16.70</v>
      </c>
      <c r="D42" s="1512">
        <f t="shared" si="69"/>
        <v>284.49999999999994</v>
      </c>
      <c r="E42" s="1512">
        <f t="shared" si="69"/>
        <v>289.20</v>
      </c>
      <c r="F42" s="1512">
        <f t="shared" si="69"/>
        <v>316.10000000000002</v>
      </c>
      <c r="G42" s="1512">
        <f t="shared" si="69"/>
        <v>327.10000000000002</v>
      </c>
      <c r="H42" s="1183">
        <f t="shared" si="69"/>
        <v>82.60</v>
      </c>
      <c r="I42" s="1183">
        <f t="shared" si="69"/>
        <v>88.40</v>
      </c>
      <c r="J42" s="1183">
        <f t="shared" si="69"/>
        <v>86.10</v>
      </c>
      <c r="K42" s="1183">
        <f t="shared" si="69"/>
        <v>103.20000000000003</v>
      </c>
      <c r="L42" s="1512">
        <f t="shared" si="69"/>
        <v>360.30</v>
      </c>
      <c r="M42" s="1183">
        <f t="shared" si="69"/>
        <v>90.90</v>
      </c>
      <c r="N42" s="1183">
        <f t="shared" si="69"/>
        <v>98.20</v>
      </c>
      <c r="O42" s="1183">
        <f t="shared" si="69"/>
        <v>101.50</v>
      </c>
      <c r="P42" s="1183">
        <f t="shared" si="69"/>
        <v>96.799999999999955</v>
      </c>
      <c r="Q42" s="1512">
        <f t="shared" si="69"/>
        <v>387.40</v>
      </c>
      <c r="R42" s="1183">
        <f t="shared" si="69"/>
        <v>103.90000000000001</v>
      </c>
      <c r="S42" s="1183">
        <f t="shared" si="69"/>
        <v>110.59999999999999</v>
      </c>
      <c r="T42" s="1183">
        <f t="shared" si="69"/>
        <v>113</v>
      </c>
      <c r="U42" s="1183">
        <f t="shared" si="69"/>
        <v>109.90000000000001</v>
      </c>
      <c r="V42" s="1512">
        <f t="shared" si="69"/>
        <v>437.40</v>
      </c>
      <c r="W42" s="1183">
        <f t="shared" si="69"/>
        <v>113.90000000000001</v>
      </c>
      <c r="X42" s="1183">
        <f t="shared" si="69"/>
        <v>121.50</v>
      </c>
      <c r="Y42" s="1183">
        <f t="shared" si="69"/>
        <v>129.59999999999999</v>
      </c>
      <c r="Z42" s="1183">
        <f t="shared" si="69"/>
        <v>131.40000000000003</v>
      </c>
      <c r="AA42" s="1512">
        <f t="shared" si="69"/>
        <v>496.40</v>
      </c>
      <c r="AB42" s="1183">
        <f t="shared" si="69"/>
        <v>138</v>
      </c>
      <c r="AC42" s="1183">
        <f t="shared" si="69"/>
        <v>158.90000000000001</v>
      </c>
      <c r="AD42" s="1183">
        <f t="shared" si="69"/>
        <v>165.10</v>
      </c>
      <c r="AE42" s="1183">
        <f t="shared" si="69"/>
        <v>168.70000000000002</v>
      </c>
      <c r="AF42" s="1512">
        <f t="shared" si="69"/>
        <v>630.70000000000005</v>
      </c>
      <c r="AG42" s="1183">
        <f t="shared" si="69"/>
        <v>172.79999999999998</v>
      </c>
      <c r="AH42" s="1183">
        <f t="shared" si="69"/>
        <v>184.80</v>
      </c>
      <c r="AI42" s="1183">
        <f t="shared" si="69"/>
        <v>189.90</v>
      </c>
      <c r="AJ42" s="1183">
        <f t="shared" si="69"/>
        <v>211.20000000000007</v>
      </c>
      <c r="AK42" s="1512">
        <f t="shared" si="69"/>
        <v>758.70</v>
      </c>
      <c r="AL42" s="1183">
        <f t="shared" si="69"/>
        <v>205.10</v>
      </c>
      <c r="AM42" s="1183">
        <f t="shared" si="69"/>
        <v>188.50</v>
      </c>
      <c r="AN42" s="1183">
        <f t="shared" si="69"/>
        <v>210.60000000000002</v>
      </c>
      <c r="AO42" s="1183">
        <f>SUM(AO39:AO41)</f>
        <v>225.70000000000002</v>
      </c>
      <c r="AP42" s="1512">
        <f>SUM(AP39:AP41)</f>
        <v>829.90</v>
      </c>
      <c r="AQ42" s="1183">
        <f t="shared" si="69"/>
        <v>219.50</v>
      </c>
      <c r="AR42" s="1183">
        <f t="shared" si="69"/>
        <v>250.70</v>
      </c>
      <c r="AS42" s="1183">
        <f>SUM(AS39:AS41)</f>
        <v>248.70</v>
      </c>
      <c r="AT42" s="1183">
        <f t="shared" si="69"/>
        <v>244.29999999999995</v>
      </c>
      <c r="AU42" s="1512">
        <f t="shared" si="69"/>
        <v>963.20</v>
      </c>
      <c r="AV42" s="1183">
        <f>SUM(AV39:AV41)</f>
        <v>241.70</v>
      </c>
      <c r="AW42" s="1183">
        <f>SUM(AW39:AW41)</f>
        <v>256.60000000000002</v>
      </c>
      <c r="AX42" s="1183">
        <f>SUM(AX39:AX41)</f>
        <v>264.10000000000002</v>
      </c>
      <c r="AY42" s="1183">
        <f>SUM(AY39:AY41)</f>
        <v>259.00000000000006</v>
      </c>
      <c r="AZ42" s="1512">
        <f>SUM(AZ39:AZ41)</f>
        <v>1021.4000000000001</v>
      </c>
      <c r="BA42" s="1183">
        <f t="shared" si="70" ref="BA42:BE42">SUM(BA39:BA41)</f>
        <v>278.70</v>
      </c>
      <c r="BB42" s="1183">
        <f t="shared" si="70"/>
        <v>307.70</v>
      </c>
      <c r="BC42" s="1183">
        <f t="shared" si="70"/>
        <v>305.10000000000002</v>
      </c>
      <c r="BD42" s="1183">
        <f t="shared" si="70"/>
        <v>307.70000000000016</v>
      </c>
      <c r="BE42" s="1512">
        <f t="shared" si="70"/>
        <v>1199.20</v>
      </c>
      <c r="BF42" s="1183">
        <f t="shared" si="71" ref="BF42:BJ42">SUM(BF39:BF41)</f>
        <v>320.70</v>
      </c>
      <c r="BG42" s="1183">
        <f t="shared" si="71"/>
        <v>366.10</v>
      </c>
      <c r="BH42" s="1184">
        <f t="shared" si="71"/>
        <v>395.39999999999992</v>
      </c>
      <c r="BI42" s="1183">
        <f t="shared" si="71"/>
        <v>323.08500000000015</v>
      </c>
      <c r="BJ42" s="1512">
        <f t="shared" si="71"/>
        <v>1405.285</v>
      </c>
      <c r="BK42" s="1183">
        <f t="shared" si="72" ref="BK42:BR42">SUM(BK39:BK41)</f>
        <v>336.735</v>
      </c>
      <c r="BL42" s="1183">
        <f t="shared" si="72"/>
        <v>384.405</v>
      </c>
      <c r="BM42" s="1183">
        <f t="shared" si="72"/>
        <v>415.16999999999996</v>
      </c>
      <c r="BN42" s="1183">
        <f t="shared" si="72"/>
        <v>339.2392500000002</v>
      </c>
      <c r="BO42" s="1512">
        <f t="shared" si="72"/>
        <v>1475.54925</v>
      </c>
      <c r="BP42" s="1512">
        <f t="shared" si="72"/>
        <v>1549.3267125000002</v>
      </c>
      <c r="BQ42" s="1512">
        <f t="shared" si="72"/>
        <v>1626.7930481250005</v>
      </c>
      <c r="BR42" s="1512">
        <f t="shared" si="72"/>
        <v>1708.1327005312505</v>
      </c>
      <c r="BS42" s="1016"/>
    </row>
    <row r="43" spans="1:71" s="704" customFormat="1" ht="15" customHeight="1">
      <c r="A43" s="121"/>
      <c r="B43" s="128"/>
      <c r="C43" s="1517"/>
      <c r="D43" s="1517"/>
      <c r="E43" s="1517"/>
      <c r="F43" s="1517"/>
      <c r="G43" s="1517"/>
      <c r="H43" s="1196"/>
      <c r="I43" s="1196"/>
      <c r="J43" s="1196"/>
      <c r="K43" s="1196"/>
      <c r="L43" s="1517"/>
      <c r="M43" s="1196"/>
      <c r="N43" s="1196"/>
      <c r="O43" s="1196"/>
      <c r="P43" s="1196"/>
      <c r="Q43" s="1517"/>
      <c r="R43" s="1196"/>
      <c r="S43" s="1196"/>
      <c r="T43" s="1196"/>
      <c r="U43" s="1196"/>
      <c r="V43" s="1517"/>
      <c r="W43" s="1196"/>
      <c r="X43" s="1196"/>
      <c r="Y43" s="1196"/>
      <c r="Z43" s="1196"/>
      <c r="AA43" s="1517"/>
      <c r="AB43" s="1196"/>
      <c r="AC43" s="1196"/>
      <c r="AD43" s="1196"/>
      <c r="AE43" s="1196"/>
      <c r="AF43" s="1517"/>
      <c r="AG43" s="1196"/>
      <c r="AH43" s="1196"/>
      <c r="AI43" s="1196"/>
      <c r="AJ43" s="1196"/>
      <c r="AK43" s="1517"/>
      <c r="AL43" s="1196"/>
      <c r="AM43" s="1196"/>
      <c r="AN43" s="1196"/>
      <c r="AO43" s="1196"/>
      <c r="AP43" s="1517"/>
      <c r="AQ43" s="1196"/>
      <c r="AR43" s="1196"/>
      <c r="AS43" s="1196"/>
      <c r="AT43" s="1196"/>
      <c r="AU43" s="1517"/>
      <c r="AV43" s="1196"/>
      <c r="AW43" s="1196"/>
      <c r="AX43" s="1196"/>
      <c r="AY43" s="1196"/>
      <c r="AZ43" s="1517"/>
      <c r="BA43" s="1196"/>
      <c r="BB43" s="1196"/>
      <c r="BC43" s="1196"/>
      <c r="BD43" s="1196"/>
      <c r="BE43" s="1517"/>
      <c r="BF43" s="1196"/>
      <c r="BG43" s="1196"/>
      <c r="BH43" s="1197"/>
      <c r="BI43" s="1198"/>
      <c r="BJ43" s="1518"/>
      <c r="BK43" s="1198"/>
      <c r="BL43" s="1198"/>
      <c r="BM43" s="1198"/>
      <c r="BN43" s="1198"/>
      <c r="BO43" s="1518"/>
      <c r="BP43" s="1517"/>
      <c r="BQ43" s="1517"/>
      <c r="BR43" s="1518"/>
      <c r="BS43" s="1016"/>
    </row>
    <row r="44" spans="1:71" ht="15" customHeight="1">
      <c r="A44" s="74" t="s">
        <v>284</v>
      </c>
      <c r="B44" s="1012"/>
      <c r="C44" s="1185"/>
      <c r="D44" s="1185"/>
      <c r="E44" s="1185"/>
      <c r="F44" s="1185"/>
      <c r="G44" s="1185"/>
      <c r="H44" s="1185"/>
      <c r="I44" s="1185"/>
      <c r="J44" s="1185"/>
      <c r="K44" s="1185"/>
      <c r="L44" s="1185"/>
      <c r="M44" s="1185"/>
      <c r="N44" s="1185"/>
      <c r="O44" s="1185"/>
      <c r="P44" s="1185"/>
      <c r="Q44" s="1185"/>
      <c r="R44" s="1185"/>
      <c r="S44" s="1185"/>
      <c r="T44" s="1185"/>
      <c r="U44" s="1185"/>
      <c r="V44" s="1185"/>
      <c r="W44" s="1185"/>
      <c r="X44" s="1185"/>
      <c r="Y44" s="1185"/>
      <c r="Z44" s="1185"/>
      <c r="AA44" s="1185"/>
      <c r="AB44" s="1185"/>
      <c r="AC44" s="1185"/>
      <c r="AD44" s="1185"/>
      <c r="AE44" s="1185"/>
      <c r="AF44" s="1185"/>
      <c r="AG44" s="1185"/>
      <c r="AH44" s="1185"/>
      <c r="AI44" s="1185"/>
      <c r="AJ44" s="1185"/>
      <c r="AK44" s="1185"/>
      <c r="AL44" s="1185"/>
      <c r="AM44" s="1185"/>
      <c r="AN44" s="1185"/>
      <c r="AO44" s="1185"/>
      <c r="AP44" s="1185"/>
      <c r="AQ44" s="1185"/>
      <c r="AR44" s="1185"/>
      <c r="AS44" s="1185"/>
      <c r="AT44" s="1185"/>
      <c r="AU44" s="1185"/>
      <c r="AV44" s="1185"/>
      <c r="AW44" s="1185"/>
      <c r="AX44" s="1185"/>
      <c r="AY44" s="1185"/>
      <c r="AZ44" s="1185"/>
      <c r="BA44" s="1185"/>
      <c r="BB44" s="1185"/>
      <c r="BC44" s="1185"/>
      <c r="BD44" s="1185"/>
      <c r="BE44" s="1185"/>
      <c r="BF44" s="1185"/>
      <c r="BG44" s="1185"/>
      <c r="BH44" s="1186"/>
      <c r="BI44" s="1187"/>
      <c r="BJ44" s="1187"/>
      <c r="BK44" s="1187"/>
      <c r="BL44" s="1187"/>
      <c r="BM44" s="1187"/>
      <c r="BN44" s="1187"/>
      <c r="BO44" s="1187"/>
      <c r="BP44" s="1185"/>
      <c r="BQ44" s="1185"/>
      <c r="BR44" s="1187"/>
      <c r="BS44" s="1016"/>
    </row>
    <row r="45" spans="1:71" s="702" customFormat="1" ht="15">
      <c r="A45" s="122" t="str">
        <f>INDEX(MO_RIS_NEP,0,COLUMN())</f>
        <v>Net Earned Premiums</v>
      </c>
      <c r="B45" s="123"/>
      <c r="C45" s="1515">
        <f t="shared" si="73" ref="C45:AU45">INDEX(MO_RIS_NEP,0,COLUMN())</f>
        <v>14012.80</v>
      </c>
      <c r="D45" s="1515">
        <f t="shared" si="73"/>
        <v>14314.80</v>
      </c>
      <c r="E45" s="1515">
        <f t="shared" si="73"/>
        <v>14902.80</v>
      </c>
      <c r="F45" s="1515">
        <f t="shared" si="73"/>
        <v>16018</v>
      </c>
      <c r="G45" s="1515">
        <f t="shared" si="73"/>
        <v>17103.40</v>
      </c>
      <c r="H45" s="1189">
        <f t="shared" si="73"/>
        <v>4402.30</v>
      </c>
      <c r="I45" s="1189">
        <f t="shared" si="73"/>
        <v>4513.50</v>
      </c>
      <c r="J45" s="1189">
        <f t="shared" si="73"/>
        <v>4540.1000000000004</v>
      </c>
      <c r="K45" s="1189">
        <f t="shared" si="73"/>
        <v>4942.5999999999995</v>
      </c>
      <c r="L45" s="1515">
        <f t="shared" si="73"/>
        <v>18398.50</v>
      </c>
      <c r="M45" s="1189">
        <f t="shared" si="73"/>
        <v>4666.30</v>
      </c>
      <c r="N45" s="1189">
        <f t="shared" si="73"/>
        <v>4995.80</v>
      </c>
      <c r="O45" s="1189">
        <f t="shared" si="73"/>
        <v>5070.6000000000004</v>
      </c>
      <c r="P45" s="1189">
        <f t="shared" si="73"/>
        <v>5166.3999999999969</v>
      </c>
      <c r="Q45" s="1515">
        <f t="shared" si="73"/>
        <v>19899.099999999999</v>
      </c>
      <c r="R45" s="1189">
        <f t="shared" si="73"/>
        <v>5317.40</v>
      </c>
      <c r="S45" s="1189">
        <f t="shared" si="73"/>
        <v>5561.80</v>
      </c>
      <c r="T45" s="1189">
        <f t="shared" si="73"/>
        <v>5723.40</v>
      </c>
      <c r="U45" s="1189">
        <f t="shared" si="73"/>
        <v>5871.40</v>
      </c>
      <c r="V45" s="1515">
        <f t="shared" si="73"/>
        <v>22474</v>
      </c>
      <c r="W45" s="1189">
        <f t="shared" si="73"/>
        <v>6026.70</v>
      </c>
      <c r="X45" s="1189">
        <f t="shared" si="73"/>
        <v>6313.30</v>
      </c>
      <c r="Y45" s="1189">
        <f t="shared" si="73"/>
        <v>6544</v>
      </c>
      <c r="Z45" s="1189">
        <f t="shared" si="73"/>
        <v>6845.9000000000024</v>
      </c>
      <c r="AA45" s="1515">
        <f t="shared" si="73"/>
        <v>25729.900000000001</v>
      </c>
      <c r="AB45" s="1189">
        <f t="shared" si="73"/>
        <v>7174</v>
      </c>
      <c r="AC45" s="1189">
        <f t="shared" si="73"/>
        <v>7634.20</v>
      </c>
      <c r="AD45" s="1189">
        <f t="shared" si="73"/>
        <v>7930.50</v>
      </c>
      <c r="AE45" s="1189">
        <f t="shared" si="73"/>
        <v>8194.5999999999985</v>
      </c>
      <c r="AF45" s="1515">
        <f t="shared" si="73"/>
        <v>30933.299999999999</v>
      </c>
      <c r="AG45" s="1189">
        <f t="shared" si="73"/>
        <v>8459.7999999999993</v>
      </c>
      <c r="AH45" s="1189">
        <f t="shared" si="73"/>
        <v>8824.7000000000007</v>
      </c>
      <c r="AI45" s="1189">
        <f t="shared" si="73"/>
        <v>9012.2000000000007</v>
      </c>
      <c r="AJ45" s="1189">
        <f t="shared" si="73"/>
        <v>9895.7000000000007</v>
      </c>
      <c r="AK45" s="1515">
        <f t="shared" si="73"/>
        <v>36192.40</v>
      </c>
      <c r="AL45" s="1189">
        <f t="shared" si="73"/>
        <v>9430.7000000000007</v>
      </c>
      <c r="AM45" s="1189">
        <f t="shared" si="73"/>
        <v>9648.60</v>
      </c>
      <c r="AN45" s="1189">
        <f t="shared" si="73"/>
        <v>9973.50</v>
      </c>
      <c r="AO45" s="1189">
        <f>INDEX(MO_RIS_NEP,0,COLUMN())</f>
        <v>10208.799999999999</v>
      </c>
      <c r="AP45" s="1515">
        <f>INDEX(MO_RIS_NEP,0,COLUMN())</f>
        <v>39261.60</v>
      </c>
      <c r="AQ45" s="1189">
        <f t="shared" si="73"/>
        <v>10420.200000000001</v>
      </c>
      <c r="AR45" s="1189">
        <f t="shared" si="73"/>
        <v>10982.299999999999</v>
      </c>
      <c r="AS45" s="1189">
        <f>INDEX(MO_RIS_NEP,0,COLUMN())</f>
        <v>11364.80</v>
      </c>
      <c r="AT45" s="1189">
        <f t="shared" si="73"/>
        <v>11601.399999999994</v>
      </c>
      <c r="AU45" s="1515">
        <f t="shared" si="73"/>
        <v>44368.699999999997</v>
      </c>
      <c r="AV45" s="1189">
        <f>INDEX(MO_RIS_NEP,0,COLUMN())</f>
        <v>11802.90</v>
      </c>
      <c r="AW45" s="1189">
        <f>INDEX(MO_RIS_NEP,0,COLUMN())</f>
        <v>12147.90</v>
      </c>
      <c r="AX45" s="1189">
        <f>INDEX(MO_RIS_NEP,0,COLUMN())</f>
        <v>12398.90</v>
      </c>
      <c r="AY45" s="1189">
        <f>INDEX(MO_RIS_NEP,0,COLUMN())</f>
        <v>12891.499999999995</v>
      </c>
      <c r="AZ45" s="1515">
        <f>INDEX(MO_RIS_NEP,0,COLUMN())</f>
        <v>49241.199999999997</v>
      </c>
      <c r="BA45" s="1189">
        <f t="shared" si="74" ref="BA45:BE45">INDEX(MO_RIS_NEP,0,COLUMN())</f>
        <v>13533.10</v>
      </c>
      <c r="BB45" s="1189">
        <f t="shared" si="74"/>
        <v>14464.40</v>
      </c>
      <c r="BC45" s="1189">
        <f t="shared" si="74"/>
        <v>14894.299999999999</v>
      </c>
      <c r="BD45" s="1189">
        <f t="shared" si="74"/>
        <v>15772.600000000004</v>
      </c>
      <c r="BE45" s="1515">
        <f t="shared" si="74"/>
        <v>58664.400000000001</v>
      </c>
      <c r="BF45" s="1189">
        <f t="shared" si="75" ref="BF45:BJ45">INDEX(MO_RIS_NEP,0,COLUMN())</f>
        <v>16148.60</v>
      </c>
      <c r="BG45" s="1189">
        <f t="shared" si="75"/>
        <v>17209.50</v>
      </c>
      <c r="BH45" s="1190">
        <f t="shared" si="75"/>
        <v>18296.700000000004</v>
      </c>
      <c r="BI45" s="1191">
        <f t="shared" si="75"/>
        <v>17559.301553150228</v>
      </c>
      <c r="BJ45" s="1516">
        <f t="shared" si="75"/>
        <v>69214.101553150234</v>
      </c>
      <c r="BK45" s="1191">
        <f t="shared" si="76" ref="BK45:BR45">INDEX(MO_RIS_NEP,0,COLUMN())</f>
        <v>21442.044134334246</v>
      </c>
      <c r="BL45" s="1191">
        <f t="shared" si="76"/>
        <v>19683.62081517437</v>
      </c>
      <c r="BM45" s="1191">
        <f t="shared" si="76"/>
        <v>21013.268236616033</v>
      </c>
      <c r="BN45" s="1191">
        <f t="shared" si="76"/>
        <v>19779.357817031436</v>
      </c>
      <c r="BO45" s="1516">
        <f t="shared" si="76"/>
        <v>81918.291003156075</v>
      </c>
      <c r="BP45" s="1515">
        <f t="shared" si="76"/>
        <v>87742.953041527231</v>
      </c>
      <c r="BQ45" s="1515">
        <f t="shared" si="76"/>
        <v>91287.768344404933</v>
      </c>
      <c r="BR45" s="1516">
        <f t="shared" si="76"/>
        <v>94975.794185518884</v>
      </c>
      <c r="BS45" s="1015"/>
    </row>
    <row r="46" spans="1:71" s="702" customFormat="1" ht="15">
      <c r="A46" s="122" t="str">
        <f>INDEX(MO_RIS_NetII,0,COLUMN())</f>
        <v>Net Investment Income</v>
      </c>
      <c r="B46" s="123"/>
      <c r="C46" s="1515">
        <f t="shared" si="77" ref="C46:AU46">INDEX(MO_RIS_NetII,0,COLUMN())</f>
        <v>507</v>
      </c>
      <c r="D46" s="1515">
        <f t="shared" si="77"/>
        <v>520.10</v>
      </c>
      <c r="E46" s="1515">
        <f t="shared" si="77"/>
        <v>480</v>
      </c>
      <c r="F46" s="1515">
        <f t="shared" si="77"/>
        <v>443</v>
      </c>
      <c r="G46" s="1515">
        <f t="shared" si="77"/>
        <v>422</v>
      </c>
      <c r="H46" s="1189">
        <f t="shared" si="77"/>
        <v>103.30</v>
      </c>
      <c r="I46" s="1189">
        <f t="shared" si="77"/>
        <v>99.20</v>
      </c>
      <c r="J46" s="1189">
        <f t="shared" si="77"/>
        <v>101.70</v>
      </c>
      <c r="K46" s="1189">
        <f t="shared" si="77"/>
        <v>104.20</v>
      </c>
      <c r="L46" s="1515">
        <f t="shared" si="77"/>
        <v>408.40</v>
      </c>
      <c r="M46" s="1189">
        <f t="shared" si="77"/>
        <v>105.09999999999999</v>
      </c>
      <c r="N46" s="1189">
        <f t="shared" si="77"/>
        <v>113.30</v>
      </c>
      <c r="O46" s="1189">
        <f t="shared" si="77"/>
        <v>117.50</v>
      </c>
      <c r="P46" s="1189">
        <f t="shared" si="77"/>
        <v>118.70000000000002</v>
      </c>
      <c r="Q46" s="1515">
        <f t="shared" si="77"/>
        <v>454.60</v>
      </c>
      <c r="R46" s="1189">
        <f t="shared" si="77"/>
        <v>118.80</v>
      </c>
      <c r="S46" s="1189">
        <f t="shared" si="77"/>
        <v>114.59999999999999</v>
      </c>
      <c r="T46" s="1189">
        <f t="shared" si="77"/>
        <v>119.30</v>
      </c>
      <c r="U46" s="1189">
        <f t="shared" si="77"/>
        <v>126.19999999999997</v>
      </c>
      <c r="V46" s="1515">
        <f t="shared" si="77"/>
        <v>478.90</v>
      </c>
      <c r="W46" s="1189">
        <f t="shared" si="77"/>
        <v>129.19999999999999</v>
      </c>
      <c r="X46" s="1189">
        <f t="shared" si="77"/>
        <v>138.80000000000001</v>
      </c>
      <c r="Y46" s="1189">
        <f t="shared" si="77"/>
        <v>142.90000000000001</v>
      </c>
      <c r="Z46" s="1189">
        <f t="shared" si="77"/>
        <v>152.20000000000005</v>
      </c>
      <c r="AA46" s="1515">
        <f t="shared" si="77"/>
        <v>563.10</v>
      </c>
      <c r="AB46" s="1189">
        <f t="shared" si="77"/>
        <v>166.30</v>
      </c>
      <c r="AC46" s="1189">
        <f t="shared" si="77"/>
        <v>192.10</v>
      </c>
      <c r="AD46" s="1189">
        <f t="shared" si="77"/>
        <v>218.10</v>
      </c>
      <c r="AE46" s="1189">
        <f t="shared" si="77"/>
        <v>243.99999999999994</v>
      </c>
      <c r="AF46" s="1515">
        <f t="shared" si="77"/>
        <v>820.50</v>
      </c>
      <c r="AG46" s="1189">
        <f t="shared" si="77"/>
        <v>252.90</v>
      </c>
      <c r="AH46" s="1189">
        <f t="shared" si="77"/>
        <v>261.30</v>
      </c>
      <c r="AI46" s="1189">
        <f t="shared" si="77"/>
        <v>263</v>
      </c>
      <c r="AJ46" s="1189">
        <f t="shared" si="77"/>
        <v>264.80000000000007</v>
      </c>
      <c r="AK46" s="1515">
        <f t="shared" si="77"/>
        <v>1042</v>
      </c>
      <c r="AL46" s="1189">
        <f t="shared" si="77"/>
        <v>241.20</v>
      </c>
      <c r="AM46" s="1189">
        <f t="shared" si="77"/>
        <v>243.80</v>
      </c>
      <c r="AN46" s="1189">
        <f t="shared" si="77"/>
        <v>230.50</v>
      </c>
      <c r="AO46" s="1189">
        <f>INDEX(MO_RIS_NetII,0,COLUMN())</f>
        <v>221.10000000000002</v>
      </c>
      <c r="AP46" s="1515">
        <f>INDEX(MO_RIS_NetII,0,COLUMN())</f>
        <v>936.60</v>
      </c>
      <c r="AQ46" s="1189">
        <f t="shared" si="77"/>
        <v>220.20</v>
      </c>
      <c r="AR46" s="1189">
        <f t="shared" si="77"/>
        <v>210.70</v>
      </c>
      <c r="AS46" s="1189">
        <f>INDEX(MO_RIS_NetII,0,COLUMN())</f>
        <v>208.90</v>
      </c>
      <c r="AT46" s="1189">
        <f t="shared" si="77"/>
        <v>221.10000000000002</v>
      </c>
      <c r="AU46" s="1515">
        <f t="shared" si="77"/>
        <v>860.90</v>
      </c>
      <c r="AV46" s="1189">
        <f>INDEX(MO_RIS_NetII,0,COLUMN())</f>
        <v>242.20</v>
      </c>
      <c r="AW46" s="1189">
        <f>INDEX(MO_RIS_NetII,0,COLUMN())</f>
        <v>292.40000000000003</v>
      </c>
      <c r="AX46" s="1189">
        <f>INDEX(MO_RIS_NetII,0,COLUMN())</f>
        <v>333.60</v>
      </c>
      <c r="AY46" s="1189">
        <f>INDEX(MO_RIS_NetII,0,COLUMN())</f>
        <v>392.10</v>
      </c>
      <c r="AZ46" s="1515">
        <f>INDEX(MO_RIS_NetII,0,COLUMN())</f>
        <v>1260.30</v>
      </c>
      <c r="BA46" s="1189">
        <f t="shared" si="78" ref="BA46:BE46">INDEX(MO_RIS_NetII,0,COLUMN())</f>
        <v>419.60</v>
      </c>
      <c r="BB46" s="1189">
        <f t="shared" si="78"/>
        <v>454.50</v>
      </c>
      <c r="BC46" s="1189">
        <f t="shared" si="78"/>
        <v>510.20</v>
      </c>
      <c r="BD46" s="1189">
        <f t="shared" si="78"/>
        <v>507.49999999999989</v>
      </c>
      <c r="BE46" s="1515">
        <f t="shared" si="78"/>
        <v>1891.80</v>
      </c>
      <c r="BF46" s="1189">
        <f t="shared" si="79" ref="BF46:BJ46">INDEX(MO_RIS_NetII,0,COLUMN())</f>
        <v>617.60</v>
      </c>
      <c r="BG46" s="1189">
        <f t="shared" si="79"/>
        <v>684.99999999999989</v>
      </c>
      <c r="BH46" s="1190">
        <f t="shared" si="79"/>
        <v>739.49999999999989</v>
      </c>
      <c r="BI46" s="1191">
        <f t="shared" si="79"/>
        <v>524.44453736338801</v>
      </c>
      <c r="BJ46" s="1516">
        <f t="shared" si="79"/>
        <v>2566.5445373633879</v>
      </c>
      <c r="BK46" s="1191">
        <f t="shared" si="80" ref="BK46:BR46">INDEX(MO_RIS_NetII,0,COLUMN())</f>
        <v>490.63633982876723</v>
      </c>
      <c r="BL46" s="1191">
        <f t="shared" si="80"/>
        <v>508.67104675684942</v>
      </c>
      <c r="BM46" s="1191">
        <f t="shared" si="80"/>
        <v>552.36466216438362</v>
      </c>
      <c r="BN46" s="1191">
        <f t="shared" si="80"/>
        <v>552.17544029794522</v>
      </c>
      <c r="BO46" s="1516">
        <f t="shared" si="80"/>
        <v>2103.8474890479456</v>
      </c>
      <c r="BP46" s="1515">
        <f t="shared" si="80"/>
        <v>2140.4601123281254</v>
      </c>
      <c r="BQ46" s="1515">
        <f t="shared" si="80"/>
        <v>2247.4831179445314</v>
      </c>
      <c r="BR46" s="1516">
        <f t="shared" si="80"/>
        <v>2359.8572738417583</v>
      </c>
      <c r="BS46" s="1015"/>
    </row>
    <row r="47" spans="1:71" s="702" customFormat="1" ht="15">
      <c r="A47" s="122" t="str">
        <f>INDEX(MO_RIS_NetIG,0,COLUMN())</f>
        <v>Net Investment Gains</v>
      </c>
      <c r="B47" s="123"/>
      <c r="C47" s="1515">
        <f t="shared" si="81" ref="C47:AU47">INDEX(MO_RIS_NetIG,0,COLUMN())</f>
        <v>27.100000000000009</v>
      </c>
      <c r="D47" s="1515">
        <f t="shared" si="81"/>
        <v>96.10</v>
      </c>
      <c r="E47" s="1515">
        <f t="shared" si="81"/>
        <v>102.59999999999999</v>
      </c>
      <c r="F47" s="1515">
        <f t="shared" si="81"/>
        <v>306.80</v>
      </c>
      <c r="G47" s="1515">
        <f t="shared" si="81"/>
        <v>318.39999999999998</v>
      </c>
      <c r="H47" s="1189">
        <f t="shared" si="81"/>
        <v>119.40000000000001</v>
      </c>
      <c r="I47" s="1189">
        <f t="shared" si="81"/>
        <v>40.40</v>
      </c>
      <c r="J47" s="1189">
        <f t="shared" si="81"/>
        <v>38.199999999999996</v>
      </c>
      <c r="K47" s="1189">
        <f t="shared" si="81"/>
        <v>26.20</v>
      </c>
      <c r="L47" s="1515">
        <f t="shared" si="81"/>
        <v>224.20</v>
      </c>
      <c r="M47" s="1189">
        <f t="shared" si="81"/>
        <v>33</v>
      </c>
      <c r="N47" s="1189">
        <f t="shared" si="81"/>
        <v>76</v>
      </c>
      <c r="O47" s="1189">
        <f t="shared" si="81"/>
        <v>-15.80</v>
      </c>
      <c r="P47" s="1189">
        <f t="shared" si="81"/>
        <v>19.499999999999986</v>
      </c>
      <c r="Q47" s="1515">
        <f t="shared" si="81"/>
        <v>112.70</v>
      </c>
      <c r="R47" s="1189">
        <f t="shared" si="81"/>
        <v>17.40</v>
      </c>
      <c r="S47" s="1189">
        <f t="shared" si="81"/>
        <v>32.299999999999997</v>
      </c>
      <c r="T47" s="1189">
        <f t="shared" si="81"/>
        <v>-20.700000000000003</v>
      </c>
      <c r="U47" s="1189">
        <f t="shared" si="81"/>
        <v>22.100000000000005</v>
      </c>
      <c r="V47" s="1515">
        <f t="shared" si="81"/>
        <v>51.100000000000009</v>
      </c>
      <c r="W47" s="1189">
        <f t="shared" si="81"/>
        <v>51.90</v>
      </c>
      <c r="X47" s="1189">
        <f t="shared" si="81"/>
        <v>32.099999999999994</v>
      </c>
      <c r="Y47" s="1189">
        <f t="shared" si="81"/>
        <v>-24.70</v>
      </c>
      <c r="Z47" s="1189">
        <f t="shared" si="81"/>
        <v>-9.6999999999999993</v>
      </c>
      <c r="AA47" s="1515">
        <f t="shared" si="81"/>
        <v>49.599999999999994</v>
      </c>
      <c r="AB47" s="1189">
        <f t="shared" si="81"/>
        <v>-48.199999999999989</v>
      </c>
      <c r="AC47" s="1189">
        <f t="shared" si="81"/>
        <v>32.799999999999997</v>
      </c>
      <c r="AD47" s="1189">
        <f t="shared" si="81"/>
        <v>182.10</v>
      </c>
      <c r="AE47" s="1189">
        <f t="shared" si="81"/>
        <v>-572.20000000000005</v>
      </c>
      <c r="AF47" s="1515">
        <f t="shared" si="81"/>
        <v>-405.50</v>
      </c>
      <c r="AG47" s="1189">
        <f t="shared" si="81"/>
        <v>414.50</v>
      </c>
      <c r="AH47" s="1189">
        <f t="shared" si="81"/>
        <v>179.90</v>
      </c>
      <c r="AI47" s="1189">
        <f t="shared" si="81"/>
        <v>65.400000000000006</v>
      </c>
      <c r="AJ47" s="1189">
        <f t="shared" si="81"/>
        <v>369.40</v>
      </c>
      <c r="AK47" s="1515">
        <f t="shared" si="81"/>
        <v>1029.20</v>
      </c>
      <c r="AL47" s="1189">
        <f t="shared" si="81"/>
        <v>-553.59999999999991</v>
      </c>
      <c r="AM47" s="1189">
        <f t="shared" si="81"/>
        <v>890.80</v>
      </c>
      <c r="AN47" s="1189">
        <f t="shared" si="81"/>
        <v>532.60</v>
      </c>
      <c r="AO47" s="1189">
        <f>INDEX(MO_RIS_NetIG,0,COLUMN())</f>
        <v>760.20</v>
      </c>
      <c r="AP47" s="1515">
        <f>INDEX(MO_RIS_NetIG,0,COLUMN())</f>
        <v>1630</v>
      </c>
      <c r="AQ47" s="1189">
        <f t="shared" si="81"/>
        <v>585.29999999999995</v>
      </c>
      <c r="AR47" s="1189">
        <f t="shared" si="81"/>
        <v>461.79999999999995</v>
      </c>
      <c r="AS47" s="1189">
        <f>INDEX(MO_RIS_NetIG,0,COLUMN())</f>
        <v>36.799999999999997</v>
      </c>
      <c r="AT47" s="1189">
        <f t="shared" si="81"/>
        <v>425.29999999999995</v>
      </c>
      <c r="AU47" s="1515">
        <f t="shared" si="81"/>
        <v>1509.1999999999998</v>
      </c>
      <c r="AV47" s="1189">
        <f>INDEX(MO_RIS_NetIG,0,COLUMN())</f>
        <v>-445.30</v>
      </c>
      <c r="AW47" s="1189">
        <f>INDEX(MO_RIS_NetIG,0,COLUMN())</f>
        <v>-1177.7000000000003</v>
      </c>
      <c r="AX47" s="1189">
        <f>INDEX(MO_RIS_NetIG,0,COLUMN())</f>
        <v>-216.39999999999998</v>
      </c>
      <c r="AY47" s="1189">
        <f>INDEX(MO_RIS_NetIG,0,COLUMN())</f>
        <v>-72.799999999999727</v>
      </c>
      <c r="AZ47" s="1515">
        <f>INDEX(MO_RIS_NetIG,0,COLUMN())</f>
        <v>-1912.1999999999998</v>
      </c>
      <c r="BA47" s="1189">
        <f t="shared" si="82" ref="BA47:BE47">INDEX(MO_RIS_NetIG,0,COLUMN())</f>
        <v>71.800000000000011</v>
      </c>
      <c r="BB47" s="1189">
        <f t="shared" si="82"/>
        <v>126.90000000000001</v>
      </c>
      <c r="BC47" s="1189">
        <f t="shared" si="82"/>
        <v>-149</v>
      </c>
      <c r="BD47" s="1189">
        <f t="shared" si="82"/>
        <v>303.40000000000003</v>
      </c>
      <c r="BE47" s="1515">
        <f t="shared" si="82"/>
        <v>353.10</v>
      </c>
      <c r="BF47" s="1189">
        <f t="shared" si="83" ref="BF47:BJ47">INDEX(MO_RIS_NetIG,0,COLUMN())</f>
        <v>155.60000000000002</v>
      </c>
      <c r="BG47" s="1189">
        <f t="shared" si="83"/>
        <v>-126.30000000000001</v>
      </c>
      <c r="BH47" s="1190">
        <f t="shared" si="83"/>
        <v>287.39999999999998</v>
      </c>
      <c r="BI47" s="1191">
        <f t="shared" si="83"/>
        <v>381.84691748633884</v>
      </c>
      <c r="BJ47" s="1516">
        <f t="shared" si="83"/>
        <v>698.54691748633877</v>
      </c>
      <c r="BK47" s="1191">
        <f t="shared" si="84" ref="BK47:BR47">INDEX(MO_RIS_NetIG,0,COLUMN())</f>
        <v>554.17374431506846</v>
      </c>
      <c r="BL47" s="1191">
        <f t="shared" si="84"/>
        <v>370.14106643835623</v>
      </c>
      <c r="BM47" s="1191">
        <f t="shared" si="84"/>
        <v>401.63157041095894</v>
      </c>
      <c r="BN47" s="1191">
        <f t="shared" si="84"/>
        <v>402.03772709589038</v>
      </c>
      <c r="BO47" s="1516">
        <f t="shared" si="84"/>
        <v>1727.9841082602741</v>
      </c>
      <c r="BP47" s="1515">
        <f t="shared" si="84"/>
        <v>1560.7554716250004</v>
      </c>
      <c r="BQ47" s="1515">
        <f t="shared" si="84"/>
        <v>1638.7932452062503</v>
      </c>
      <c r="BR47" s="1516">
        <f t="shared" si="84"/>
        <v>1720.7329074665629</v>
      </c>
      <c r="BS47" s="1015"/>
    </row>
    <row r="48" spans="1:71" s="702" customFormat="1" ht="15">
      <c r="A48" s="741" t="str">
        <f>INDEX(MO_RIS_OtherIncome,0,COLUMN())</f>
        <v>Other Income</v>
      </c>
      <c r="B48" s="129"/>
      <c r="C48" s="1511">
        <f t="shared" si="85" ref="C48:AU48">INDEX(MO_RIS_OtherIncome,0,COLUMN())</f>
        <v>16.70</v>
      </c>
      <c r="D48" s="1511">
        <f t="shared" si="85"/>
        <v>284.49999999999994</v>
      </c>
      <c r="E48" s="1511">
        <f t="shared" si="85"/>
        <v>289.20</v>
      </c>
      <c r="F48" s="1511">
        <f t="shared" si="85"/>
        <v>316.10000000000002</v>
      </c>
      <c r="G48" s="1511">
        <f t="shared" si="85"/>
        <v>327.10000000000002</v>
      </c>
      <c r="H48" s="1193">
        <f t="shared" si="85"/>
        <v>82.60</v>
      </c>
      <c r="I48" s="1193">
        <f t="shared" si="85"/>
        <v>88.40</v>
      </c>
      <c r="J48" s="1193">
        <f t="shared" si="85"/>
        <v>86.10</v>
      </c>
      <c r="K48" s="1193">
        <f t="shared" si="85"/>
        <v>103.20000000000003</v>
      </c>
      <c r="L48" s="1511">
        <f t="shared" si="85"/>
        <v>360.30</v>
      </c>
      <c r="M48" s="1193">
        <f t="shared" si="85"/>
        <v>90.90</v>
      </c>
      <c r="N48" s="1193">
        <f t="shared" si="85"/>
        <v>98.20</v>
      </c>
      <c r="O48" s="1193">
        <f t="shared" si="85"/>
        <v>101.50</v>
      </c>
      <c r="P48" s="1193">
        <f t="shared" si="85"/>
        <v>96.799999999999955</v>
      </c>
      <c r="Q48" s="1511">
        <f t="shared" si="85"/>
        <v>387.40</v>
      </c>
      <c r="R48" s="1193">
        <f t="shared" si="85"/>
        <v>103.90000000000001</v>
      </c>
      <c r="S48" s="1193">
        <f t="shared" si="85"/>
        <v>110.59999999999999</v>
      </c>
      <c r="T48" s="1193">
        <f t="shared" si="85"/>
        <v>113</v>
      </c>
      <c r="U48" s="1193">
        <f t="shared" si="85"/>
        <v>109.90000000000001</v>
      </c>
      <c r="V48" s="1511">
        <f t="shared" si="85"/>
        <v>437.40</v>
      </c>
      <c r="W48" s="1193">
        <f t="shared" si="85"/>
        <v>113.90000000000001</v>
      </c>
      <c r="X48" s="1193">
        <f t="shared" si="85"/>
        <v>121.50</v>
      </c>
      <c r="Y48" s="1193">
        <f t="shared" si="85"/>
        <v>129.59999999999999</v>
      </c>
      <c r="Z48" s="1193">
        <f t="shared" si="85"/>
        <v>131.40000000000003</v>
      </c>
      <c r="AA48" s="1511">
        <f t="shared" si="85"/>
        <v>496.40</v>
      </c>
      <c r="AB48" s="1193">
        <f t="shared" si="85"/>
        <v>138</v>
      </c>
      <c r="AC48" s="1193">
        <f t="shared" si="85"/>
        <v>158.90000000000001</v>
      </c>
      <c r="AD48" s="1193">
        <f t="shared" si="85"/>
        <v>165.10</v>
      </c>
      <c r="AE48" s="1193">
        <f t="shared" si="85"/>
        <v>168.70000000000002</v>
      </c>
      <c r="AF48" s="1511">
        <f t="shared" si="85"/>
        <v>630.70000000000005</v>
      </c>
      <c r="AG48" s="1193">
        <f t="shared" si="85"/>
        <v>172.79999999999998</v>
      </c>
      <c r="AH48" s="1193">
        <f t="shared" si="85"/>
        <v>184.80</v>
      </c>
      <c r="AI48" s="1193">
        <f t="shared" si="85"/>
        <v>189.90</v>
      </c>
      <c r="AJ48" s="1193">
        <f t="shared" si="85"/>
        <v>211.20000000000007</v>
      </c>
      <c r="AK48" s="1511">
        <f t="shared" si="85"/>
        <v>758.70</v>
      </c>
      <c r="AL48" s="1193">
        <f t="shared" si="85"/>
        <v>205.10</v>
      </c>
      <c r="AM48" s="1193">
        <f t="shared" si="85"/>
        <v>188.50</v>
      </c>
      <c r="AN48" s="1193">
        <f t="shared" si="85"/>
        <v>210.60000000000002</v>
      </c>
      <c r="AO48" s="1193">
        <f>INDEX(MO_RIS_OtherIncome,0,COLUMN())</f>
        <v>225.70000000000002</v>
      </c>
      <c r="AP48" s="1511">
        <f>INDEX(MO_RIS_OtherIncome,0,COLUMN())</f>
        <v>829.90</v>
      </c>
      <c r="AQ48" s="1193">
        <f t="shared" si="85"/>
        <v>219.50</v>
      </c>
      <c r="AR48" s="1193">
        <f t="shared" si="85"/>
        <v>250.70</v>
      </c>
      <c r="AS48" s="1193">
        <f>INDEX(MO_RIS_OtherIncome,0,COLUMN())</f>
        <v>248.70</v>
      </c>
      <c r="AT48" s="1193">
        <f t="shared" si="85"/>
        <v>244.29999999999995</v>
      </c>
      <c r="AU48" s="1511">
        <f t="shared" si="85"/>
        <v>963.20</v>
      </c>
      <c r="AV48" s="1193">
        <f>INDEX(MO_RIS_OtherIncome,0,COLUMN())</f>
        <v>241.70</v>
      </c>
      <c r="AW48" s="1193">
        <f>INDEX(MO_RIS_OtherIncome,0,COLUMN())</f>
        <v>256.60000000000002</v>
      </c>
      <c r="AX48" s="1193">
        <f>INDEX(MO_RIS_OtherIncome,0,COLUMN())</f>
        <v>264.10000000000002</v>
      </c>
      <c r="AY48" s="1193">
        <f>INDEX(MO_RIS_OtherIncome,0,COLUMN())</f>
        <v>259.00000000000006</v>
      </c>
      <c r="AZ48" s="1511">
        <f>INDEX(MO_RIS_OtherIncome,0,COLUMN())</f>
        <v>1021.4000000000001</v>
      </c>
      <c r="BA48" s="1193">
        <f t="shared" si="86" ref="BA48:BE48">INDEX(MO_RIS_OtherIncome,0,COLUMN())</f>
        <v>278.70</v>
      </c>
      <c r="BB48" s="1193">
        <f t="shared" si="86"/>
        <v>307.70</v>
      </c>
      <c r="BC48" s="1193">
        <f t="shared" si="86"/>
        <v>305.10000000000002</v>
      </c>
      <c r="BD48" s="1193">
        <f t="shared" si="86"/>
        <v>307.70000000000016</v>
      </c>
      <c r="BE48" s="1511">
        <f t="shared" si="86"/>
        <v>1199.20</v>
      </c>
      <c r="BF48" s="1193">
        <f t="shared" si="87" ref="BF48:BJ48">INDEX(MO_RIS_OtherIncome,0,COLUMN())</f>
        <v>320.70</v>
      </c>
      <c r="BG48" s="1193">
        <f t="shared" si="87"/>
        <v>366.10</v>
      </c>
      <c r="BH48" s="1194">
        <f t="shared" si="87"/>
        <v>395.39999999999992</v>
      </c>
      <c r="BI48" s="1193">
        <f t="shared" si="87"/>
        <v>323.08500000000015</v>
      </c>
      <c r="BJ48" s="1511">
        <f t="shared" si="87"/>
        <v>1405.285</v>
      </c>
      <c r="BK48" s="1193">
        <f t="shared" si="88" ref="BK48:BR48">INDEX(MO_RIS_OtherIncome,0,COLUMN())</f>
        <v>336.735</v>
      </c>
      <c r="BL48" s="1193">
        <f t="shared" si="88"/>
        <v>384.405</v>
      </c>
      <c r="BM48" s="1193">
        <f t="shared" si="88"/>
        <v>415.16999999999996</v>
      </c>
      <c r="BN48" s="1193">
        <f t="shared" si="88"/>
        <v>339.2392500000002</v>
      </c>
      <c r="BO48" s="1511">
        <f t="shared" si="88"/>
        <v>1475.54925</v>
      </c>
      <c r="BP48" s="1511">
        <f t="shared" si="88"/>
        <v>1549.3267125000002</v>
      </c>
      <c r="BQ48" s="1511">
        <f t="shared" si="88"/>
        <v>1626.7930481250005</v>
      </c>
      <c r="BR48" s="1511">
        <f t="shared" si="88"/>
        <v>1708.1327005312505</v>
      </c>
      <c r="BS48" s="1015"/>
    </row>
    <row r="49" spans="1:71" s="704" customFormat="1" ht="15">
      <c r="A49" s="124" t="str">
        <f>INDEX(MO_RIS_REV,0,COLUMN())</f>
        <v>Net Revenue</v>
      </c>
      <c r="B49" s="125"/>
      <c r="C49" s="1512">
        <f t="shared" si="89" ref="C49:AU49">INDEX(SP_GF_NEP,0,COLUMN())+INDEX(SP_GF_NetII,0,COLUMN())+INDEX(SP_GF_NetIG,0,COLUMN())+INDEX(SP_GF_OtherIncome,0,COLUMN())</f>
        <v>14563.60</v>
      </c>
      <c r="D49" s="1512">
        <f t="shared" si="89"/>
        <v>15215.50</v>
      </c>
      <c r="E49" s="1512">
        <f t="shared" si="89"/>
        <v>15774.60</v>
      </c>
      <c r="F49" s="1512">
        <f t="shared" si="89"/>
        <v>17083.899999999998</v>
      </c>
      <c r="G49" s="1512">
        <f t="shared" si="89"/>
        <v>18170.900000000001</v>
      </c>
      <c r="H49" s="1183">
        <f t="shared" si="89"/>
        <v>4707.6000000000004</v>
      </c>
      <c r="I49" s="1183">
        <f t="shared" si="89"/>
        <v>4741.4999999999991</v>
      </c>
      <c r="J49" s="1183">
        <f t="shared" si="89"/>
        <v>4766.1000000000004</v>
      </c>
      <c r="K49" s="1183">
        <f t="shared" si="89"/>
        <v>5176.1999999999989</v>
      </c>
      <c r="L49" s="1512">
        <f t="shared" si="89"/>
        <v>19391.40</v>
      </c>
      <c r="M49" s="1183">
        <f t="shared" si="89"/>
        <v>4895.30</v>
      </c>
      <c r="N49" s="1183">
        <f t="shared" si="89"/>
        <v>5283.30</v>
      </c>
      <c r="O49" s="1183">
        <f t="shared" si="89"/>
        <v>5273.80</v>
      </c>
      <c r="P49" s="1183">
        <f t="shared" si="89"/>
        <v>5401.3999999999969</v>
      </c>
      <c r="Q49" s="1512">
        <f t="shared" si="89"/>
        <v>20853.80</v>
      </c>
      <c r="R49" s="1183">
        <f t="shared" si="89"/>
        <v>5557.4999999999991</v>
      </c>
      <c r="S49" s="1183">
        <f t="shared" si="89"/>
        <v>5819.3000000000011</v>
      </c>
      <c r="T49" s="1183">
        <f t="shared" si="89"/>
        <v>5935</v>
      </c>
      <c r="U49" s="1183">
        <f t="shared" si="89"/>
        <v>6129.60</v>
      </c>
      <c r="V49" s="1512">
        <f t="shared" si="89"/>
        <v>23441.400000000001</v>
      </c>
      <c r="W49" s="1183">
        <f t="shared" si="89"/>
        <v>6321.6999999999989</v>
      </c>
      <c r="X49" s="1183">
        <f t="shared" si="89"/>
        <v>6605.7000000000007</v>
      </c>
      <c r="Y49" s="1183">
        <f t="shared" si="89"/>
        <v>6791.80</v>
      </c>
      <c r="Z49" s="1183">
        <f t="shared" si="89"/>
        <v>7119.800000000002</v>
      </c>
      <c r="AA49" s="1512">
        <f t="shared" si="89"/>
        <v>26839</v>
      </c>
      <c r="AB49" s="1183">
        <f t="shared" si="89"/>
        <v>7430.10</v>
      </c>
      <c r="AC49" s="1183">
        <f t="shared" si="89"/>
        <v>8018</v>
      </c>
      <c r="AD49" s="1183">
        <f t="shared" si="89"/>
        <v>8495.8000000000011</v>
      </c>
      <c r="AE49" s="1183">
        <f t="shared" si="89"/>
        <v>8035.0999999999985</v>
      </c>
      <c r="AF49" s="1512">
        <f t="shared" si="89"/>
        <v>31979</v>
      </c>
      <c r="AG49" s="1183">
        <f t="shared" si="89"/>
        <v>9299.9999999999982</v>
      </c>
      <c r="AH49" s="1183">
        <f t="shared" si="89"/>
        <v>9450.6999999999989</v>
      </c>
      <c r="AI49" s="1183">
        <f t="shared" si="89"/>
        <v>9530.50</v>
      </c>
      <c r="AJ49" s="1183">
        <f t="shared" si="89"/>
        <v>10741.10</v>
      </c>
      <c r="AK49" s="1512">
        <f t="shared" si="89"/>
        <v>39022.299999999996</v>
      </c>
      <c r="AL49" s="1183">
        <f t="shared" si="89"/>
        <v>9323.4000000000015</v>
      </c>
      <c r="AM49" s="1183">
        <f t="shared" si="89"/>
        <v>10971.699999999999</v>
      </c>
      <c r="AN49" s="1183">
        <f t="shared" si="89"/>
        <v>10947.20</v>
      </c>
      <c r="AO49" s="1183">
        <f>INDEX(SP_GF_NEP,0,COLUMN())+INDEX(SP_GF_NetII,0,COLUMN())+INDEX(SP_GF_NetIG,0,COLUMN())+INDEX(SP_GF_OtherIncome,0,COLUMN())</f>
        <v>11415.80</v>
      </c>
      <c r="AP49" s="1512">
        <f>INDEX(SP_GF_NEP,0,COLUMN())+INDEX(SP_GF_NetII,0,COLUMN())+INDEX(SP_GF_NetIG,0,COLUMN())+INDEX(SP_GF_OtherIncome,0,COLUMN())</f>
        <v>42658.099999999999</v>
      </c>
      <c r="AQ49" s="1183">
        <f t="shared" si="89"/>
        <v>11445.20</v>
      </c>
      <c r="AR49" s="1183">
        <f t="shared" si="89"/>
        <v>11905.50</v>
      </c>
      <c r="AS49" s="1183">
        <f>INDEX(SP_GF_NEP,0,COLUMN())+INDEX(SP_GF_NetII,0,COLUMN())+INDEX(SP_GF_NetIG,0,COLUMN())+INDEX(SP_GF_OtherIncome,0,COLUMN())</f>
        <v>11859.20</v>
      </c>
      <c r="AT49" s="1183">
        <f t="shared" si="89"/>
        <v>12492.099999999993</v>
      </c>
      <c r="AU49" s="1512">
        <f t="shared" si="89"/>
        <v>47701.999999999993</v>
      </c>
      <c r="AV49" s="1183">
        <f>INDEX(SP_GF_NEP,0,COLUMN())+INDEX(SP_GF_NetII,0,COLUMN())+INDEX(SP_GF_NetIG,0,COLUMN())+INDEX(SP_GF_OtherIncome,0,COLUMN())</f>
        <v>11841.500000000002</v>
      </c>
      <c r="AW49" s="1183">
        <f>INDEX(SP_GF_NEP,0,COLUMN())+INDEX(SP_GF_NetII,0,COLUMN())+INDEX(SP_GF_NetIG,0,COLUMN())+INDEX(SP_GF_OtherIncome,0,COLUMN())</f>
        <v>11519.20</v>
      </c>
      <c r="AX49" s="1183">
        <f>INDEX(SP_GF_NEP,0,COLUMN())+INDEX(SP_GF_NetII,0,COLUMN())+INDEX(SP_GF_NetIG,0,COLUMN())+INDEX(SP_GF_OtherIncome,0,COLUMN())</f>
        <v>12780.20</v>
      </c>
      <c r="AY49" s="1183">
        <f>INDEX(SP_GF_NEP,0,COLUMN())+INDEX(SP_GF_NetII,0,COLUMN())+INDEX(SP_GF_NetIG,0,COLUMN())+INDEX(SP_GF_OtherIncome,0,COLUMN())</f>
        <v>13469.799999999996</v>
      </c>
      <c r="AZ49" s="1512">
        <f>INDEX(SP_GF_NEP,0,COLUMN())+INDEX(SP_GF_NetII,0,COLUMN())+INDEX(SP_GF_NetIG,0,COLUMN())+INDEX(SP_GF_OtherIncome,0,COLUMN())</f>
        <v>49610.700000000004</v>
      </c>
      <c r="BA49" s="1183">
        <f t="shared" si="90" ref="BA49:BE49">INDEX(SP_GF_NEP,0,COLUMN())+INDEX(SP_GF_NetII,0,COLUMN())+INDEX(SP_GF_NetIG,0,COLUMN())+INDEX(SP_GF_OtherIncome,0,COLUMN())</f>
        <v>14303.20</v>
      </c>
      <c r="BB49" s="1183">
        <f t="shared" si="90"/>
        <v>15353.50</v>
      </c>
      <c r="BC49" s="1183">
        <f t="shared" si="90"/>
        <v>15560.60</v>
      </c>
      <c r="BD49" s="1183">
        <f t="shared" si="90"/>
        <v>16891.200000000004</v>
      </c>
      <c r="BE49" s="1512">
        <f t="shared" si="90"/>
        <v>62108.50</v>
      </c>
      <c r="BF49" s="1183">
        <f t="shared" si="91" ref="BF49:BJ49">INDEX(SP_GF_NEP,0,COLUMN())+INDEX(SP_GF_NetII,0,COLUMN())+INDEX(SP_GF_NetIG,0,COLUMN())+INDEX(SP_GF_OtherIncome,0,COLUMN())</f>
        <v>17242.50</v>
      </c>
      <c r="BG49" s="1183">
        <f t="shared" si="91"/>
        <v>18134.299999999999</v>
      </c>
      <c r="BH49" s="1184">
        <f t="shared" si="91"/>
        <v>19719.000000000007</v>
      </c>
      <c r="BI49" s="1183">
        <f t="shared" si="91"/>
        <v>18788.678007999955</v>
      </c>
      <c r="BJ49" s="1512">
        <f t="shared" si="91"/>
        <v>73884.478007999962</v>
      </c>
      <c r="BK49" s="1183">
        <f t="shared" si="92" ref="BK49:BR49">INDEX(SP_GF_NEP,0,COLUMN())+INDEX(SP_GF_NetII,0,COLUMN())+INDEX(SP_GF_NetIG,0,COLUMN())+INDEX(SP_GF_OtherIncome,0,COLUMN())</f>
        <v>22823.589218478082</v>
      </c>
      <c r="BL49" s="1183">
        <f t="shared" si="92"/>
        <v>20946.837928369572</v>
      </c>
      <c r="BM49" s="1183">
        <f t="shared" si="92"/>
        <v>22382.434469191372</v>
      </c>
      <c r="BN49" s="1183">
        <f t="shared" si="92"/>
        <v>21072.810234425269</v>
      </c>
      <c r="BO49" s="1512">
        <f t="shared" si="92"/>
        <v>87225.671850464292</v>
      </c>
      <c r="BP49" s="1512">
        <f t="shared" si="92"/>
        <v>92993.495337980363</v>
      </c>
      <c r="BQ49" s="1512">
        <f t="shared" si="92"/>
        <v>96800.837755680725</v>
      </c>
      <c r="BR49" s="1512">
        <f t="shared" si="92"/>
        <v>100764.51706735845</v>
      </c>
      <c r="BS49" s="1016"/>
    </row>
    <row r="50" spans="1:71" s="702" customFormat="1" ht="15">
      <c r="A50" s="122" t="str">
        <f>INDEX(MO_RIS_Loss,0,COLUMN())</f>
        <v>Loss and LAE</v>
      </c>
      <c r="B50" s="123"/>
      <c r="C50" s="1515">
        <f t="shared" si="93" ref="C50:AU50">INDEX(MO_RIS_Loss,0,COLUMN())</f>
        <v>9904.90</v>
      </c>
      <c r="D50" s="1515">
        <f t="shared" si="93"/>
        <v>10131.299999999999</v>
      </c>
      <c r="E50" s="1515">
        <f t="shared" si="93"/>
        <v>10634.80</v>
      </c>
      <c r="F50" s="1515">
        <f t="shared" si="93"/>
        <v>11948</v>
      </c>
      <c r="G50" s="1515">
        <f t="shared" si="93"/>
        <v>12472.40</v>
      </c>
      <c r="H50" s="1189">
        <f t="shared" si="93"/>
        <v>3205.90</v>
      </c>
      <c r="I50" s="1189">
        <f t="shared" si="93"/>
        <v>3269.10</v>
      </c>
      <c r="J50" s="1189">
        <f t="shared" si="93"/>
        <v>3291.80</v>
      </c>
      <c r="K50" s="1189">
        <f t="shared" si="93"/>
        <v>3539.4000000000015</v>
      </c>
      <c r="L50" s="1515">
        <f t="shared" si="93"/>
        <v>13306.20</v>
      </c>
      <c r="M50" s="1189">
        <f t="shared" si="93"/>
        <v>3368.60</v>
      </c>
      <c r="N50" s="1189">
        <f t="shared" si="93"/>
        <v>3617.20</v>
      </c>
      <c r="O50" s="1189">
        <f t="shared" si="93"/>
        <v>3654.30</v>
      </c>
      <c r="P50" s="1189">
        <f t="shared" si="93"/>
        <v>3701.9000000000015</v>
      </c>
      <c r="Q50" s="1515">
        <f t="shared" si="93"/>
        <v>14342</v>
      </c>
      <c r="R50" s="1189">
        <f t="shared" si="93"/>
        <v>3913.40</v>
      </c>
      <c r="S50" s="1189">
        <f t="shared" si="93"/>
        <v>4243</v>
      </c>
      <c r="T50" s="1189">
        <f t="shared" si="93"/>
        <v>4398.20</v>
      </c>
      <c r="U50" s="1189">
        <f t="shared" si="93"/>
        <v>4325</v>
      </c>
      <c r="V50" s="1515">
        <f t="shared" si="93"/>
        <v>16879.60</v>
      </c>
      <c r="W50" s="1189">
        <f t="shared" si="93"/>
        <v>4263.3999999999996</v>
      </c>
      <c r="X50" s="1189">
        <f t="shared" si="93"/>
        <v>4614.8999999999996</v>
      </c>
      <c r="Y50" s="1189">
        <f t="shared" si="93"/>
        <v>5050.50</v>
      </c>
      <c r="Z50" s="1189">
        <f t="shared" si="93"/>
        <v>4879.2000000000007</v>
      </c>
      <c r="AA50" s="1515">
        <f t="shared" si="93"/>
        <v>18808</v>
      </c>
      <c r="AB50" s="1189">
        <f t="shared" si="93"/>
        <v>4870.80</v>
      </c>
      <c r="AC50" s="1189">
        <f t="shared" si="93"/>
        <v>5375.30</v>
      </c>
      <c r="AD50" s="1189">
        <f t="shared" si="93"/>
        <v>5523.10</v>
      </c>
      <c r="AE50" s="1189">
        <f t="shared" si="93"/>
        <v>5951.7999999999993</v>
      </c>
      <c r="AF50" s="1515">
        <f t="shared" si="93"/>
        <v>21721</v>
      </c>
      <c r="AG50" s="1189">
        <f t="shared" si="93"/>
        <v>5759</v>
      </c>
      <c r="AH50" s="1189">
        <f t="shared" si="93"/>
        <v>6138.10</v>
      </c>
      <c r="AI50" s="1189">
        <f t="shared" si="93"/>
        <v>6426.30</v>
      </c>
      <c r="AJ50" s="1189">
        <f t="shared" si="93"/>
        <v>7147.0999999999985</v>
      </c>
      <c r="AK50" s="1515">
        <f t="shared" si="93"/>
        <v>25470.50</v>
      </c>
      <c r="AL50" s="1189">
        <f t="shared" si="93"/>
        <v>6155.20</v>
      </c>
      <c r="AM50" s="1189">
        <f t="shared" si="93"/>
        <v>5321.40</v>
      </c>
      <c r="AN50" s="1189">
        <f t="shared" si="93"/>
        <v>6713.10</v>
      </c>
      <c r="AO50" s="1189">
        <f>INDEX(MO_RIS_Loss,0,COLUMN())</f>
        <v>6932.1000000000022</v>
      </c>
      <c r="AP50" s="1515">
        <f>INDEX(MO_RIS_Loss,0,COLUMN())</f>
        <v>25121.799999999999</v>
      </c>
      <c r="AQ50" s="1189">
        <f t="shared" si="93"/>
        <v>7110.50</v>
      </c>
      <c r="AR50" s="1189">
        <f t="shared" si="93"/>
        <v>8406.40</v>
      </c>
      <c r="AS50" s="1189">
        <f>INDEX(MO_RIS_Loss,0,COLUMN())</f>
        <v>9250.7000000000007</v>
      </c>
      <c r="AT50" s="1189">
        <f t="shared" si="93"/>
        <v>8860</v>
      </c>
      <c r="AU50" s="1515">
        <f t="shared" si="93"/>
        <v>33627.60</v>
      </c>
      <c r="AV50" s="1189">
        <f>INDEX(MO_RIS_Loss,0,COLUMN())</f>
        <v>8858.40</v>
      </c>
      <c r="AW50" s="1189">
        <f>INDEX(MO_RIS_Loss,0,COLUMN())</f>
        <v>9421.10</v>
      </c>
      <c r="AX50" s="1189">
        <f>INDEX(MO_RIS_Loss,0,COLUMN())</f>
        <v>10018.700000000001</v>
      </c>
      <c r="AY50" s="1189">
        <f>INDEX(MO_RIS_Loss,0,COLUMN())</f>
        <v>9824.4999999999964</v>
      </c>
      <c r="AZ50" s="1515">
        <f>INDEX(MO_RIS_Loss,0,COLUMN())</f>
        <v>38122.699999999997</v>
      </c>
      <c r="BA50" s="1189">
        <f t="shared" si="94" ref="BA50:BE50">INDEX(MO_RIS_Loss,0,COLUMN())</f>
        <v>10624</v>
      </c>
      <c r="BB50" s="1189">
        <f t="shared" si="94"/>
        <v>12170.099999999999</v>
      </c>
      <c r="BC50" s="1189">
        <f t="shared" si="94"/>
        <v>11387.90</v>
      </c>
      <c r="BD50" s="1189">
        <f t="shared" si="94"/>
        <v>11472.60</v>
      </c>
      <c r="BE50" s="1515">
        <f t="shared" si="94"/>
        <v>45654.599999999999</v>
      </c>
      <c r="BF50" s="1189">
        <f t="shared" si="95" ref="BF50:BJ50">INDEX(MO_RIS_Loss,0,COLUMN())</f>
        <v>10971.60</v>
      </c>
      <c r="BG50" s="1189">
        <f t="shared" si="95"/>
        <v>12595.300000000001</v>
      </c>
      <c r="BH50" s="1190">
        <f t="shared" si="95"/>
        <v>12510.299999999994</v>
      </c>
      <c r="BI50" s="1191">
        <f t="shared" si="95"/>
        <v>13563.335002433738</v>
      </c>
      <c r="BJ50" s="1516">
        <f t="shared" si="95"/>
        <v>49640.535002433739</v>
      </c>
      <c r="BK50" s="1191">
        <f t="shared" si="96" ref="BK50:BR50">INDEX(MO_RIS_Loss,0,COLUMN())</f>
        <v>16086.160765705765</v>
      </c>
      <c r="BL50" s="1191">
        <f t="shared" si="96"/>
        <v>15012.267778075118</v>
      </c>
      <c r="BM50" s="1191">
        <f t="shared" si="96"/>
        <v>15535.283064004127</v>
      </c>
      <c r="BN50" s="1191">
        <f t="shared" si="96"/>
        <v>14864.533824892049</v>
      </c>
      <c r="BO50" s="1516">
        <f t="shared" si="96"/>
        <v>61498.245432677053</v>
      </c>
      <c r="BP50" s="1515">
        <f t="shared" si="96"/>
        <v>65925.906555438996</v>
      </c>
      <c r="BQ50" s="1515">
        <f t="shared" si="96"/>
        <v>68589.313180278725</v>
      </c>
      <c r="BR50" s="1516">
        <f t="shared" si="96"/>
        <v>71360.321432761993</v>
      </c>
      <c r="BS50" s="1015"/>
    </row>
    <row r="51" spans="1:71" s="702" customFormat="1" ht="15">
      <c r="A51" s="122" t="str">
        <f>INDEX(MO_RIS_PAE,0,COLUMN())</f>
        <v>Policy Acquisition Expense</v>
      </c>
      <c r="B51" s="123"/>
      <c r="C51" s="1515">
        <f t="shared" si="97" ref="C51:AU51">INDEX(MO_RIS_PAE,0,COLUMN())</f>
        <v>1364.60</v>
      </c>
      <c r="D51" s="1515">
        <f t="shared" si="97"/>
        <v>1359.90</v>
      </c>
      <c r="E51" s="1515">
        <f t="shared" si="97"/>
        <v>1399.20</v>
      </c>
      <c r="F51" s="1515">
        <f t="shared" si="97"/>
        <v>1436.60</v>
      </c>
      <c r="G51" s="1515">
        <f t="shared" si="97"/>
        <v>1451.80</v>
      </c>
      <c r="H51" s="1189">
        <f t="shared" si="97"/>
        <v>369</v>
      </c>
      <c r="I51" s="1189">
        <f t="shared" si="97"/>
        <v>374.80</v>
      </c>
      <c r="J51" s="1189">
        <f t="shared" si="97"/>
        <v>375.20</v>
      </c>
      <c r="K51" s="1189">
        <f t="shared" si="97"/>
        <v>405</v>
      </c>
      <c r="L51" s="1515">
        <f t="shared" si="97"/>
        <v>1524</v>
      </c>
      <c r="M51" s="1189">
        <f t="shared" si="97"/>
        <v>379.40</v>
      </c>
      <c r="N51" s="1189">
        <f t="shared" si="97"/>
        <v>417.30</v>
      </c>
      <c r="O51" s="1189">
        <f t="shared" si="97"/>
        <v>423.20</v>
      </c>
      <c r="P51" s="1189">
        <f t="shared" si="97"/>
        <v>431.89999999999986</v>
      </c>
      <c r="Q51" s="1515">
        <f t="shared" si="97"/>
        <v>1651.80</v>
      </c>
      <c r="R51" s="1189">
        <f t="shared" si="97"/>
        <v>440.30</v>
      </c>
      <c r="S51" s="1189">
        <f t="shared" si="97"/>
        <v>458.90</v>
      </c>
      <c r="T51" s="1189">
        <f t="shared" si="97"/>
        <v>475.40</v>
      </c>
      <c r="U51" s="1189">
        <f t="shared" si="97"/>
        <v>489.20000000000005</v>
      </c>
      <c r="V51" s="1515">
        <f t="shared" si="97"/>
        <v>1863.80</v>
      </c>
      <c r="W51" s="1189">
        <f t="shared" si="97"/>
        <v>502.90</v>
      </c>
      <c r="X51" s="1189">
        <f t="shared" si="97"/>
        <v>514.20000000000005</v>
      </c>
      <c r="Y51" s="1189">
        <f t="shared" si="97"/>
        <v>540.10</v>
      </c>
      <c r="Z51" s="1189">
        <f t="shared" si="97"/>
        <v>567.70000000000005</v>
      </c>
      <c r="AA51" s="1515">
        <f t="shared" si="97"/>
        <v>2124.90</v>
      </c>
      <c r="AB51" s="1189">
        <f t="shared" si="97"/>
        <v>596.20000000000005</v>
      </c>
      <c r="AC51" s="1189">
        <f t="shared" si="97"/>
        <v>630.79999999999995</v>
      </c>
      <c r="AD51" s="1189">
        <f t="shared" si="97"/>
        <v>662.70</v>
      </c>
      <c r="AE51" s="1189">
        <f t="shared" si="97"/>
        <v>683.99999999999977</v>
      </c>
      <c r="AF51" s="1515">
        <f t="shared" si="97"/>
        <v>2573.6999999999998</v>
      </c>
      <c r="AG51" s="1189">
        <f t="shared" si="97"/>
        <v>710.60</v>
      </c>
      <c r="AH51" s="1189">
        <f t="shared" si="97"/>
        <v>738.60</v>
      </c>
      <c r="AI51" s="1189">
        <f t="shared" si="97"/>
        <v>751.50</v>
      </c>
      <c r="AJ51" s="1189">
        <f t="shared" si="97"/>
        <v>822.50</v>
      </c>
      <c r="AK51" s="1515">
        <f t="shared" si="97"/>
        <v>3023.20</v>
      </c>
      <c r="AL51" s="1189">
        <f t="shared" si="97"/>
        <v>782.80</v>
      </c>
      <c r="AM51" s="1189">
        <f t="shared" si="97"/>
        <v>795.50</v>
      </c>
      <c r="AN51" s="1189">
        <f t="shared" si="97"/>
        <v>835.20</v>
      </c>
      <c r="AO51" s="1189">
        <f>INDEX(MO_RIS_PAE,0,COLUMN())</f>
        <v>859.69999999999982</v>
      </c>
      <c r="AP51" s="1515">
        <f>INDEX(MO_RIS_PAE,0,COLUMN())</f>
        <v>3273.20</v>
      </c>
      <c r="AQ51" s="1189">
        <f t="shared" si="97"/>
        <v>874.40</v>
      </c>
      <c r="AR51" s="1189">
        <f t="shared" si="97"/>
        <v>928.80</v>
      </c>
      <c r="AS51" s="1189">
        <f>INDEX(MO_RIS_PAE,0,COLUMN())</f>
        <v>951.50</v>
      </c>
      <c r="AT51" s="1189">
        <f t="shared" si="97"/>
        <v>958.10000000000036</v>
      </c>
      <c r="AU51" s="1515">
        <f t="shared" si="97"/>
        <v>3712.80</v>
      </c>
      <c r="AV51" s="1189">
        <f>INDEX(MO_RIS_PAE,0,COLUMN())</f>
        <v>963.40</v>
      </c>
      <c r="AW51" s="1189">
        <f>INDEX(MO_RIS_PAE,0,COLUMN())</f>
        <v>933.60</v>
      </c>
      <c r="AX51" s="1189">
        <f>INDEX(MO_RIS_PAE,0,COLUMN())</f>
        <v>970.90</v>
      </c>
      <c r="AY51" s="1189">
        <f>INDEX(MO_RIS_PAE,0,COLUMN())</f>
        <v>1049.0999999999999</v>
      </c>
      <c r="AZ51" s="1515">
        <f>INDEX(MO_RIS_PAE,0,COLUMN())</f>
        <v>3917</v>
      </c>
      <c r="BA51" s="1189">
        <f t="shared" si="98" ref="BA51:BE51">INDEX(MO_RIS_PAE,0,COLUMN())</f>
        <v>1115.80</v>
      </c>
      <c r="BB51" s="1189">
        <f t="shared" si="98"/>
        <v>1153.6000000000001</v>
      </c>
      <c r="BC51" s="1189">
        <f t="shared" si="98"/>
        <v>1173.20</v>
      </c>
      <c r="BD51" s="1189">
        <f t="shared" si="98"/>
        <v>1222.50</v>
      </c>
      <c r="BE51" s="1515">
        <f t="shared" si="98"/>
        <v>4665.1000000000004</v>
      </c>
      <c r="BF51" s="1189">
        <f t="shared" si="99" ref="BF51:BJ51">INDEX(MO_RIS_PAE,0,COLUMN())</f>
        <v>1232.20</v>
      </c>
      <c r="BG51" s="1189">
        <f t="shared" si="99"/>
        <v>1307.6000000000001</v>
      </c>
      <c r="BH51" s="1190">
        <f t="shared" si="99"/>
        <v>1390.1999999999996</v>
      </c>
      <c r="BI51" s="1191">
        <f t="shared" si="99"/>
        <v>1343.4270432284175</v>
      </c>
      <c r="BJ51" s="1516">
        <f t="shared" si="99"/>
        <v>5273.4270432284175</v>
      </c>
      <c r="BK51" s="1191">
        <f t="shared" si="100" ref="BK51:BR51">INDEX(MO_RIS_PAE,0,COLUMN())</f>
        <v>1593.2296473575718</v>
      </c>
      <c r="BL51" s="1191">
        <f t="shared" si="100"/>
        <v>1475.8975723425897</v>
      </c>
      <c r="BM51" s="1191">
        <f t="shared" si="100"/>
        <v>1575.5958656497069</v>
      </c>
      <c r="BN51" s="1191">
        <f t="shared" si="100"/>
        <v>1493.4997500484094</v>
      </c>
      <c r="BO51" s="1516">
        <f t="shared" si="100"/>
        <v>6138.2228353982782</v>
      </c>
      <c r="BP51" s="1515">
        <f t="shared" si="100"/>
        <v>6486.9242613131491</v>
      </c>
      <c r="BQ51" s="1515">
        <f t="shared" si="100"/>
        <v>6657.7082331257961</v>
      </c>
      <c r="BR51" s="1516">
        <f t="shared" si="100"/>
        <v>6831.7038515585582</v>
      </c>
      <c r="BS51" s="1015"/>
    </row>
    <row r="52" spans="1:71" s="702" customFormat="1" ht="15">
      <c r="A52" s="122" t="str">
        <f>INDEX(MO_RIS_OOE,0,COLUMN())</f>
        <v>Other Operating Expense</v>
      </c>
      <c r="B52" s="123"/>
      <c r="C52" s="1515">
        <f t="shared" si="101" ref="C52:AU52">INDEX(MO_RIS_OOE,0,COLUMN())</f>
        <v>1567.70</v>
      </c>
      <c r="D52" s="1515">
        <f t="shared" si="101"/>
        <v>1992.30</v>
      </c>
      <c r="E52" s="1515">
        <f t="shared" si="101"/>
        <v>2088</v>
      </c>
      <c r="F52" s="1515">
        <f t="shared" si="101"/>
        <v>2206.3000000000002</v>
      </c>
      <c r="G52" s="1515">
        <f t="shared" si="101"/>
        <v>2350.90</v>
      </c>
      <c r="H52" s="1189">
        <f t="shared" si="101"/>
        <v>610.40</v>
      </c>
      <c r="I52" s="1189">
        <f t="shared" si="101"/>
        <v>611.70000000000005</v>
      </c>
      <c r="J52" s="1189">
        <f t="shared" si="101"/>
        <v>609.20000000000005</v>
      </c>
      <c r="K52" s="1189">
        <f t="shared" si="101"/>
        <v>635.79999999999995</v>
      </c>
      <c r="L52" s="1515">
        <f t="shared" si="101"/>
        <v>2467.10</v>
      </c>
      <c r="M52" s="1189">
        <f t="shared" si="101"/>
        <v>650.40</v>
      </c>
      <c r="N52" s="1189">
        <f t="shared" si="101"/>
        <v>662.40</v>
      </c>
      <c r="O52" s="1189">
        <f t="shared" si="101"/>
        <v>707.50</v>
      </c>
      <c r="P52" s="1189">
        <f t="shared" si="101"/>
        <v>691.80</v>
      </c>
      <c r="Q52" s="1515">
        <f t="shared" si="101"/>
        <v>2712.10</v>
      </c>
      <c r="R52" s="1189">
        <f t="shared" si="101"/>
        <v>755.80</v>
      </c>
      <c r="S52" s="1189">
        <f t="shared" si="101"/>
        <v>766.80</v>
      </c>
      <c r="T52" s="1189">
        <f t="shared" si="101"/>
        <v>739.60</v>
      </c>
      <c r="U52" s="1189">
        <f t="shared" si="101"/>
        <v>709.80000000000018</v>
      </c>
      <c r="V52" s="1515">
        <f t="shared" si="101"/>
        <v>2972</v>
      </c>
      <c r="W52" s="1189">
        <f t="shared" si="101"/>
        <v>845.60</v>
      </c>
      <c r="X52" s="1189">
        <f t="shared" si="101"/>
        <v>845</v>
      </c>
      <c r="Y52" s="1189">
        <f t="shared" si="101"/>
        <v>877.70</v>
      </c>
      <c r="Z52" s="1189">
        <f t="shared" si="101"/>
        <v>912.39999999999964</v>
      </c>
      <c r="AA52" s="1515">
        <f t="shared" si="101"/>
        <v>3480.70</v>
      </c>
      <c r="AB52" s="1189">
        <f t="shared" si="101"/>
        <v>980.20</v>
      </c>
      <c r="AC52" s="1189">
        <f t="shared" si="101"/>
        <v>1046.9000000000001</v>
      </c>
      <c r="AD52" s="1189">
        <f t="shared" si="101"/>
        <v>1095.9000000000001</v>
      </c>
      <c r="AE52" s="1189">
        <f t="shared" si="101"/>
        <v>1072.8000000000002</v>
      </c>
      <c r="AF52" s="1515">
        <f t="shared" si="101"/>
        <v>4195.80</v>
      </c>
      <c r="AG52" s="1189">
        <f t="shared" si="101"/>
        <v>1171.20</v>
      </c>
      <c r="AH52" s="1189">
        <f t="shared" si="101"/>
        <v>1231.50</v>
      </c>
      <c r="AI52" s="1189">
        <f t="shared" si="101"/>
        <v>1240.30</v>
      </c>
      <c r="AJ52" s="1189">
        <f t="shared" si="101"/>
        <v>1332.1000000000004</v>
      </c>
      <c r="AK52" s="1515">
        <f t="shared" si="101"/>
        <v>4975.1000000000004</v>
      </c>
      <c r="AL52" s="1189">
        <f t="shared" si="101"/>
        <v>1409.90</v>
      </c>
      <c r="AM52" s="1189">
        <f t="shared" si="101"/>
        <v>1438.90</v>
      </c>
      <c r="AN52" s="1189">
        <f t="shared" si="101"/>
        <v>1330.90</v>
      </c>
      <c r="AO52" s="1189">
        <f>INDEX(MO_RIS_OOE,0,COLUMN())</f>
        <v>1390.2999999999993</v>
      </c>
      <c r="AP52" s="1515">
        <f>INDEX(MO_RIS_OOE,0,COLUMN())</f>
        <v>5570</v>
      </c>
      <c r="AQ52" s="1189">
        <f t="shared" si="101"/>
        <v>1481.10</v>
      </c>
      <c r="AR52" s="1189">
        <f t="shared" si="101"/>
        <v>1440.50</v>
      </c>
      <c r="AS52" s="1189">
        <f>INDEX(MO_RIS_OOE,0,COLUMN())</f>
        <v>1384.40</v>
      </c>
      <c r="AT52" s="1189">
        <f t="shared" si="101"/>
        <v>1348.6999999999998</v>
      </c>
      <c r="AU52" s="1515">
        <f t="shared" si="101"/>
        <v>5654.70</v>
      </c>
      <c r="AV52" s="1189">
        <f>INDEX(MO_RIS_OOE,0,COLUMN())</f>
        <v>1506.30</v>
      </c>
      <c r="AW52" s="1189">
        <f>INDEX(MO_RIS_OOE,0,COLUMN())</f>
        <v>1431.20</v>
      </c>
      <c r="AX52" s="1189">
        <f>INDEX(MO_RIS_OOE,0,COLUMN())</f>
        <v>1496.40</v>
      </c>
      <c r="AY52" s="1189">
        <f>INDEX(MO_RIS_OOE,0,COLUMN())</f>
        <v>1425.7000000000007</v>
      </c>
      <c r="AZ52" s="1515">
        <f>INDEX(MO_RIS_OOE,0,COLUMN())</f>
        <v>5859.60</v>
      </c>
      <c r="BA52" s="1189">
        <f t="shared" si="102" ref="BA52:BE52">INDEX(MO_RIS_OOE,0,COLUMN())</f>
        <v>1857.90</v>
      </c>
      <c r="BB52" s="1189">
        <f t="shared" si="102"/>
        <v>1431.6999999999998</v>
      </c>
      <c r="BC52" s="1189">
        <f t="shared" si="102"/>
        <v>1420.70</v>
      </c>
      <c r="BD52" s="1189">
        <f t="shared" si="102"/>
        <v>1531.1999999999998</v>
      </c>
      <c r="BE52" s="1515">
        <f t="shared" si="102"/>
        <v>6241.50</v>
      </c>
      <c r="BF52" s="1189">
        <f t="shared" si="103" ref="BF52:BJ52">INDEX(MO_RIS_OOE,0,COLUMN())</f>
        <v>1931.40</v>
      </c>
      <c r="BG52" s="1189">
        <f t="shared" si="103"/>
        <v>2179.7999999999997</v>
      </c>
      <c r="BH52" s="1190">
        <f t="shared" si="103"/>
        <v>2669.900000000001</v>
      </c>
      <c r="BI52" s="1191">
        <f t="shared" si="103"/>
        <v>1634.4197885672231</v>
      </c>
      <c r="BJ52" s="1516">
        <f t="shared" si="103"/>
        <v>8415.5197885672242</v>
      </c>
      <c r="BK52" s="1191">
        <f t="shared" si="104" ref="BK52:BR52">INDEX(MO_RIS_OOE,0,COLUMN())</f>
        <v>2457.3011418829733</v>
      </c>
      <c r="BL52" s="1191">
        <f t="shared" si="104"/>
        <v>2453.8192216820826</v>
      </c>
      <c r="BM52" s="1191">
        <f t="shared" si="104"/>
        <v>3045.2848593868689</v>
      </c>
      <c r="BN52" s="1191">
        <f t="shared" si="104"/>
        <v>1761.9451943411602</v>
      </c>
      <c r="BO52" s="1516">
        <f t="shared" si="104"/>
        <v>9718.3504172930861</v>
      </c>
      <c r="BP52" s="1515">
        <f t="shared" si="104"/>
        <v>10409.385234081583</v>
      </c>
      <c r="BQ52" s="1515">
        <f t="shared" si="104"/>
        <v>10829.92439753848</v>
      </c>
      <c r="BR52" s="1516">
        <f t="shared" si="104"/>
        <v>11267.453343199033</v>
      </c>
      <c r="BS52" s="1015"/>
    </row>
    <row r="53" spans="1:71" s="702" customFormat="1" ht="15">
      <c r="A53" s="122" t="str">
        <f>INDEX(MO_RIS_OnetimeUnderwritingExpense,0,COLUMN())</f>
        <v>One-time Underwriting Expense</v>
      </c>
      <c r="B53" s="123"/>
      <c r="C53" s="1515">
        <f t="shared" si="105" ref="C53:AH53">INDEX(MO_RIS_OnetimeUnderwritingExpense,0,COLUMN())</f>
        <v>0</v>
      </c>
      <c r="D53" s="1515">
        <f t="shared" si="105"/>
        <v>0</v>
      </c>
      <c r="E53" s="1515">
        <f t="shared" si="105"/>
        <v>0</v>
      </c>
      <c r="F53" s="1515">
        <f t="shared" si="105"/>
        <v>0</v>
      </c>
      <c r="G53" s="1515">
        <f t="shared" si="105"/>
        <v>0</v>
      </c>
      <c r="H53" s="1189">
        <f t="shared" si="105"/>
        <v>0</v>
      </c>
      <c r="I53" s="1189">
        <f t="shared" si="105"/>
        <v>0</v>
      </c>
      <c r="J53" s="1189">
        <f t="shared" si="105"/>
        <v>0</v>
      </c>
      <c r="K53" s="1189">
        <f t="shared" si="105"/>
        <v>0</v>
      </c>
      <c r="L53" s="1515">
        <f t="shared" si="105"/>
        <v>0</v>
      </c>
      <c r="M53" s="1189">
        <f t="shared" si="105"/>
        <v>0</v>
      </c>
      <c r="N53" s="1189">
        <f t="shared" si="105"/>
        <v>0</v>
      </c>
      <c r="O53" s="1189">
        <f t="shared" si="105"/>
        <v>0</v>
      </c>
      <c r="P53" s="1189">
        <f t="shared" si="105"/>
        <v>0</v>
      </c>
      <c r="Q53" s="1515">
        <f t="shared" si="105"/>
        <v>0</v>
      </c>
      <c r="R53" s="1189">
        <f t="shared" si="105"/>
        <v>0</v>
      </c>
      <c r="S53" s="1189">
        <f t="shared" si="105"/>
        <v>0</v>
      </c>
      <c r="T53" s="1189">
        <f t="shared" si="105"/>
        <v>0</v>
      </c>
      <c r="U53" s="1189">
        <f t="shared" si="105"/>
        <v>0</v>
      </c>
      <c r="V53" s="1515">
        <f t="shared" si="105"/>
        <v>0</v>
      </c>
      <c r="W53" s="1189">
        <f t="shared" si="105"/>
        <v>0</v>
      </c>
      <c r="X53" s="1189">
        <f t="shared" si="105"/>
        <v>0</v>
      </c>
      <c r="Y53" s="1189">
        <f t="shared" si="105"/>
        <v>0</v>
      </c>
      <c r="Z53" s="1189">
        <f t="shared" si="105"/>
        <v>0</v>
      </c>
      <c r="AA53" s="1515">
        <f t="shared" si="105"/>
        <v>0</v>
      </c>
      <c r="AB53" s="1189">
        <f t="shared" si="105"/>
        <v>0</v>
      </c>
      <c r="AC53" s="1189">
        <f t="shared" si="105"/>
        <v>0</v>
      </c>
      <c r="AD53" s="1189">
        <f t="shared" si="105"/>
        <v>0</v>
      </c>
      <c r="AE53" s="1189">
        <f t="shared" si="105"/>
        <v>0</v>
      </c>
      <c r="AF53" s="1515">
        <f t="shared" si="105"/>
        <v>0</v>
      </c>
      <c r="AG53" s="1189">
        <f t="shared" si="105"/>
        <v>0</v>
      </c>
      <c r="AH53" s="1189">
        <f t="shared" si="105"/>
        <v>0</v>
      </c>
      <c r="AI53" s="1189">
        <f t="shared" si="106" ref="AI53:BE53">INDEX(MO_RIS_OnetimeUnderwritingExpense,0,COLUMN())</f>
        <v>0</v>
      </c>
      <c r="AJ53" s="1189">
        <f t="shared" si="106"/>
        <v>0</v>
      </c>
      <c r="AK53" s="1515">
        <f t="shared" si="106"/>
        <v>0</v>
      </c>
      <c r="AL53" s="1189">
        <f t="shared" si="106"/>
        <v>0</v>
      </c>
      <c r="AM53" s="1189">
        <f t="shared" si="106"/>
        <v>1033.4000000000001</v>
      </c>
      <c r="AN53" s="1189">
        <f t="shared" si="106"/>
        <v>29</v>
      </c>
      <c r="AO53" s="1189">
        <f t="shared" si="106"/>
        <v>15</v>
      </c>
      <c r="AP53" s="1515">
        <f t="shared" si="106"/>
        <v>1077.4000000000001</v>
      </c>
      <c r="AQ53" s="1189">
        <f t="shared" si="106"/>
        <v>0</v>
      </c>
      <c r="AR53" s="1189">
        <f t="shared" si="106"/>
        <v>0</v>
      </c>
      <c r="AS53" s="1189">
        <f t="shared" si="106"/>
        <v>0</v>
      </c>
      <c r="AT53" s="1189">
        <f t="shared" si="106"/>
        <v>0</v>
      </c>
      <c r="AU53" s="1515">
        <f t="shared" si="106"/>
        <v>0</v>
      </c>
      <c r="AV53" s="1189">
        <f>INDEX(MO_RIS_OnetimeUnderwritingExpense,0,COLUMN())</f>
        <v>0</v>
      </c>
      <c r="AW53" s="1189">
        <f t="shared" si="106"/>
        <v>0</v>
      </c>
      <c r="AX53" s="1189">
        <f>INDEX(MO_RIS_OnetimeUnderwritingExpense,0,COLUMN())</f>
        <v>0</v>
      </c>
      <c r="AY53" s="1189">
        <f t="shared" si="106"/>
        <v>0</v>
      </c>
      <c r="AZ53" s="1515">
        <f t="shared" si="106"/>
        <v>0</v>
      </c>
      <c r="BA53" s="1189">
        <f t="shared" si="106"/>
        <v>0</v>
      </c>
      <c r="BB53" s="1189">
        <f t="shared" si="106"/>
        <v>0</v>
      </c>
      <c r="BC53" s="1189">
        <f t="shared" si="106"/>
        <v>0</v>
      </c>
      <c r="BD53" s="1189">
        <f t="shared" si="106"/>
        <v>0</v>
      </c>
      <c r="BE53" s="1515">
        <f t="shared" si="106"/>
        <v>0</v>
      </c>
      <c r="BF53" s="1189">
        <f t="shared" si="107" ref="BF53:BJ53">INDEX(MO_RIS_OnetimeUnderwritingExpense,0,COLUMN())</f>
        <v>0</v>
      </c>
      <c r="BG53" s="1189">
        <f t="shared" si="107"/>
        <v>0</v>
      </c>
      <c r="BH53" s="1190">
        <f t="shared" si="107"/>
        <v>0</v>
      </c>
      <c r="BI53" s="1191">
        <f t="shared" si="107"/>
        <v>0</v>
      </c>
      <c r="BJ53" s="1516">
        <f t="shared" si="107"/>
        <v>0</v>
      </c>
      <c r="BK53" s="1191">
        <f t="shared" si="108" ref="BK53:BR53">INDEX(MO_RIS_OnetimeUnderwritingExpense,0,COLUMN())</f>
        <v>0</v>
      </c>
      <c r="BL53" s="1191">
        <f t="shared" si="108"/>
        <v>0</v>
      </c>
      <c r="BM53" s="1191">
        <f t="shared" si="108"/>
        <v>0</v>
      </c>
      <c r="BN53" s="1191">
        <f t="shared" si="108"/>
        <v>0</v>
      </c>
      <c r="BO53" s="1516">
        <f t="shared" si="108"/>
        <v>0</v>
      </c>
      <c r="BP53" s="1515">
        <f t="shared" si="108"/>
        <v>0</v>
      </c>
      <c r="BQ53" s="1515">
        <f t="shared" si="108"/>
        <v>0</v>
      </c>
      <c r="BR53" s="1516">
        <f t="shared" si="108"/>
        <v>0</v>
      </c>
      <c r="BS53" s="1015"/>
    </row>
    <row r="54" spans="1:71" s="702" customFormat="1" ht="15">
      <c r="A54" s="122" t="str">
        <f>INDEX(MO_RIS_InvestmentExpense,0,COLUMN())</f>
        <v>Investment Expense</v>
      </c>
      <c r="B54" s="123"/>
      <c r="C54" s="1515">
        <f t="shared" si="109" ref="C54:AH54">INDEX(MO_RIS_InvestmentExpense,0,COLUMN())</f>
        <v>11.10</v>
      </c>
      <c r="D54" s="1515">
        <f t="shared" si="109"/>
        <v>11.90</v>
      </c>
      <c r="E54" s="1515">
        <f t="shared" si="109"/>
        <v>13.50</v>
      </c>
      <c r="F54" s="1515">
        <f t="shared" si="109"/>
        <v>15.40</v>
      </c>
      <c r="G54" s="1515">
        <f t="shared" si="109"/>
        <v>18.80</v>
      </c>
      <c r="H54" s="1189">
        <f t="shared" si="109"/>
        <v>4.0999999999999996</v>
      </c>
      <c r="I54" s="1189">
        <f t="shared" si="109"/>
        <v>6</v>
      </c>
      <c r="J54" s="1189">
        <f t="shared" si="109"/>
        <v>3.90</v>
      </c>
      <c r="K54" s="1189">
        <f t="shared" si="109"/>
        <v>4.8999999999999986</v>
      </c>
      <c r="L54" s="1515">
        <f t="shared" si="109"/>
        <v>18.90</v>
      </c>
      <c r="M54" s="1189">
        <f t="shared" si="109"/>
        <v>5.30</v>
      </c>
      <c r="N54" s="1189">
        <f t="shared" si="109"/>
        <v>5.70</v>
      </c>
      <c r="O54" s="1189">
        <f t="shared" si="109"/>
        <v>4.9000000000000004</v>
      </c>
      <c r="P54" s="1189">
        <f t="shared" si="109"/>
        <v>6.90</v>
      </c>
      <c r="Q54" s="1515">
        <f t="shared" si="109"/>
        <v>22.80</v>
      </c>
      <c r="R54" s="1189">
        <f t="shared" si="109"/>
        <v>4.80</v>
      </c>
      <c r="S54" s="1189">
        <f t="shared" si="109"/>
        <v>5.30</v>
      </c>
      <c r="T54" s="1189">
        <f t="shared" si="109"/>
        <v>4.80</v>
      </c>
      <c r="U54" s="1189">
        <f t="shared" si="109"/>
        <v>7.50</v>
      </c>
      <c r="V54" s="1515">
        <f t="shared" si="109"/>
        <v>22.40</v>
      </c>
      <c r="W54" s="1189">
        <f t="shared" si="109"/>
        <v>5.60</v>
      </c>
      <c r="X54" s="1189">
        <f t="shared" si="109"/>
        <v>6.60</v>
      </c>
      <c r="Y54" s="1189">
        <f t="shared" si="109"/>
        <v>5.80</v>
      </c>
      <c r="Z54" s="1189">
        <f t="shared" si="109"/>
        <v>5.8999999999999986</v>
      </c>
      <c r="AA54" s="1515">
        <f t="shared" si="109"/>
        <v>23.90</v>
      </c>
      <c r="AB54" s="1189">
        <f t="shared" si="109"/>
        <v>6</v>
      </c>
      <c r="AC54" s="1189">
        <f t="shared" si="109"/>
        <v>6.20</v>
      </c>
      <c r="AD54" s="1189">
        <f t="shared" si="109"/>
        <v>5.80</v>
      </c>
      <c r="AE54" s="1189">
        <f t="shared" si="109"/>
        <v>6.3000000000000007</v>
      </c>
      <c r="AF54" s="1515">
        <f t="shared" si="109"/>
        <v>24.30</v>
      </c>
      <c r="AG54" s="1189">
        <f t="shared" si="109"/>
        <v>6.20</v>
      </c>
      <c r="AH54" s="1189">
        <f t="shared" si="109"/>
        <v>6.20</v>
      </c>
      <c r="AI54" s="1189">
        <f t="shared" si="110" ref="AI54:BE54">INDEX(MO_RIS_InvestmentExpense,0,COLUMN())</f>
        <v>5.90</v>
      </c>
      <c r="AJ54" s="1189">
        <f t="shared" si="110"/>
        <v>6.3000000000000007</v>
      </c>
      <c r="AK54" s="1515">
        <f t="shared" si="110"/>
        <v>24.60</v>
      </c>
      <c r="AL54" s="1189">
        <f t="shared" si="110"/>
        <v>5.30</v>
      </c>
      <c r="AM54" s="1189">
        <f t="shared" si="110"/>
        <v>4.50</v>
      </c>
      <c r="AN54" s="1189">
        <f t="shared" si="110"/>
        <v>4.70</v>
      </c>
      <c r="AO54" s="1189">
        <f t="shared" si="110"/>
        <v>5.50</v>
      </c>
      <c r="AP54" s="1515">
        <f t="shared" si="110"/>
        <v>20</v>
      </c>
      <c r="AQ54" s="1189">
        <f t="shared" si="110"/>
        <v>5.60</v>
      </c>
      <c r="AR54" s="1189">
        <f t="shared" si="110"/>
        <v>6.3000000000000007</v>
      </c>
      <c r="AS54" s="1189">
        <f t="shared" si="110"/>
        <v>6.60</v>
      </c>
      <c r="AT54" s="1189">
        <f t="shared" si="110"/>
        <v>7</v>
      </c>
      <c r="AU54" s="1515">
        <f t="shared" si="110"/>
        <v>25.50</v>
      </c>
      <c r="AV54" s="1189">
        <f t="shared" si="110"/>
        <v>5.70</v>
      </c>
      <c r="AW54" s="1189">
        <f t="shared" si="110"/>
        <v>5.90</v>
      </c>
      <c r="AX54" s="1189">
        <f>INDEX(MO_RIS_InvestmentExpense,0,COLUMN())</f>
        <v>5.80</v>
      </c>
      <c r="AY54" s="1189">
        <f t="shared" si="110"/>
        <v>6.9000000000000021</v>
      </c>
      <c r="AZ54" s="1515">
        <f t="shared" si="110"/>
        <v>24.30</v>
      </c>
      <c r="BA54" s="1189">
        <f t="shared" si="110"/>
        <v>5.50</v>
      </c>
      <c r="BB54" s="1189">
        <f t="shared" si="110"/>
        <v>6.10</v>
      </c>
      <c r="BC54" s="1189">
        <f t="shared" si="110"/>
        <v>7.20</v>
      </c>
      <c r="BD54" s="1189">
        <f t="shared" si="110"/>
        <v>7.3999999999999986</v>
      </c>
      <c r="BE54" s="1515">
        <f t="shared" si="110"/>
        <v>26.20</v>
      </c>
      <c r="BF54" s="1189">
        <f t="shared" si="111" ref="BF54:BJ54">INDEX(MO_RIS_InvestmentExpense,0,COLUMN())</f>
        <v>5.70</v>
      </c>
      <c r="BG54" s="1189">
        <f t="shared" si="111"/>
        <v>7.30</v>
      </c>
      <c r="BH54" s="1190">
        <f t="shared" si="111"/>
        <v>7.1999999999999984</v>
      </c>
      <c r="BI54" s="1191">
        <f t="shared" si="111"/>
        <v>9.5461729371584703</v>
      </c>
      <c r="BJ54" s="1516">
        <f t="shared" si="111"/>
        <v>29.74617293715847</v>
      </c>
      <c r="BK54" s="1191">
        <f t="shared" si="112" ref="BK54:BR54">INDEX(MO_RIS_InvestmentExpense,0,COLUMN())</f>
        <v>8.9382861986301378</v>
      </c>
      <c r="BL54" s="1191">
        <f t="shared" si="112"/>
        <v>9.2535266609589044</v>
      </c>
      <c r="BM54" s="1191">
        <f t="shared" si="112"/>
        <v>10.040789260273975</v>
      </c>
      <c r="BN54" s="1191">
        <f t="shared" si="112"/>
        <v>10.05094317739726</v>
      </c>
      <c r="BO54" s="1516">
        <f t="shared" si="112"/>
        <v>38.283545297260275</v>
      </c>
      <c r="BP54" s="1515">
        <f t="shared" si="112"/>
        <v>39.018886790625018</v>
      </c>
      <c r="BQ54" s="1515">
        <f t="shared" si="112"/>
        <v>40.969831130156265</v>
      </c>
      <c r="BR54" s="1516">
        <f t="shared" si="112"/>
        <v>43.018322686664078</v>
      </c>
      <c r="BS54" s="1015"/>
    </row>
    <row r="55" spans="1:71" s="702" customFormat="1" ht="15">
      <c r="A55" s="122" t="str">
        <f>INDEX(MO_RIS_IE,0,COLUMN())</f>
        <v>Interest Expense</v>
      </c>
      <c r="B55" s="123"/>
      <c r="C55" s="1515">
        <f t="shared" si="113" ref="C55:AU55">INDEX(MO_RIS_IE,0,COLUMN())</f>
        <v>139</v>
      </c>
      <c r="D55" s="1515">
        <f t="shared" si="113"/>
        <v>133.50</v>
      </c>
      <c r="E55" s="1515">
        <f t="shared" si="113"/>
        <v>132.69999999999999</v>
      </c>
      <c r="F55" s="1515">
        <f t="shared" si="113"/>
        <v>123.80</v>
      </c>
      <c r="G55" s="1515">
        <f t="shared" si="113"/>
        <v>118.20</v>
      </c>
      <c r="H55" s="1189">
        <f t="shared" si="113"/>
        <v>26.70</v>
      </c>
      <c r="I55" s="1189">
        <f t="shared" si="113"/>
        <v>29.60</v>
      </c>
      <c r="J55" s="1189">
        <f t="shared" si="113"/>
        <v>30.70</v>
      </c>
      <c r="K55" s="1189">
        <f t="shared" si="113"/>
        <v>29.900000000000006</v>
      </c>
      <c r="L55" s="1515">
        <f t="shared" si="113"/>
        <v>116.90000000000001</v>
      </c>
      <c r="M55" s="1189">
        <f t="shared" si="113"/>
        <v>32.50</v>
      </c>
      <c r="N55" s="1189">
        <f t="shared" si="113"/>
        <v>34.90</v>
      </c>
      <c r="O55" s="1189">
        <f t="shared" si="113"/>
        <v>34.50</v>
      </c>
      <c r="P55" s="1189">
        <f t="shared" si="113"/>
        <v>34.099999999999994</v>
      </c>
      <c r="Q55" s="1515">
        <f t="shared" si="113"/>
        <v>136</v>
      </c>
      <c r="R55" s="1189">
        <f t="shared" si="113"/>
        <v>34.200000000000003</v>
      </c>
      <c r="S55" s="1189">
        <f t="shared" si="113"/>
        <v>34.299999999999997</v>
      </c>
      <c r="T55" s="1189">
        <f t="shared" si="113"/>
        <v>35.299999999999997</v>
      </c>
      <c r="U55" s="1189">
        <f t="shared" si="113"/>
        <v>37.100000000000009</v>
      </c>
      <c r="V55" s="1515">
        <f t="shared" si="113"/>
        <v>140.90000000000001</v>
      </c>
      <c r="W55" s="1189">
        <f t="shared" si="113"/>
        <v>36.799999999999997</v>
      </c>
      <c r="X55" s="1189">
        <f t="shared" si="113"/>
        <v>43.40</v>
      </c>
      <c r="Y55" s="1189">
        <f t="shared" si="113"/>
        <v>37.40</v>
      </c>
      <c r="Z55" s="1189">
        <f t="shared" si="113"/>
        <v>35.499999999999986</v>
      </c>
      <c r="AA55" s="1515">
        <f t="shared" si="113"/>
        <v>153.09999999999999</v>
      </c>
      <c r="AB55" s="1189">
        <f t="shared" si="113"/>
        <v>36.799999999999997</v>
      </c>
      <c r="AC55" s="1189">
        <f t="shared" si="113"/>
        <v>41.70</v>
      </c>
      <c r="AD55" s="1189">
        <f t="shared" si="113"/>
        <v>42</v>
      </c>
      <c r="AE55" s="1189">
        <f t="shared" si="113"/>
        <v>46</v>
      </c>
      <c r="AF55" s="1515">
        <f t="shared" si="113"/>
        <v>166.50</v>
      </c>
      <c r="AG55" s="1189">
        <f t="shared" si="113"/>
        <v>47.40</v>
      </c>
      <c r="AH55" s="1189">
        <f t="shared" si="113"/>
        <v>47.40</v>
      </c>
      <c r="AI55" s="1189">
        <f t="shared" si="113"/>
        <v>47.50</v>
      </c>
      <c r="AJ55" s="1189">
        <f t="shared" si="113"/>
        <v>47.399999999999984</v>
      </c>
      <c r="AK55" s="1515">
        <f t="shared" si="113"/>
        <v>189.70</v>
      </c>
      <c r="AL55" s="1189">
        <f t="shared" si="113"/>
        <v>48</v>
      </c>
      <c r="AM55" s="1189">
        <f t="shared" si="113"/>
        <v>56.40</v>
      </c>
      <c r="AN55" s="1189">
        <f t="shared" si="113"/>
        <v>56.40</v>
      </c>
      <c r="AO55" s="1189">
        <f>INDEX(MO_RIS_IE,0,COLUMN())</f>
        <v>56.199999999999989</v>
      </c>
      <c r="AP55" s="1515">
        <f>INDEX(MO_RIS_IE,0,COLUMN())</f>
        <v>217</v>
      </c>
      <c r="AQ55" s="1189">
        <f t="shared" si="113"/>
        <v>56.40</v>
      </c>
      <c r="AR55" s="1189">
        <f t="shared" si="113"/>
        <v>56.40</v>
      </c>
      <c r="AS55" s="1189">
        <f>INDEX(MO_RIS_IE,0,COLUMN())</f>
        <v>54.20</v>
      </c>
      <c r="AT55" s="1189">
        <f t="shared" si="113"/>
        <v>51.599999999999973</v>
      </c>
      <c r="AU55" s="1515">
        <f t="shared" si="113"/>
        <v>218.60</v>
      </c>
      <c r="AV55" s="1189">
        <f>INDEX(MO_RIS_IE,0,COLUMN())</f>
        <v>54.30</v>
      </c>
      <c r="AW55" s="1189">
        <f>INDEX(MO_RIS_IE,0,COLUMN())</f>
        <v>63</v>
      </c>
      <c r="AX55" s="1189">
        <f>INDEX(MO_RIS_IE,0,COLUMN())</f>
        <v>63.10</v>
      </c>
      <c r="AY55" s="1189">
        <f>INDEX(MO_RIS_IE,0,COLUMN())</f>
        <v>63.100000000000009</v>
      </c>
      <c r="AZ55" s="1515">
        <f>INDEX(MO_RIS_IE,0,COLUMN())</f>
        <v>243.50</v>
      </c>
      <c r="BA55" s="1189">
        <f t="shared" si="114" ref="BA55:BE55">INDEX(MO_RIS_IE,0,COLUMN())</f>
        <v>63.30</v>
      </c>
      <c r="BB55" s="1189">
        <f t="shared" si="114"/>
        <v>65.70</v>
      </c>
      <c r="BC55" s="1189">
        <f t="shared" si="114"/>
        <v>69.70</v>
      </c>
      <c r="BD55" s="1189">
        <f t="shared" si="114"/>
        <v>69.70</v>
      </c>
      <c r="BE55" s="1515">
        <f t="shared" si="114"/>
        <v>268.39999999999998</v>
      </c>
      <c r="BF55" s="1189">
        <f t="shared" si="115" ref="BF55:BJ55">INDEX(MO_RIS_IE,0,COLUMN())</f>
        <v>69.599999999999994</v>
      </c>
      <c r="BG55" s="1189">
        <f t="shared" si="115"/>
        <v>69.599999999999994</v>
      </c>
      <c r="BH55" s="1190">
        <f t="shared" si="115"/>
        <v>69.900000000000006</v>
      </c>
      <c r="BI55" s="1191">
        <f t="shared" si="115"/>
        <v>72.759331147540976</v>
      </c>
      <c r="BJ55" s="1516">
        <f t="shared" si="115"/>
        <v>281.85933114754096</v>
      </c>
      <c r="BK55" s="1191">
        <f t="shared" si="116" ref="BK55:BR55">INDEX(MO_RIS_IE,0,COLUMN())</f>
        <v>71.372613698630133</v>
      </c>
      <c r="BL55" s="1191">
        <f t="shared" si="116"/>
        <v>72.165642739726039</v>
      </c>
      <c r="BM55" s="1191">
        <f t="shared" si="116"/>
        <v>72.958671780821916</v>
      </c>
      <c r="BN55" s="1191">
        <f t="shared" si="116"/>
        <v>72.958671780821916</v>
      </c>
      <c r="BO55" s="1516">
        <f t="shared" si="116"/>
        <v>289.4556</v>
      </c>
      <c r="BP55" s="1515">
        <f t="shared" si="116"/>
        <v>289.45560000000006</v>
      </c>
      <c r="BQ55" s="1515">
        <f t="shared" si="116"/>
        <v>289.45560000000006</v>
      </c>
      <c r="BR55" s="1516">
        <f t="shared" si="116"/>
        <v>289.45560000000006</v>
      </c>
      <c r="BS55" s="1015"/>
    </row>
    <row r="56" spans="1:71" s="702" customFormat="1" ht="15">
      <c r="A56" s="122" t="str">
        <f>INDEX(MO_RIS_OI,0,COLUMN())</f>
        <v>Other Items</v>
      </c>
      <c r="B56" s="123"/>
      <c r="C56" s="1515">
        <f t="shared" si="117" ref="C56:AU56">INDEX(MO_RIS_OI,0,COLUMN())</f>
        <v>19.40</v>
      </c>
      <c r="D56" s="1515">
        <f t="shared" si="117"/>
        <v>21.40</v>
      </c>
      <c r="E56" s="1515">
        <f t="shared" si="117"/>
        <v>19.40</v>
      </c>
      <c r="F56" s="1515">
        <f t="shared" si="117"/>
        <v>36.10</v>
      </c>
      <c r="G56" s="1515">
        <f t="shared" si="117"/>
        <v>38.799999999999997</v>
      </c>
      <c r="H56" s="1189">
        <f t="shared" si="117"/>
        <v>9.6999999999999993</v>
      </c>
      <c r="I56" s="1189">
        <f t="shared" si="117"/>
        <v>12.90</v>
      </c>
      <c r="J56" s="1189">
        <f t="shared" si="117"/>
        <v>13.50</v>
      </c>
      <c r="K56" s="1189">
        <f t="shared" si="117"/>
        <v>14.799999999999997</v>
      </c>
      <c r="L56" s="1515">
        <f t="shared" si="117"/>
        <v>50.90</v>
      </c>
      <c r="M56" s="1189">
        <f t="shared" si="117"/>
        <v>15.90</v>
      </c>
      <c r="N56" s="1189">
        <f t="shared" si="117"/>
        <v>20.50</v>
      </c>
      <c r="O56" s="1189">
        <f t="shared" si="117"/>
        <v>20.40</v>
      </c>
      <c r="P56" s="1189">
        <f t="shared" si="117"/>
        <v>20.700000000000003</v>
      </c>
      <c r="Q56" s="1515">
        <f t="shared" si="117"/>
        <v>77.50</v>
      </c>
      <c r="R56" s="1189">
        <f t="shared" si="117"/>
        <v>21.60</v>
      </c>
      <c r="S56" s="1189">
        <f t="shared" si="117"/>
        <v>23.70</v>
      </c>
      <c r="T56" s="1189">
        <f t="shared" si="117"/>
        <v>23.20</v>
      </c>
      <c r="U56" s="1189">
        <f t="shared" si="117"/>
        <v>23.50</v>
      </c>
      <c r="V56" s="1515">
        <f t="shared" si="117"/>
        <v>92</v>
      </c>
      <c r="W56" s="1189">
        <f t="shared" si="117"/>
        <v>25.90</v>
      </c>
      <c r="X56" s="1189">
        <f t="shared" si="117"/>
        <v>27</v>
      </c>
      <c r="Y56" s="1189">
        <f t="shared" si="117"/>
        <v>28.90</v>
      </c>
      <c r="Z56" s="1189">
        <f t="shared" si="117"/>
        <v>27.700000000000003</v>
      </c>
      <c r="AA56" s="1515">
        <f t="shared" si="117"/>
        <v>109.50</v>
      </c>
      <c r="AB56" s="1189">
        <f t="shared" si="117"/>
        <v>29.30</v>
      </c>
      <c r="AC56" s="1189">
        <f t="shared" si="117"/>
        <v>37</v>
      </c>
      <c r="AD56" s="1189">
        <f t="shared" si="117"/>
        <v>35.799999999999997</v>
      </c>
      <c r="AE56" s="1189">
        <f t="shared" si="117"/>
        <v>32</v>
      </c>
      <c r="AF56" s="1515">
        <f t="shared" si="117"/>
        <v>134.09999999999999</v>
      </c>
      <c r="AG56" s="1189">
        <f t="shared" si="117"/>
        <v>38.10</v>
      </c>
      <c r="AH56" s="1189">
        <f t="shared" si="117"/>
        <v>45.30</v>
      </c>
      <c r="AI56" s="1189">
        <f t="shared" si="117"/>
        <v>48.70</v>
      </c>
      <c r="AJ56" s="1189">
        <f t="shared" si="117"/>
        <v>46.799999999999983</v>
      </c>
      <c r="AK56" s="1515">
        <f t="shared" si="117"/>
        <v>178.90</v>
      </c>
      <c r="AL56" s="1189">
        <f t="shared" si="117"/>
        <v>47.50</v>
      </c>
      <c r="AM56" s="1189">
        <f t="shared" si="117"/>
        <v>52.80</v>
      </c>
      <c r="AN56" s="1189">
        <f t="shared" si="117"/>
        <v>54.40</v>
      </c>
      <c r="AO56" s="1189">
        <f>INDEX(MO_RIS_OI,0,COLUMN())</f>
        <v>50.800000000000011</v>
      </c>
      <c r="AP56" s="1515">
        <f>INDEX(MO_RIS_OI,0,COLUMN())</f>
        <v>205.50</v>
      </c>
      <c r="AQ56" s="1189">
        <f t="shared" si="117"/>
        <v>49.30</v>
      </c>
      <c r="AR56" s="1189">
        <f t="shared" si="117"/>
        <v>67.900000000000006</v>
      </c>
      <c r="AS56" s="1189">
        <f>INDEX(MO_RIS_OI,0,COLUMN())</f>
        <v>72.80</v>
      </c>
      <c r="AT56" s="1189">
        <f t="shared" si="117"/>
        <v>62.800000000000011</v>
      </c>
      <c r="AU56" s="1515">
        <f t="shared" si="117"/>
        <v>252.80</v>
      </c>
      <c r="AV56" s="1189">
        <f>INDEX(MO_RIS_OI,0,COLUMN())</f>
        <v>63.20</v>
      </c>
      <c r="AW56" s="1189">
        <f>INDEX(MO_RIS_OI,0,COLUMN())</f>
        <v>75.499999999999986</v>
      </c>
      <c r="AX56" s="1189">
        <f>INDEX(MO_RIS_OI,0,COLUMN())</f>
        <v>82.80</v>
      </c>
      <c r="AY56" s="1189">
        <f>INDEX(MO_RIS_OI,0,COLUMN())</f>
        <v>75.199999999999989</v>
      </c>
      <c r="AZ56" s="1515">
        <f>INDEX(MO_RIS_OI,0,COLUMN())</f>
        <v>296.70</v>
      </c>
      <c r="BA56" s="1189">
        <f t="shared" si="118" ref="BA56:BE56">INDEX(MO_RIS_OI,0,COLUMN())</f>
        <v>82.30</v>
      </c>
      <c r="BB56" s="1189">
        <f t="shared" si="118"/>
        <v>90.60</v>
      </c>
      <c r="BC56" s="1189">
        <f t="shared" si="118"/>
        <v>91.70</v>
      </c>
      <c r="BD56" s="1189">
        <f t="shared" si="118"/>
        <v>84.399999999999977</v>
      </c>
      <c r="BE56" s="1515">
        <f t="shared" si="118"/>
        <v>349</v>
      </c>
      <c r="BF56" s="1189">
        <f t="shared" si="119" ref="BF56:BJ56">INDEX(MO_RIS_OI,0,COLUMN())</f>
        <v>92.10</v>
      </c>
      <c r="BG56" s="1189">
        <f t="shared" si="119"/>
        <v>114.30000000000001</v>
      </c>
      <c r="BH56" s="1190">
        <f t="shared" si="119"/>
        <v>126.70000000000002</v>
      </c>
      <c r="BI56" s="1191">
        <f t="shared" si="119"/>
        <v>75.012000000000015</v>
      </c>
      <c r="BJ56" s="1516">
        <f t="shared" si="119"/>
        <v>408.11200000000002</v>
      </c>
      <c r="BK56" s="1191">
        <f t="shared" si="120" ref="BK56:BR56">INDEX(MO_RIS_OI,0,COLUMN())</f>
        <v>87.525900000000007</v>
      </c>
      <c r="BL56" s="1191">
        <f t="shared" si="120"/>
        <v>106.03424999999999</v>
      </c>
      <c r="BM56" s="1191">
        <f t="shared" si="120"/>
        <v>117.00675</v>
      </c>
      <c r="BN56" s="1191">
        <f t="shared" si="120"/>
        <v>78.76260000000002</v>
      </c>
      <c r="BO56" s="1516">
        <f t="shared" si="120"/>
        <v>389.3295</v>
      </c>
      <c r="BP56" s="1515">
        <f t="shared" si="120"/>
        <v>405.08275500000002</v>
      </c>
      <c r="BQ56" s="1515">
        <f t="shared" si="120"/>
        <v>425.33689275000006</v>
      </c>
      <c r="BR56" s="1516">
        <f t="shared" si="120"/>
        <v>446.60373738750008</v>
      </c>
      <c r="BS56" s="1015"/>
    </row>
    <row r="57" spans="1:71" s="702" customFormat="1" ht="15">
      <c r="A57" s="741" t="str">
        <f>INDEX(MO_RIS_OTI,0,COLUMN())</f>
        <v>One-time Items</v>
      </c>
      <c r="B57" s="129"/>
      <c r="C57" s="1511">
        <f t="shared" si="121" ref="C57:AU57">INDEX(MO_RIS_OTI,0,COLUMN())</f>
        <v>0</v>
      </c>
      <c r="D57" s="1511">
        <f t="shared" si="121"/>
        <v>0</v>
      </c>
      <c r="E57" s="1511">
        <f t="shared" si="121"/>
        <v>0</v>
      </c>
      <c r="F57" s="1511">
        <f t="shared" si="121"/>
        <v>0</v>
      </c>
      <c r="G57" s="1511">
        <f t="shared" si="121"/>
        <v>0</v>
      </c>
      <c r="H57" s="1193">
        <f t="shared" si="121"/>
        <v>0</v>
      </c>
      <c r="I57" s="1193">
        <f t="shared" si="121"/>
        <v>0</v>
      </c>
      <c r="J57" s="1193">
        <f t="shared" si="121"/>
        <v>0</v>
      </c>
      <c r="K57" s="1193">
        <f t="shared" si="121"/>
        <v>0</v>
      </c>
      <c r="L57" s="1511">
        <f t="shared" si="121"/>
        <v>0</v>
      </c>
      <c r="M57" s="1193">
        <f t="shared" si="121"/>
        <v>0</v>
      </c>
      <c r="N57" s="1193">
        <f t="shared" si="121"/>
        <v>0</v>
      </c>
      <c r="O57" s="1193">
        <f t="shared" si="121"/>
        <v>0</v>
      </c>
      <c r="P57" s="1193">
        <f t="shared" si="121"/>
        <v>0</v>
      </c>
      <c r="Q57" s="1511">
        <f t="shared" si="121"/>
        <v>0</v>
      </c>
      <c r="R57" s="1193">
        <f t="shared" si="121"/>
        <v>0</v>
      </c>
      <c r="S57" s="1193">
        <f t="shared" si="121"/>
        <v>0</v>
      </c>
      <c r="T57" s="1193">
        <f t="shared" si="121"/>
        <v>0</v>
      </c>
      <c r="U57" s="1193">
        <f t="shared" si="121"/>
        <v>0</v>
      </c>
      <c r="V57" s="1511">
        <f t="shared" si="121"/>
        <v>0</v>
      </c>
      <c r="W57" s="1193">
        <f t="shared" si="121"/>
        <v>0</v>
      </c>
      <c r="X57" s="1193">
        <f t="shared" si="121"/>
        <v>0</v>
      </c>
      <c r="Y57" s="1193">
        <f t="shared" si="121"/>
        <v>0</v>
      </c>
      <c r="Z57" s="1193">
        <f t="shared" si="121"/>
        <v>0</v>
      </c>
      <c r="AA57" s="1511">
        <f t="shared" si="121"/>
        <v>0</v>
      </c>
      <c r="AB57" s="1193">
        <f t="shared" si="121"/>
        <v>0</v>
      </c>
      <c r="AC57" s="1193">
        <f t="shared" si="121"/>
        <v>0</v>
      </c>
      <c r="AD57" s="1193">
        <f t="shared" si="121"/>
        <v>0</v>
      </c>
      <c r="AE57" s="1193">
        <f t="shared" si="121"/>
        <v>0</v>
      </c>
      <c r="AF57" s="1511">
        <f t="shared" si="121"/>
        <v>0</v>
      </c>
      <c r="AG57" s="1193">
        <f t="shared" si="121"/>
        <v>0</v>
      </c>
      <c r="AH57" s="1193">
        <f t="shared" si="121"/>
        <v>0</v>
      </c>
      <c r="AI57" s="1193">
        <f t="shared" si="121"/>
        <v>0</v>
      </c>
      <c r="AJ57" s="1193">
        <f t="shared" si="121"/>
        <v>0</v>
      </c>
      <c r="AK57" s="1511">
        <f t="shared" si="121"/>
        <v>0</v>
      </c>
      <c r="AL57" s="1193">
        <f t="shared" si="121"/>
        <v>0</v>
      </c>
      <c r="AM57" s="1193">
        <f t="shared" si="121"/>
        <v>0</v>
      </c>
      <c r="AN57" s="1193">
        <f t="shared" si="121"/>
        <v>0</v>
      </c>
      <c r="AO57" s="1193">
        <f>INDEX(MO_RIS_OTI,0,COLUMN())</f>
        <v>0</v>
      </c>
      <c r="AP57" s="1511">
        <f>INDEX(MO_RIS_OTI,0,COLUMN())</f>
        <v>0</v>
      </c>
      <c r="AQ57" s="1193">
        <f t="shared" si="121"/>
        <v>0</v>
      </c>
      <c r="AR57" s="1193">
        <f t="shared" si="121"/>
        <v>0</v>
      </c>
      <c r="AS57" s="1193">
        <f>INDEX(MO_RIS_OTI,0,COLUMN())</f>
        <v>0</v>
      </c>
      <c r="AT57" s="1193">
        <f t="shared" si="121"/>
        <v>0</v>
      </c>
      <c r="AU57" s="1511">
        <f t="shared" si="121"/>
        <v>0</v>
      </c>
      <c r="AV57" s="1193">
        <f>INDEX(MO_RIS_OTI,0,COLUMN())</f>
        <v>0</v>
      </c>
      <c r="AW57" s="1193">
        <f>INDEX(MO_RIS_OTI,0,COLUMN())</f>
        <v>224.80</v>
      </c>
      <c r="AX57" s="1193">
        <f>INDEX(MO_RIS_OTI,0,COLUMN())</f>
        <v>0</v>
      </c>
      <c r="AY57" s="1193">
        <f>INDEX(MO_RIS_OTI,0,COLUMN())</f>
        <v>0</v>
      </c>
      <c r="AZ57" s="1511">
        <f>INDEX(MO_RIS_OTI,0,COLUMN())</f>
        <v>224.80</v>
      </c>
      <c r="BA57" s="1193">
        <f t="shared" si="122" ref="BA57:BE57">INDEX(MO_RIS_OTI,0,COLUMN())</f>
        <v>0</v>
      </c>
      <c r="BB57" s="1193">
        <f t="shared" si="122"/>
        <v>0</v>
      </c>
      <c r="BC57" s="1193">
        <f t="shared" si="122"/>
        <v>0</v>
      </c>
      <c r="BD57" s="1193">
        <f t="shared" si="122"/>
        <v>0</v>
      </c>
      <c r="BE57" s="1511">
        <f t="shared" si="122"/>
        <v>0</v>
      </c>
      <c r="BF57" s="1193">
        <f t="shared" si="123" ref="BF57:BJ57">INDEX(MO_RIS_OTI,0,COLUMN())</f>
        <v>0</v>
      </c>
      <c r="BG57" s="1193">
        <f t="shared" si="123"/>
        <v>0</v>
      </c>
      <c r="BH57" s="1194">
        <f t="shared" si="123"/>
        <v>0</v>
      </c>
      <c r="BI57" s="1193">
        <f t="shared" si="123"/>
        <v>0</v>
      </c>
      <c r="BJ57" s="1511">
        <f t="shared" si="123"/>
        <v>0</v>
      </c>
      <c r="BK57" s="1193">
        <f t="shared" si="124" ref="BK57:BR57">INDEX(MO_RIS_OTI,0,COLUMN())</f>
        <v>0</v>
      </c>
      <c r="BL57" s="1193">
        <f t="shared" si="124"/>
        <v>0</v>
      </c>
      <c r="BM57" s="1193">
        <f t="shared" si="124"/>
        <v>0</v>
      </c>
      <c r="BN57" s="1193">
        <f t="shared" si="124"/>
        <v>0</v>
      </c>
      <c r="BO57" s="1511">
        <f t="shared" si="124"/>
        <v>0</v>
      </c>
      <c r="BP57" s="1511">
        <f t="shared" si="124"/>
        <v>0</v>
      </c>
      <c r="BQ57" s="1511">
        <f t="shared" si="124"/>
        <v>0</v>
      </c>
      <c r="BR57" s="1511">
        <f t="shared" si="124"/>
        <v>0</v>
      </c>
      <c r="BS57" s="1015"/>
    </row>
    <row r="58" spans="1:71" s="704" customFormat="1" ht="15">
      <c r="A58" s="124" t="str">
        <f>INDEX(MO_RIS_EBT,0,COLUMN())</f>
        <v>EBT</v>
      </c>
      <c r="B58" s="125"/>
      <c r="C58" s="1512">
        <f t="shared" si="125" ref="C58:AH58">INDEX(SP_GF_Rev,0,COLUMN())-INDEX(SP_GF_Loss,0,COLUMN())-INDEX(SP_GF_PAE,0,COLUMN())-INDEX(SP_GF_OOE,0,COLUMN())-INDEX(SP_GF_OnetimeUnderwritinExpense,0,COLUMN())-INDEX(SP_GF_InvestmentExpense,0,COLUMN())-INDEX(SP_GF_IE,0,COLUMN())-INDEX(SP_GF_OI,0,COLUMN())-INDEX(SP_GF_OTI,0,COLUMN())</f>
        <v>1556.9000000000008</v>
      </c>
      <c r="D58" s="1512">
        <f t="shared" si="125"/>
        <v>1565.2000000000005</v>
      </c>
      <c r="E58" s="1512">
        <f t="shared" si="125"/>
        <v>1487.0000000000011</v>
      </c>
      <c r="F58" s="1512">
        <f t="shared" si="125"/>
        <v>1317.6999999999978</v>
      </c>
      <c r="G58" s="1512">
        <f t="shared" si="125"/>
        <v>1720.0000000000016</v>
      </c>
      <c r="H58" s="1183">
        <f t="shared" si="125"/>
        <v>481.8000000000003</v>
      </c>
      <c r="I58" s="1183">
        <f t="shared" si="125"/>
        <v>437.39999999999918</v>
      </c>
      <c r="J58" s="1183">
        <f t="shared" si="125"/>
        <v>441.80000000000013</v>
      </c>
      <c r="K58" s="1183">
        <f t="shared" si="125"/>
        <v>546.39999999999759</v>
      </c>
      <c r="L58" s="1512">
        <f t="shared" si="125"/>
        <v>1907.4000000000005</v>
      </c>
      <c r="M58" s="1183">
        <f t="shared" si="125"/>
        <v>443.20000000000022</v>
      </c>
      <c r="N58" s="1183">
        <f t="shared" si="125"/>
        <v>525.30000000000041</v>
      </c>
      <c r="O58" s="1183">
        <f t="shared" si="125"/>
        <v>429</v>
      </c>
      <c r="P58" s="1183">
        <f t="shared" si="125"/>
        <v>514.09999999999559</v>
      </c>
      <c r="Q58" s="1512">
        <f t="shared" si="125"/>
        <v>1911.599999999999</v>
      </c>
      <c r="R58" s="1183">
        <f t="shared" si="125"/>
        <v>387.39999999999907</v>
      </c>
      <c r="S58" s="1183">
        <f t="shared" si="125"/>
        <v>287.30000000000103</v>
      </c>
      <c r="T58" s="1183">
        <f t="shared" si="125"/>
        <v>258.50000000000006</v>
      </c>
      <c r="U58" s="1183">
        <f t="shared" si="125"/>
        <v>537.4999999999992</v>
      </c>
      <c r="V58" s="1512">
        <f t="shared" si="125"/>
        <v>1470.7000000000025</v>
      </c>
      <c r="W58" s="1183">
        <f t="shared" si="125"/>
        <v>641.4999999999992</v>
      </c>
      <c r="X58" s="1183">
        <f t="shared" si="125"/>
        <v>554.60000000000105</v>
      </c>
      <c r="Y58" s="1183">
        <f t="shared" si="125"/>
        <v>251.40000000000023</v>
      </c>
      <c r="Z58" s="1183">
        <f t="shared" si="125"/>
        <v>691.40000000000157</v>
      </c>
      <c r="AA58" s="1512">
        <f t="shared" si="125"/>
        <v>2138.9000000000005</v>
      </c>
      <c r="AB58" s="1183">
        <f t="shared" si="125"/>
        <v>910.80000000000018</v>
      </c>
      <c r="AC58" s="1183">
        <f t="shared" si="125"/>
        <v>880.09999999999968</v>
      </c>
      <c r="AD58" s="1183">
        <f t="shared" si="125"/>
        <v>1130.5000000000009</v>
      </c>
      <c r="AE58" s="1183">
        <f t="shared" si="125"/>
        <v>242.19999999999931</v>
      </c>
      <c r="AF58" s="1512">
        <f t="shared" si="125"/>
        <v>3163.60</v>
      </c>
      <c r="AG58" s="1183">
        <f t="shared" si="125"/>
        <v>1567.4999999999982</v>
      </c>
      <c r="AH58" s="1183">
        <f t="shared" si="125"/>
        <v>1243.5999999999985</v>
      </c>
      <c r="AI58" s="1183">
        <f t="shared" si="126" ref="AI58:BE58">INDEX(SP_GF_Rev,0,COLUMN())-INDEX(SP_GF_Loss,0,COLUMN())-INDEX(SP_GF_PAE,0,COLUMN())-INDEX(SP_GF_OOE,0,COLUMN())-INDEX(SP_GF_OnetimeUnderwritinExpense,0,COLUMN())-INDEX(SP_GF_InvestmentExpense,0,COLUMN())-INDEX(SP_GF_IE,0,COLUMN())-INDEX(SP_GF_OI,0,COLUMN())-INDEX(SP_GF_OTI,0,COLUMN())</f>
        <v>1010.2999999999997</v>
      </c>
      <c r="AJ58" s="1183">
        <f t="shared" si="126"/>
        <v>1338.9000000000015</v>
      </c>
      <c r="AK58" s="1512">
        <f t="shared" si="126"/>
        <v>5160.2999999999947</v>
      </c>
      <c r="AL58" s="1183">
        <f t="shared" si="126"/>
        <v>874.70000000000141</v>
      </c>
      <c r="AM58" s="1183">
        <f t="shared" si="126"/>
        <v>2268.7999999999988</v>
      </c>
      <c r="AN58" s="1183">
        <f t="shared" si="126"/>
        <v>1923.5000000000002</v>
      </c>
      <c r="AO58" s="1183">
        <f t="shared" si="126"/>
        <v>2106.1999999999998</v>
      </c>
      <c r="AP58" s="1512">
        <f t="shared" si="126"/>
        <v>7173.1999999999989</v>
      </c>
      <c r="AQ58" s="1183">
        <f t="shared" si="126"/>
        <v>1867.9000000000008</v>
      </c>
      <c r="AR58" s="1183">
        <f t="shared" si="126"/>
        <v>999.20000000000016</v>
      </c>
      <c r="AS58" s="1183">
        <f t="shared" si="126"/>
        <v>138.99999999999807</v>
      </c>
      <c r="AT58" s="1183">
        <f t="shared" si="126"/>
        <v>1203.899999999993</v>
      </c>
      <c r="AU58" s="1512">
        <f t="shared" si="126"/>
        <v>4209.9999999999945</v>
      </c>
      <c r="AV58" s="1183">
        <f t="shared" si="126"/>
        <v>390.20000000000215</v>
      </c>
      <c r="AW58" s="1183">
        <f t="shared" si="126"/>
        <v>-635.90000000000146</v>
      </c>
      <c r="AX58" s="1183">
        <f>INDEX(SP_GF_Rev,0,COLUMN())-INDEX(SP_GF_Loss,0,COLUMN())-INDEX(SP_GF_PAE,0,COLUMN())-INDEX(SP_GF_OOE,0,COLUMN())-INDEX(SP_GF_OnetimeUnderwritinExpense,0,COLUMN())-INDEX(SP_GF_InvestmentExpense,0,COLUMN())-INDEX(SP_GF_IE,0,COLUMN())-INDEX(SP_GF_OI,0,COLUMN())-INDEX(SP_GF_OTI,0,COLUMN())</f>
        <v>142.49999999999983</v>
      </c>
      <c r="AY58" s="1183">
        <f t="shared" si="126"/>
        <v>1025.2999999999986</v>
      </c>
      <c r="AZ58" s="1512">
        <f t="shared" si="126"/>
        <v>922.10000000000696</v>
      </c>
      <c r="BA58" s="1183">
        <f t="shared" si="126"/>
        <v>554.40000000000055</v>
      </c>
      <c r="BB58" s="1183">
        <f t="shared" si="126"/>
        <v>435.70000000000141</v>
      </c>
      <c r="BC58" s="1183">
        <f t="shared" si="126"/>
        <v>1410.2000000000007</v>
      </c>
      <c r="BD58" s="1183">
        <f t="shared" si="126"/>
        <v>2503.400000000006</v>
      </c>
      <c r="BE58" s="1512">
        <f t="shared" si="126"/>
        <v>4903.7000000000016</v>
      </c>
      <c r="BF58" s="1183">
        <f t="shared" si="127" ref="BF58:BJ58">INDEX(SP_GF_Rev,0,COLUMN())-INDEX(SP_GF_Loss,0,COLUMN())-INDEX(SP_GF_PAE,0,COLUMN())-INDEX(SP_GF_OOE,0,COLUMN())-INDEX(SP_GF_OnetimeUnderwritinExpense,0,COLUMN())-INDEX(SP_GF_InvestmentExpense,0,COLUMN())-INDEX(SP_GF_IE,0,COLUMN())-INDEX(SP_GF_OI,0,COLUMN())-INDEX(SP_GF_OTI,0,COLUMN())</f>
        <v>2939.90</v>
      </c>
      <c r="BG58" s="1183">
        <f t="shared" si="127"/>
        <v>1860.3999999999983</v>
      </c>
      <c r="BH58" s="1184">
        <f t="shared" si="127"/>
        <v>2944.8000000000129</v>
      </c>
      <c r="BI58" s="1183">
        <f t="shared" si="127"/>
        <v>2090.1786696858771</v>
      </c>
      <c r="BJ58" s="1512">
        <f t="shared" si="127"/>
        <v>9835.2786696858821</v>
      </c>
      <c r="BK58" s="1183">
        <f t="shared" si="128" ref="BK58:BR58">INDEX(SP_GF_Rev,0,COLUMN())-INDEX(SP_GF_Loss,0,COLUMN())-INDEX(SP_GF_PAE,0,COLUMN())-INDEX(SP_GF_OOE,0,COLUMN())-INDEX(SP_GF_OnetimeUnderwritinExpense,0,COLUMN())-INDEX(SP_GF_InvestmentExpense,0,COLUMN())-INDEX(SP_GF_IE,0,COLUMN())-INDEX(SP_GF_OI,0,COLUMN())-INDEX(SP_GF_OTI,0,COLUMN())</f>
        <v>2519.0608636345123</v>
      </c>
      <c r="BL58" s="1183">
        <f t="shared" si="128"/>
        <v>1817.3999368690963</v>
      </c>
      <c r="BM58" s="1183">
        <f t="shared" si="128"/>
        <v>2026.2644691095738</v>
      </c>
      <c r="BN58" s="1183">
        <f t="shared" si="128"/>
        <v>2791.0592501854312</v>
      </c>
      <c r="BO58" s="1512">
        <f t="shared" si="128"/>
        <v>9153.7845197986153</v>
      </c>
      <c r="BP58" s="1512">
        <f t="shared" si="128"/>
        <v>9437.7220453560094</v>
      </c>
      <c r="BQ58" s="1512">
        <f t="shared" si="128"/>
        <v>9968.1296208575695</v>
      </c>
      <c r="BR58" s="1512">
        <f t="shared" si="128"/>
        <v>10525.9607797647</v>
      </c>
      <c r="BS58" s="1016"/>
    </row>
    <row r="59" spans="1:71" s="702" customFormat="1" ht="15">
      <c r="A59" s="122" t="s">
        <v>285</v>
      </c>
      <c r="B59" s="123"/>
      <c r="C59" s="1515">
        <f t="shared" si="129" ref="C59:AU59">INDEX(MO_RIS_Tax_Current,0,COLUMN())+INDEX(MO_RIS_Tax_Deferred,0,COLUMN())</f>
        <v>499.40</v>
      </c>
      <c r="D59" s="1515">
        <f t="shared" si="129"/>
        <v>496.90</v>
      </c>
      <c r="E59" s="1515">
        <f t="shared" si="129"/>
        <v>471.50</v>
      </c>
      <c r="F59" s="1515">
        <f t="shared" si="129"/>
        <v>415.40</v>
      </c>
      <c r="G59" s="1515">
        <f t="shared" si="129"/>
        <v>554.60</v>
      </c>
      <c r="H59" s="1189">
        <f t="shared" si="129"/>
        <v>160.50</v>
      </c>
      <c r="I59" s="1189">
        <f t="shared" si="129"/>
        <v>144</v>
      </c>
      <c r="J59" s="1189">
        <f t="shared" si="129"/>
        <v>145.69999999999999</v>
      </c>
      <c r="K59" s="1189">
        <f t="shared" si="129"/>
        <v>176.20</v>
      </c>
      <c r="L59" s="1515">
        <f t="shared" si="129"/>
        <v>626.40</v>
      </c>
      <c r="M59" s="1189">
        <f t="shared" si="129"/>
        <v>147.59999999999999</v>
      </c>
      <c r="N59" s="1189">
        <f t="shared" si="129"/>
        <v>156.80000000000001</v>
      </c>
      <c r="O59" s="1189">
        <f t="shared" si="129"/>
        <v>142.50</v>
      </c>
      <c r="P59" s="1189">
        <f t="shared" si="129"/>
        <v>164.20000000000002</v>
      </c>
      <c r="Q59" s="1515">
        <f t="shared" si="129"/>
        <v>611.10</v>
      </c>
      <c r="R59" s="1189">
        <f t="shared" si="129"/>
        <v>128.69999999999999</v>
      </c>
      <c r="S59" s="1189">
        <f t="shared" si="129"/>
        <v>92.40</v>
      </c>
      <c r="T59" s="1189">
        <f t="shared" si="129"/>
        <v>53</v>
      </c>
      <c r="U59" s="1189">
        <f t="shared" si="129"/>
        <v>139.40000000000003</v>
      </c>
      <c r="V59" s="1515">
        <f t="shared" si="129"/>
        <v>413.50</v>
      </c>
      <c r="W59" s="1189">
        <f t="shared" si="129"/>
        <v>211.20</v>
      </c>
      <c r="X59" s="1189">
        <f t="shared" si="129"/>
        <v>181.90</v>
      </c>
      <c r="Y59" s="1189">
        <f t="shared" si="129"/>
        <v>36.60</v>
      </c>
      <c r="Z59" s="1189">
        <f t="shared" si="129"/>
        <v>111.09999999999997</v>
      </c>
      <c r="AA59" s="1515">
        <f t="shared" si="129"/>
        <v>540.79999999999995</v>
      </c>
      <c r="AB59" s="1189">
        <f t="shared" si="129"/>
        <v>181</v>
      </c>
      <c r="AC59" s="1189">
        <f t="shared" si="129"/>
        <v>178.90</v>
      </c>
      <c r="AD59" s="1189">
        <f t="shared" si="129"/>
        <v>200.30</v>
      </c>
      <c r="AE59" s="1189">
        <f t="shared" si="129"/>
        <v>-17.599999999999994</v>
      </c>
      <c r="AF59" s="1515">
        <f t="shared" si="129"/>
        <v>542.60</v>
      </c>
      <c r="AG59" s="1189">
        <f t="shared" si="129"/>
        <v>484.70</v>
      </c>
      <c r="AH59" s="1189">
        <f t="shared" si="129"/>
        <v>264.60000000000002</v>
      </c>
      <c r="AI59" s="1189">
        <f t="shared" si="129"/>
        <v>166.70</v>
      </c>
      <c r="AJ59" s="1189">
        <f t="shared" si="129"/>
        <v>264.2999999999999</v>
      </c>
      <c r="AK59" s="1515">
        <f t="shared" si="129"/>
        <v>1180.30</v>
      </c>
      <c r="AL59" s="1189">
        <f t="shared" si="129"/>
        <v>175.60</v>
      </c>
      <c r="AM59" s="1189">
        <f t="shared" si="129"/>
        <v>478.40</v>
      </c>
      <c r="AN59" s="1189">
        <f t="shared" si="129"/>
        <v>392.70</v>
      </c>
      <c r="AO59" s="1189">
        <f>INDEX(MO_RIS_Tax_Current,0,COLUMN())+INDEX(MO_RIS_Tax_Deferred,0,COLUMN())</f>
        <v>421.89999999999986</v>
      </c>
      <c r="AP59" s="1515">
        <f>INDEX(MO_RIS_Tax_Current,0,COLUMN())+INDEX(MO_RIS_Tax_Deferred,0,COLUMN())</f>
        <v>1468.60</v>
      </c>
      <c r="AQ59" s="1189">
        <f t="shared" si="129"/>
        <v>387.90</v>
      </c>
      <c r="AR59" s="1189">
        <f t="shared" si="129"/>
        <v>209.10000000000002</v>
      </c>
      <c r="AS59" s="1189">
        <f>INDEX(MO_RIS_Tax_Current,0,COLUMN())+INDEX(MO_RIS_Tax_Deferred,0,COLUMN())</f>
        <v>20.50</v>
      </c>
      <c r="AT59" s="1189">
        <f t="shared" si="129"/>
        <v>241.60000000000002</v>
      </c>
      <c r="AU59" s="1515">
        <f t="shared" si="129"/>
        <v>859.10</v>
      </c>
      <c r="AV59" s="1189">
        <f>INDEX(MO_RIS_Tax_Current,0,COLUMN())+INDEX(MO_RIS_Tax_Deferred,0,COLUMN())</f>
        <v>76.30</v>
      </c>
      <c r="AW59" s="1189">
        <f>INDEX(MO_RIS_Tax_Current,0,COLUMN())+INDEX(MO_RIS_Tax_Deferred,0,COLUMN())</f>
        <v>-93</v>
      </c>
      <c r="AX59" s="1189">
        <f>INDEX(MO_RIS_Tax_Current,0,COLUMN())+INDEX(MO_RIS_Tax_Deferred,0,COLUMN())</f>
        <v>18.40</v>
      </c>
      <c r="AY59" s="1189">
        <f>INDEX(MO_RIS_Tax_Current,0,COLUMN())+INDEX(MO_RIS_Tax_Deferred,0,COLUMN())</f>
        <v>198.89999999999998</v>
      </c>
      <c r="AZ59" s="1515">
        <f>INDEX(MO_RIS_Tax_Current,0,COLUMN())+INDEX(MO_RIS_Tax_Deferred,0,COLUMN())</f>
        <v>200.60000000000002</v>
      </c>
      <c r="BA59" s="1189">
        <f t="shared" si="130" ref="BA59:BE59">INDEX(MO_RIS_Tax_Current,0,COLUMN())+INDEX(MO_RIS_Tax_Deferred,0,COLUMN())</f>
        <v>106.50</v>
      </c>
      <c r="BB59" s="1189">
        <f t="shared" si="130"/>
        <v>90.300000000000011</v>
      </c>
      <c r="BC59" s="1189">
        <f t="shared" si="130"/>
        <v>288.89999999999998</v>
      </c>
      <c r="BD59" s="1189">
        <f t="shared" si="130"/>
        <v>515.59999999999991</v>
      </c>
      <c r="BE59" s="1515">
        <f t="shared" si="130"/>
        <v>1001.3000000000001</v>
      </c>
      <c r="BF59" s="1189">
        <f t="shared" si="131" ref="BF59:BJ59">INDEX(MO_RIS_Tax_Current,0,COLUMN())+INDEX(MO_RIS_Tax_Deferred,0,COLUMN())</f>
        <v>608.50</v>
      </c>
      <c r="BG59" s="1189">
        <f t="shared" si="131"/>
        <v>401.70000000000005</v>
      </c>
      <c r="BH59" s="1190">
        <f t="shared" si="131"/>
        <v>611.39999999999986</v>
      </c>
      <c r="BI59" s="1191">
        <f t="shared" si="131"/>
        <v>438.93752063403417</v>
      </c>
      <c r="BJ59" s="1516">
        <f t="shared" si="131"/>
        <v>2060.5375206340341</v>
      </c>
      <c r="BK59" s="1191">
        <f t="shared" si="132" ref="BK59:BR59">INDEX(MO_RIS_Tax_Current,0,COLUMN())+INDEX(MO_RIS_Tax_Deferred,0,COLUMN())</f>
        <v>478.62156409055734</v>
      </c>
      <c r="BL59" s="1191">
        <f t="shared" si="132"/>
        <v>381.65398674251026</v>
      </c>
      <c r="BM59" s="1191">
        <f t="shared" si="132"/>
        <v>769.98049826163845</v>
      </c>
      <c r="BN59" s="1191">
        <f t="shared" si="132"/>
        <v>586.12244253894062</v>
      </c>
      <c r="BO59" s="1516">
        <f t="shared" si="132"/>
        <v>2216.3784916336467</v>
      </c>
      <c r="BP59" s="1515">
        <f t="shared" si="132"/>
        <v>1981.9216295247647</v>
      </c>
      <c r="BQ59" s="1515">
        <f t="shared" si="132"/>
        <v>2093.3072203800921</v>
      </c>
      <c r="BR59" s="1516">
        <f t="shared" si="132"/>
        <v>2210.4517637505905</v>
      </c>
      <c r="BS59" s="1015"/>
    </row>
    <row r="60" spans="1:71" s="702" customFormat="1" ht="15">
      <c r="A60" s="122" t="str">
        <f>INDEX(MO_RIS_EI,0,COLUMN())</f>
        <v>Earnings from Equity Investments</v>
      </c>
      <c r="B60" s="123"/>
      <c r="C60" s="1515">
        <f t="shared" si="133" ref="C60:AU60">INDEX(MO_RIS_EI,0,COLUMN())</f>
        <v>0</v>
      </c>
      <c r="D60" s="1515">
        <f t="shared" si="133"/>
        <v>0</v>
      </c>
      <c r="E60" s="1515">
        <f t="shared" si="133"/>
        <v>0</v>
      </c>
      <c r="F60" s="1515">
        <f t="shared" si="133"/>
        <v>0</v>
      </c>
      <c r="G60" s="1515">
        <f t="shared" si="133"/>
        <v>0</v>
      </c>
      <c r="H60" s="1189">
        <f t="shared" si="133"/>
        <v>0</v>
      </c>
      <c r="I60" s="1189">
        <f t="shared" si="133"/>
        <v>0</v>
      </c>
      <c r="J60" s="1189">
        <f t="shared" si="133"/>
        <v>0</v>
      </c>
      <c r="K60" s="1189">
        <f t="shared" si="133"/>
        <v>0</v>
      </c>
      <c r="L60" s="1515">
        <f t="shared" si="133"/>
        <v>0</v>
      </c>
      <c r="M60" s="1189">
        <f t="shared" si="133"/>
        <v>0</v>
      </c>
      <c r="N60" s="1189">
        <f t="shared" si="133"/>
        <v>0</v>
      </c>
      <c r="O60" s="1189">
        <f t="shared" si="133"/>
        <v>0</v>
      </c>
      <c r="P60" s="1189">
        <f t="shared" si="133"/>
        <v>0</v>
      </c>
      <c r="Q60" s="1515">
        <f t="shared" si="133"/>
        <v>0</v>
      </c>
      <c r="R60" s="1189">
        <f t="shared" si="133"/>
        <v>0</v>
      </c>
      <c r="S60" s="1189">
        <f t="shared" si="133"/>
        <v>0</v>
      </c>
      <c r="T60" s="1189">
        <f t="shared" si="133"/>
        <v>0</v>
      </c>
      <c r="U60" s="1189">
        <f t="shared" si="133"/>
        <v>0</v>
      </c>
      <c r="V60" s="1515">
        <f t="shared" si="133"/>
        <v>0</v>
      </c>
      <c r="W60" s="1189">
        <f t="shared" si="133"/>
        <v>0</v>
      </c>
      <c r="X60" s="1189">
        <f t="shared" si="133"/>
        <v>0</v>
      </c>
      <c r="Y60" s="1189">
        <f t="shared" si="133"/>
        <v>0</v>
      </c>
      <c r="Z60" s="1189">
        <f t="shared" si="133"/>
        <v>0</v>
      </c>
      <c r="AA60" s="1515">
        <f t="shared" si="133"/>
        <v>0</v>
      </c>
      <c r="AB60" s="1189">
        <f t="shared" si="133"/>
        <v>0</v>
      </c>
      <c r="AC60" s="1189">
        <f t="shared" si="133"/>
        <v>0</v>
      </c>
      <c r="AD60" s="1189">
        <f t="shared" si="133"/>
        <v>0</v>
      </c>
      <c r="AE60" s="1189">
        <f t="shared" si="133"/>
        <v>0</v>
      </c>
      <c r="AF60" s="1515">
        <f t="shared" si="133"/>
        <v>0</v>
      </c>
      <c r="AG60" s="1189">
        <f t="shared" si="133"/>
        <v>0</v>
      </c>
      <c r="AH60" s="1189">
        <f t="shared" si="133"/>
        <v>0</v>
      </c>
      <c r="AI60" s="1189">
        <f t="shared" si="133"/>
        <v>0</v>
      </c>
      <c r="AJ60" s="1189">
        <f t="shared" si="133"/>
        <v>0</v>
      </c>
      <c r="AK60" s="1515">
        <f t="shared" si="133"/>
        <v>0</v>
      </c>
      <c r="AL60" s="1189">
        <f t="shared" si="133"/>
        <v>0</v>
      </c>
      <c r="AM60" s="1189">
        <f t="shared" si="133"/>
        <v>0</v>
      </c>
      <c r="AN60" s="1189">
        <f t="shared" si="133"/>
        <v>0</v>
      </c>
      <c r="AO60" s="1189">
        <f>INDEX(MO_RIS_EI,0,COLUMN())</f>
        <v>0</v>
      </c>
      <c r="AP60" s="1515">
        <f>INDEX(MO_RIS_EI,0,COLUMN())</f>
        <v>0</v>
      </c>
      <c r="AQ60" s="1189">
        <f t="shared" si="133"/>
        <v>0</v>
      </c>
      <c r="AR60" s="1189">
        <f t="shared" si="133"/>
        <v>0</v>
      </c>
      <c r="AS60" s="1189">
        <f>INDEX(MO_RIS_EI,0,COLUMN())</f>
        <v>0</v>
      </c>
      <c r="AT60" s="1189">
        <f t="shared" si="133"/>
        <v>0</v>
      </c>
      <c r="AU60" s="1515">
        <f t="shared" si="133"/>
        <v>0</v>
      </c>
      <c r="AV60" s="1189">
        <f>INDEX(MO_RIS_EI,0,COLUMN())</f>
        <v>0</v>
      </c>
      <c r="AW60" s="1189">
        <f>INDEX(MO_RIS_EI,0,COLUMN())</f>
        <v>0</v>
      </c>
      <c r="AX60" s="1189">
        <f>INDEX(MO_RIS_EI,0,COLUMN())</f>
        <v>0</v>
      </c>
      <c r="AY60" s="1189">
        <f>INDEX(MO_RIS_EI,0,COLUMN())</f>
        <v>0</v>
      </c>
      <c r="AZ60" s="1515">
        <f>INDEX(MO_RIS_EI,0,COLUMN())</f>
        <v>0</v>
      </c>
      <c r="BA60" s="1189">
        <f t="shared" si="134" ref="BA60:BE60">INDEX(MO_RIS_EI,0,COLUMN())</f>
        <v>0</v>
      </c>
      <c r="BB60" s="1189">
        <f t="shared" si="134"/>
        <v>0</v>
      </c>
      <c r="BC60" s="1189">
        <f t="shared" si="134"/>
        <v>0</v>
      </c>
      <c r="BD60" s="1189">
        <f t="shared" si="134"/>
        <v>0</v>
      </c>
      <c r="BE60" s="1515">
        <f t="shared" si="134"/>
        <v>0</v>
      </c>
      <c r="BF60" s="1189">
        <f t="shared" si="135" ref="BF60:BJ60">INDEX(MO_RIS_EI,0,COLUMN())</f>
        <v>0</v>
      </c>
      <c r="BG60" s="1189">
        <f t="shared" si="135"/>
        <v>0</v>
      </c>
      <c r="BH60" s="1190">
        <f t="shared" si="135"/>
        <v>0</v>
      </c>
      <c r="BI60" s="1191">
        <f t="shared" si="135"/>
        <v>0</v>
      </c>
      <c r="BJ60" s="1516">
        <f t="shared" si="135"/>
        <v>0</v>
      </c>
      <c r="BK60" s="1191">
        <f t="shared" si="136" ref="BK60:BR60">INDEX(MO_RIS_EI,0,COLUMN())</f>
        <v>0</v>
      </c>
      <c r="BL60" s="1191">
        <f t="shared" si="136"/>
        <v>0</v>
      </c>
      <c r="BM60" s="1191">
        <f t="shared" si="136"/>
        <v>0</v>
      </c>
      <c r="BN60" s="1191">
        <f t="shared" si="136"/>
        <v>0</v>
      </c>
      <c r="BO60" s="1516">
        <f t="shared" si="136"/>
        <v>0</v>
      </c>
      <c r="BP60" s="1515">
        <f t="shared" si="136"/>
        <v>0</v>
      </c>
      <c r="BQ60" s="1515">
        <f t="shared" si="136"/>
        <v>0</v>
      </c>
      <c r="BR60" s="1516">
        <f t="shared" si="136"/>
        <v>0</v>
      </c>
      <c r="BS60" s="1015"/>
    </row>
    <row r="61" spans="1:71" s="702" customFormat="1" ht="15">
      <c r="A61" s="122" t="str">
        <f>INDEX(MO_RIS_DisCont,0,COLUMN())</f>
        <v>Discontinued Operations</v>
      </c>
      <c r="B61" s="123"/>
      <c r="C61" s="1515">
        <f t="shared" si="137" ref="C61:AU61">INDEX(MO_RIS_DisCont,0,COLUMN())</f>
        <v>0</v>
      </c>
      <c r="D61" s="1515">
        <f t="shared" si="137"/>
        <v>0</v>
      </c>
      <c r="E61" s="1515">
        <f t="shared" si="137"/>
        <v>0</v>
      </c>
      <c r="F61" s="1515">
        <f t="shared" si="137"/>
        <v>0</v>
      </c>
      <c r="G61" s="1515">
        <f t="shared" si="137"/>
        <v>0</v>
      </c>
      <c r="H61" s="1189">
        <f t="shared" si="137"/>
        <v>0</v>
      </c>
      <c r="I61" s="1189">
        <f t="shared" si="137"/>
        <v>0</v>
      </c>
      <c r="J61" s="1189">
        <f t="shared" si="137"/>
        <v>0</v>
      </c>
      <c r="K61" s="1189">
        <f t="shared" si="137"/>
        <v>0</v>
      </c>
      <c r="L61" s="1515">
        <f t="shared" si="137"/>
        <v>0</v>
      </c>
      <c r="M61" s="1189">
        <f t="shared" si="137"/>
        <v>0</v>
      </c>
      <c r="N61" s="1189">
        <f t="shared" si="137"/>
        <v>0</v>
      </c>
      <c r="O61" s="1189">
        <f t="shared" si="137"/>
        <v>0</v>
      </c>
      <c r="P61" s="1189">
        <f t="shared" si="137"/>
        <v>0</v>
      </c>
      <c r="Q61" s="1515">
        <f t="shared" si="137"/>
        <v>0</v>
      </c>
      <c r="R61" s="1189">
        <f t="shared" si="137"/>
        <v>0</v>
      </c>
      <c r="S61" s="1189">
        <f t="shared" si="137"/>
        <v>0</v>
      </c>
      <c r="T61" s="1189">
        <f t="shared" si="137"/>
        <v>0</v>
      </c>
      <c r="U61" s="1189">
        <f t="shared" si="137"/>
        <v>0</v>
      </c>
      <c r="V61" s="1515">
        <f t="shared" si="137"/>
        <v>0</v>
      </c>
      <c r="W61" s="1189">
        <f t="shared" si="137"/>
        <v>0</v>
      </c>
      <c r="X61" s="1189">
        <f t="shared" si="137"/>
        <v>0</v>
      </c>
      <c r="Y61" s="1189">
        <f t="shared" si="137"/>
        <v>0</v>
      </c>
      <c r="Z61" s="1189">
        <f t="shared" si="137"/>
        <v>0</v>
      </c>
      <c r="AA61" s="1515">
        <f t="shared" si="137"/>
        <v>0</v>
      </c>
      <c r="AB61" s="1189">
        <f t="shared" si="137"/>
        <v>0</v>
      </c>
      <c r="AC61" s="1189">
        <f t="shared" si="137"/>
        <v>0</v>
      </c>
      <c r="AD61" s="1189">
        <f t="shared" si="137"/>
        <v>0</v>
      </c>
      <c r="AE61" s="1189">
        <f t="shared" si="137"/>
        <v>0</v>
      </c>
      <c r="AF61" s="1515">
        <f t="shared" si="137"/>
        <v>0</v>
      </c>
      <c r="AG61" s="1189">
        <f t="shared" si="137"/>
        <v>0</v>
      </c>
      <c r="AH61" s="1189">
        <f t="shared" si="137"/>
        <v>0</v>
      </c>
      <c r="AI61" s="1189">
        <f t="shared" si="137"/>
        <v>0</v>
      </c>
      <c r="AJ61" s="1189">
        <f t="shared" si="137"/>
        <v>0</v>
      </c>
      <c r="AK61" s="1515">
        <f t="shared" si="137"/>
        <v>0</v>
      </c>
      <c r="AL61" s="1189">
        <f t="shared" si="137"/>
        <v>0</v>
      </c>
      <c r="AM61" s="1189">
        <f t="shared" si="137"/>
        <v>0</v>
      </c>
      <c r="AN61" s="1189">
        <f t="shared" si="137"/>
        <v>0</v>
      </c>
      <c r="AO61" s="1189">
        <f>INDEX(MO_RIS_DisCont,0,COLUMN())</f>
        <v>0</v>
      </c>
      <c r="AP61" s="1515">
        <f>INDEX(MO_RIS_DisCont,0,COLUMN())</f>
        <v>0</v>
      </c>
      <c r="AQ61" s="1189">
        <f t="shared" si="137"/>
        <v>0</v>
      </c>
      <c r="AR61" s="1189">
        <f t="shared" si="137"/>
        <v>0</v>
      </c>
      <c r="AS61" s="1189">
        <f>INDEX(MO_RIS_DisCont,0,COLUMN())</f>
        <v>0</v>
      </c>
      <c r="AT61" s="1189">
        <f t="shared" si="137"/>
        <v>0</v>
      </c>
      <c r="AU61" s="1515">
        <f t="shared" si="137"/>
        <v>0</v>
      </c>
      <c r="AV61" s="1189">
        <f>INDEX(MO_RIS_DisCont,0,COLUMN())</f>
        <v>0</v>
      </c>
      <c r="AW61" s="1189">
        <f>INDEX(MO_RIS_DisCont,0,COLUMN())</f>
        <v>0</v>
      </c>
      <c r="AX61" s="1189">
        <f>INDEX(MO_RIS_DisCont,0,COLUMN())</f>
        <v>0</v>
      </c>
      <c r="AY61" s="1189">
        <f>INDEX(MO_RIS_DisCont,0,COLUMN())</f>
        <v>0</v>
      </c>
      <c r="AZ61" s="1515">
        <f>INDEX(MO_RIS_DisCont,0,COLUMN())</f>
        <v>0</v>
      </c>
      <c r="BA61" s="1189">
        <f t="shared" si="138" ref="BA61:BE61">INDEX(MO_RIS_DisCont,0,COLUMN())</f>
        <v>0</v>
      </c>
      <c r="BB61" s="1189">
        <f t="shared" si="138"/>
        <v>0</v>
      </c>
      <c r="BC61" s="1189">
        <f t="shared" si="138"/>
        <v>0</v>
      </c>
      <c r="BD61" s="1189">
        <f t="shared" si="138"/>
        <v>0</v>
      </c>
      <c r="BE61" s="1515">
        <f t="shared" si="138"/>
        <v>0</v>
      </c>
      <c r="BF61" s="1189">
        <f t="shared" si="139" ref="BF61:BJ61">INDEX(MO_RIS_DisCont,0,COLUMN())</f>
        <v>0</v>
      </c>
      <c r="BG61" s="1189">
        <f t="shared" si="139"/>
        <v>0</v>
      </c>
      <c r="BH61" s="1190">
        <f t="shared" si="139"/>
        <v>0</v>
      </c>
      <c r="BI61" s="1191">
        <f t="shared" si="139"/>
        <v>0</v>
      </c>
      <c r="BJ61" s="1516">
        <f t="shared" si="139"/>
        <v>0</v>
      </c>
      <c r="BK61" s="1191">
        <f t="shared" si="140" ref="BK61:BR61">INDEX(MO_RIS_DisCont,0,COLUMN())</f>
        <v>0</v>
      </c>
      <c r="BL61" s="1191">
        <f t="shared" si="140"/>
        <v>0</v>
      </c>
      <c r="BM61" s="1191">
        <f t="shared" si="140"/>
        <v>0</v>
      </c>
      <c r="BN61" s="1191">
        <f t="shared" si="140"/>
        <v>0</v>
      </c>
      <c r="BO61" s="1516">
        <f t="shared" si="140"/>
        <v>0</v>
      </c>
      <c r="BP61" s="1515">
        <f t="shared" si="140"/>
        <v>0</v>
      </c>
      <c r="BQ61" s="1515">
        <f t="shared" si="140"/>
        <v>0</v>
      </c>
      <c r="BR61" s="1516">
        <f t="shared" si="140"/>
        <v>0</v>
      </c>
      <c r="BS61" s="1015"/>
    </row>
    <row r="62" spans="1:71" s="702" customFormat="1" ht="15">
      <c r="A62" s="122" t="str">
        <f>INDEX(MO_RIS_NCI,0,COLUMN())</f>
        <v>Net Income to NCI</v>
      </c>
      <c r="B62" s="123"/>
      <c r="C62" s="1515">
        <f t="shared" si="141" ref="C62:AU62">INDEX(MO_RIS_NCI,0,COLUMN())</f>
        <v>0</v>
      </c>
      <c r="D62" s="1515">
        <f t="shared" si="141"/>
        <v>0</v>
      </c>
      <c r="E62" s="1515">
        <f t="shared" si="141"/>
        <v>0</v>
      </c>
      <c r="F62" s="1515">
        <f t="shared" si="141"/>
        <v>0</v>
      </c>
      <c r="G62" s="1515">
        <f t="shared" si="141"/>
        <v>0</v>
      </c>
      <c r="H62" s="1189">
        <f t="shared" si="141"/>
        <v>0</v>
      </c>
      <c r="I62" s="1189">
        <f t="shared" si="141"/>
        <v>0</v>
      </c>
      <c r="J62" s="1189">
        <f t="shared" si="141"/>
        <v>0</v>
      </c>
      <c r="K62" s="1189">
        <f t="shared" si="141"/>
        <v>0</v>
      </c>
      <c r="L62" s="1515">
        <f t="shared" si="141"/>
        <v>0</v>
      </c>
      <c r="M62" s="1189">
        <f t="shared" si="141"/>
        <v>0</v>
      </c>
      <c r="N62" s="1189">
        <f t="shared" si="141"/>
        <v>5.20</v>
      </c>
      <c r="O62" s="1189">
        <f t="shared" si="141"/>
        <v>8.1999999999999993</v>
      </c>
      <c r="P62" s="1189">
        <f t="shared" si="141"/>
        <v>19.50</v>
      </c>
      <c r="Q62" s="1515">
        <f t="shared" si="141"/>
        <v>32.90</v>
      </c>
      <c r="R62" s="1189">
        <f t="shared" si="141"/>
        <v>0.50</v>
      </c>
      <c r="S62" s="1189">
        <f t="shared" si="141"/>
        <v>4</v>
      </c>
      <c r="T62" s="1189">
        <f t="shared" si="141"/>
        <v>6.80</v>
      </c>
      <c r="U62" s="1189">
        <f t="shared" si="141"/>
        <v>14.90</v>
      </c>
      <c r="V62" s="1515">
        <f t="shared" si="141"/>
        <v>26.20</v>
      </c>
      <c r="W62" s="1189">
        <f t="shared" si="141"/>
        <v>6</v>
      </c>
      <c r="X62" s="1189">
        <f t="shared" si="141"/>
        <v>5.0999999999999996</v>
      </c>
      <c r="Y62" s="1189">
        <f t="shared" si="141"/>
        <v>-9.1999999999999993</v>
      </c>
      <c r="Z62" s="1189">
        <f t="shared" si="141"/>
        <v>4</v>
      </c>
      <c r="AA62" s="1515">
        <f t="shared" si="141"/>
        <v>5.90</v>
      </c>
      <c r="AB62" s="1189">
        <f t="shared" si="141"/>
        <v>11.80</v>
      </c>
      <c r="AC62" s="1189">
        <f t="shared" si="141"/>
        <v>-3</v>
      </c>
      <c r="AD62" s="1189">
        <f t="shared" si="141"/>
        <v>1.80</v>
      </c>
      <c r="AE62" s="1189">
        <f t="shared" si="141"/>
        <v>-4.9000000000000004</v>
      </c>
      <c r="AF62" s="1515">
        <f t="shared" si="141"/>
        <v>5.70</v>
      </c>
      <c r="AG62" s="1189">
        <f t="shared" si="141"/>
        <v>4.4000000000000004</v>
      </c>
      <c r="AH62" s="1189">
        <f t="shared" si="141"/>
        <v>-0.40</v>
      </c>
      <c r="AI62" s="1189">
        <f t="shared" si="141"/>
        <v>1.90</v>
      </c>
      <c r="AJ62" s="1189">
        <f t="shared" si="141"/>
        <v>3.7999999999999989</v>
      </c>
      <c r="AK62" s="1515">
        <f t="shared" si="141"/>
        <v>9.6999999999999993</v>
      </c>
      <c r="AL62" s="1189">
        <f t="shared" si="141"/>
        <v>6.40</v>
      </c>
      <c r="AM62" s="1189">
        <f t="shared" si="141"/>
        <v>0</v>
      </c>
      <c r="AN62" s="1189">
        <f t="shared" si="141"/>
        <v>0</v>
      </c>
      <c r="AO62" s="1189">
        <f>INDEX(MO_RIS_NCI,0,COLUMN())</f>
        <v>0</v>
      </c>
      <c r="AP62" s="1515">
        <f>INDEX(MO_RIS_NCI,0,COLUMN())</f>
        <v>0</v>
      </c>
      <c r="AQ62" s="1189">
        <f t="shared" si="141"/>
        <v>0</v>
      </c>
      <c r="AR62" s="1189">
        <f t="shared" si="141"/>
        <v>0</v>
      </c>
      <c r="AS62" s="1189">
        <f>INDEX(MO_RIS_NCI,0,COLUMN())</f>
        <v>0</v>
      </c>
      <c r="AT62" s="1189">
        <f t="shared" si="141"/>
        <v>0</v>
      </c>
      <c r="AU62" s="1515">
        <f t="shared" si="141"/>
        <v>0</v>
      </c>
      <c r="AV62" s="1189">
        <f>INDEX(MO_RIS_NCI,0,COLUMN())</f>
        <v>0</v>
      </c>
      <c r="AW62" s="1189">
        <f>INDEX(MO_RIS_NCI,0,COLUMN())</f>
        <v>0</v>
      </c>
      <c r="AX62" s="1189">
        <f>INDEX(MO_RIS_NCI,0,COLUMN())</f>
        <v>0</v>
      </c>
      <c r="AY62" s="1189">
        <f>INDEX(MO_RIS_NCI,0,COLUMN())</f>
        <v>0</v>
      </c>
      <c r="AZ62" s="1515">
        <f>INDEX(MO_RIS_NCI,0,COLUMN())</f>
        <v>0</v>
      </c>
      <c r="BA62" s="1189">
        <f t="shared" si="142" ref="BA62:BE62">INDEX(MO_RIS_NCI,0,COLUMN())</f>
        <v>0</v>
      </c>
      <c r="BB62" s="1189">
        <f t="shared" si="142"/>
        <v>0</v>
      </c>
      <c r="BC62" s="1189">
        <f t="shared" si="142"/>
        <v>0</v>
      </c>
      <c r="BD62" s="1189">
        <f t="shared" si="142"/>
        <v>0</v>
      </c>
      <c r="BE62" s="1515">
        <f t="shared" si="142"/>
        <v>0</v>
      </c>
      <c r="BF62" s="1189">
        <f t="shared" si="143" ref="BF62:BJ62">INDEX(MO_RIS_NCI,0,COLUMN())</f>
        <v>0</v>
      </c>
      <c r="BG62" s="1189">
        <f t="shared" si="143"/>
        <v>0</v>
      </c>
      <c r="BH62" s="1190">
        <f t="shared" si="143"/>
        <v>0</v>
      </c>
      <c r="BI62" s="1191">
        <f t="shared" si="143"/>
        <v>0</v>
      </c>
      <c r="BJ62" s="1516">
        <f t="shared" si="143"/>
        <v>0</v>
      </c>
      <c r="BK62" s="1191">
        <f t="shared" si="144" ref="BK62:BR62">INDEX(MO_RIS_NCI,0,COLUMN())</f>
        <v>0</v>
      </c>
      <c r="BL62" s="1191">
        <f t="shared" si="144"/>
        <v>0</v>
      </c>
      <c r="BM62" s="1191">
        <f t="shared" si="144"/>
        <v>0</v>
      </c>
      <c r="BN62" s="1191">
        <f t="shared" si="144"/>
        <v>0</v>
      </c>
      <c r="BO62" s="1516">
        <f t="shared" si="144"/>
        <v>0</v>
      </c>
      <c r="BP62" s="1515">
        <f t="shared" si="144"/>
        <v>0</v>
      </c>
      <c r="BQ62" s="1515">
        <f t="shared" si="144"/>
        <v>0</v>
      </c>
      <c r="BR62" s="1516">
        <f t="shared" si="144"/>
        <v>0</v>
      </c>
      <c r="BS62" s="1015"/>
    </row>
    <row r="63" spans="1:71" s="702" customFormat="1" ht="15">
      <c r="A63" s="741" t="str">
        <f>INDEX(MO_RIS_Dividend_Prefs,0,COLUMN())</f>
        <v>Earnings to Preferred and Other Securities</v>
      </c>
      <c r="B63" s="129"/>
      <c r="C63" s="1511">
        <f t="shared" si="145" ref="C63:AU63">INDEX(MO_RIS_Dividend_Prefs,0,COLUMN())</f>
        <v>0</v>
      </c>
      <c r="D63" s="1511">
        <f t="shared" si="145"/>
        <v>0</v>
      </c>
      <c r="E63" s="1511">
        <f t="shared" si="145"/>
        <v>0</v>
      </c>
      <c r="F63" s="1511">
        <f t="shared" si="145"/>
        <v>0</v>
      </c>
      <c r="G63" s="1511">
        <f t="shared" si="145"/>
        <v>0</v>
      </c>
      <c r="H63" s="1193">
        <f t="shared" si="145"/>
        <v>0</v>
      </c>
      <c r="I63" s="1193">
        <f t="shared" si="145"/>
        <v>0</v>
      </c>
      <c r="J63" s="1193">
        <f t="shared" si="145"/>
        <v>0</v>
      </c>
      <c r="K63" s="1193">
        <f t="shared" si="145"/>
        <v>0</v>
      </c>
      <c r="L63" s="1511">
        <f t="shared" si="145"/>
        <v>0</v>
      </c>
      <c r="M63" s="1193">
        <f t="shared" si="145"/>
        <v>0</v>
      </c>
      <c r="N63" s="1193">
        <f t="shared" si="145"/>
        <v>0</v>
      </c>
      <c r="O63" s="1193">
        <f t="shared" si="145"/>
        <v>0</v>
      </c>
      <c r="P63" s="1193">
        <f t="shared" si="145"/>
        <v>0</v>
      </c>
      <c r="Q63" s="1511">
        <f t="shared" si="145"/>
        <v>0</v>
      </c>
      <c r="R63" s="1193">
        <f t="shared" si="145"/>
        <v>0</v>
      </c>
      <c r="S63" s="1193">
        <f t="shared" si="145"/>
        <v>0</v>
      </c>
      <c r="T63" s="1193">
        <f t="shared" si="145"/>
        <v>0</v>
      </c>
      <c r="U63" s="1193">
        <f t="shared" si="145"/>
        <v>0</v>
      </c>
      <c r="V63" s="1511">
        <f t="shared" si="145"/>
        <v>0</v>
      </c>
      <c r="W63" s="1193">
        <f t="shared" si="145"/>
        <v>0</v>
      </c>
      <c r="X63" s="1193">
        <f t="shared" si="145"/>
        <v>0</v>
      </c>
      <c r="Y63" s="1193">
        <f t="shared" si="145"/>
        <v>0</v>
      </c>
      <c r="Z63" s="1193">
        <f t="shared" si="145"/>
        <v>0</v>
      </c>
      <c r="AA63" s="1511">
        <f t="shared" si="145"/>
        <v>0</v>
      </c>
      <c r="AB63" s="1193">
        <f t="shared" si="145"/>
        <v>1.20</v>
      </c>
      <c r="AC63" s="1193">
        <f t="shared" si="145"/>
        <v>6.70</v>
      </c>
      <c r="AD63" s="1193">
        <f t="shared" si="145"/>
        <v>6.70</v>
      </c>
      <c r="AE63" s="1193">
        <f t="shared" si="145"/>
        <v>6.7999999999999989</v>
      </c>
      <c r="AF63" s="1511">
        <f t="shared" si="145"/>
        <v>21.40</v>
      </c>
      <c r="AG63" s="1193">
        <f t="shared" si="145"/>
        <v>6.70</v>
      </c>
      <c r="AH63" s="1193">
        <f t="shared" si="145"/>
        <v>6.70</v>
      </c>
      <c r="AI63" s="1193">
        <f t="shared" si="145"/>
        <v>6.70</v>
      </c>
      <c r="AJ63" s="1193">
        <f t="shared" si="145"/>
        <v>6.80</v>
      </c>
      <c r="AK63" s="1511">
        <f t="shared" si="145"/>
        <v>26.90</v>
      </c>
      <c r="AL63" s="1193">
        <f t="shared" si="145"/>
        <v>6.70</v>
      </c>
      <c r="AM63" s="1193">
        <f t="shared" si="145"/>
        <v>6.70</v>
      </c>
      <c r="AN63" s="1193">
        <f t="shared" si="145"/>
        <v>6.70</v>
      </c>
      <c r="AO63" s="1193">
        <f>INDEX(MO_RIS_Dividend_Prefs,0,COLUMN())</f>
        <v>6.80</v>
      </c>
      <c r="AP63" s="1511">
        <f>INDEX(MO_RIS_Dividend_Prefs,0,COLUMN())</f>
        <v>26.90</v>
      </c>
      <c r="AQ63" s="1193">
        <f t="shared" si="145"/>
        <v>6.70</v>
      </c>
      <c r="AR63" s="1193">
        <f t="shared" si="145"/>
        <v>6.70</v>
      </c>
      <c r="AS63" s="1193">
        <f>INDEX(MO_RIS_Dividend_Prefs,0,COLUMN())</f>
        <v>6.70</v>
      </c>
      <c r="AT63" s="1193">
        <f t="shared" si="145"/>
        <v>6.80</v>
      </c>
      <c r="AU63" s="1511">
        <f t="shared" si="145"/>
        <v>26.90</v>
      </c>
      <c r="AV63" s="1193">
        <f>INDEX(MO_RIS_Dividend_Prefs,0,COLUMN())</f>
        <v>6.70</v>
      </c>
      <c r="AW63" s="1193">
        <f>INDEX(MO_RIS_Dividend_Prefs,0,COLUMN())</f>
        <v>6.70</v>
      </c>
      <c r="AX63" s="1193">
        <f>INDEX(MO_RIS_Dividend_Prefs,0,COLUMN())</f>
        <v>6.70</v>
      </c>
      <c r="AY63" s="1193">
        <f>INDEX(MO_RIS_Dividend_Prefs,0,COLUMN())</f>
        <v>6.80</v>
      </c>
      <c r="AZ63" s="1511">
        <f>INDEX(MO_RIS_Dividend_Prefs,0,COLUMN())</f>
        <v>26.90</v>
      </c>
      <c r="BA63" s="1193">
        <f t="shared" si="146" ref="BA63:BE63">INDEX(MO_RIS_Dividend_Prefs,0,COLUMN())</f>
        <v>7.30</v>
      </c>
      <c r="BB63" s="1193">
        <f t="shared" si="146"/>
        <v>9.50</v>
      </c>
      <c r="BC63" s="1193">
        <f t="shared" si="146"/>
        <v>10.40</v>
      </c>
      <c r="BD63" s="1193">
        <f t="shared" si="146"/>
        <v>10.400000000000002</v>
      </c>
      <c r="BE63" s="1511">
        <f t="shared" si="146"/>
        <v>37.60</v>
      </c>
      <c r="BF63" s="1193">
        <f t="shared" si="147" ref="BF63:BJ63">INDEX(MO_RIS_Dividend_Prefs,0,COLUMN())</f>
        <v>17</v>
      </c>
      <c r="BG63" s="1193">
        <f t="shared" si="147"/>
        <v>0</v>
      </c>
      <c r="BH63" s="1194">
        <f t="shared" si="147"/>
        <v>0</v>
      </c>
      <c r="BI63" s="1193">
        <f t="shared" si="147"/>
        <v>10</v>
      </c>
      <c r="BJ63" s="1511">
        <f t="shared" si="147"/>
        <v>27</v>
      </c>
      <c r="BK63" s="1193">
        <f t="shared" si="148" ref="BK63:BR63">INDEX(MO_RIS_Dividend_Prefs,0,COLUMN())</f>
        <v>10</v>
      </c>
      <c r="BL63" s="1193">
        <f t="shared" si="148"/>
        <v>10</v>
      </c>
      <c r="BM63" s="1193">
        <f t="shared" si="148"/>
        <v>20</v>
      </c>
      <c r="BN63" s="1193">
        <f t="shared" si="148"/>
        <v>10</v>
      </c>
      <c r="BO63" s="1511">
        <f t="shared" si="148"/>
        <v>50</v>
      </c>
      <c r="BP63" s="1511">
        <f t="shared" si="148"/>
        <v>26.80</v>
      </c>
      <c r="BQ63" s="1511">
        <f t="shared" si="148"/>
        <v>26.80</v>
      </c>
      <c r="BR63" s="1511">
        <f t="shared" si="148"/>
        <v>26.80</v>
      </c>
      <c r="BS63" s="1015"/>
    </row>
    <row r="64" spans="1:71" s="704" customFormat="1" ht="15">
      <c r="A64" s="124" t="str">
        <f>INDEX(MO_RIS_NI_GAAP_Basic,0,COLUMN())</f>
        <v>Net Income to Common Shareholders</v>
      </c>
      <c r="B64" s="125"/>
      <c r="C64" s="1512">
        <f t="shared" si="149" ref="C64:AU64">INDEX(SP_GF_EBT,0,COLUMN())-INDEX(SP_GF_Tax,0,COLUMN())-INDEX(SP_GF_DisCont,0,COLUMN())-INDEX(SP_GF_NCI,0,COLUMN())-INDEX(SP_GF_Div_Prefs,0,COLUMN())-INDEX(SP_GF_EI,0,COLUMN())</f>
        <v>1057.5000000000009</v>
      </c>
      <c r="D64" s="1512">
        <f t="shared" si="149"/>
        <v>1068.3000000000006</v>
      </c>
      <c r="E64" s="1512">
        <f t="shared" si="149"/>
        <v>1015.5000000000011</v>
      </c>
      <c r="F64" s="1512">
        <f t="shared" si="149"/>
        <v>902.29999999999779</v>
      </c>
      <c r="G64" s="1512">
        <f t="shared" si="149"/>
        <v>1165.4000000000015</v>
      </c>
      <c r="H64" s="1183">
        <f t="shared" si="149"/>
        <v>321.3000000000003</v>
      </c>
      <c r="I64" s="1183">
        <f t="shared" si="149"/>
        <v>293.39999999999918</v>
      </c>
      <c r="J64" s="1183">
        <f t="shared" si="149"/>
        <v>296.10000000000014</v>
      </c>
      <c r="K64" s="1183">
        <f t="shared" si="149"/>
        <v>370.1999999999976</v>
      </c>
      <c r="L64" s="1512">
        <f t="shared" si="149"/>
        <v>1281.0000000000005</v>
      </c>
      <c r="M64" s="1183">
        <f t="shared" si="149"/>
        <v>295.60000000000025</v>
      </c>
      <c r="N64" s="1183">
        <f t="shared" si="149"/>
        <v>363.30000000000041</v>
      </c>
      <c r="O64" s="1183">
        <f t="shared" si="149"/>
        <v>278.30</v>
      </c>
      <c r="P64" s="1183">
        <f t="shared" si="149"/>
        <v>330.39999999999554</v>
      </c>
      <c r="Q64" s="1512">
        <f t="shared" si="149"/>
        <v>1267.599999999999</v>
      </c>
      <c r="R64" s="1183">
        <f t="shared" si="149"/>
        <v>258.19999999999908</v>
      </c>
      <c r="S64" s="1183">
        <f t="shared" si="149"/>
        <v>190.90000000000103</v>
      </c>
      <c r="T64" s="1183">
        <f t="shared" si="149"/>
        <v>198.70000000000005</v>
      </c>
      <c r="U64" s="1183">
        <f t="shared" si="149"/>
        <v>383.19999999999919</v>
      </c>
      <c r="V64" s="1512">
        <f t="shared" si="149"/>
        <v>1031.0000000000025</v>
      </c>
      <c r="W64" s="1183">
        <f t="shared" si="149"/>
        <v>424.29999999999922</v>
      </c>
      <c r="X64" s="1183">
        <f t="shared" si="149"/>
        <v>367.60000000000105</v>
      </c>
      <c r="Y64" s="1183">
        <f t="shared" si="149"/>
        <v>224.00000000000023</v>
      </c>
      <c r="Z64" s="1183">
        <f t="shared" si="149"/>
        <v>576.30000000000155</v>
      </c>
      <c r="AA64" s="1512">
        <f t="shared" si="149"/>
        <v>1592.2000000000005</v>
      </c>
      <c r="AB64" s="1183">
        <f t="shared" si="149"/>
        <v>716.80000000000018</v>
      </c>
      <c r="AC64" s="1183">
        <f t="shared" si="149"/>
        <v>697.49999999999966</v>
      </c>
      <c r="AD64" s="1183">
        <f t="shared" si="149"/>
        <v>921.70000000000095</v>
      </c>
      <c r="AE64" s="1183">
        <f t="shared" si="149"/>
        <v>257.89999999999924</v>
      </c>
      <c r="AF64" s="1512">
        <f t="shared" si="149"/>
        <v>2593.90</v>
      </c>
      <c r="AG64" s="1183">
        <f t="shared" si="149"/>
        <v>1071.699999999998</v>
      </c>
      <c r="AH64" s="1183">
        <f t="shared" si="149"/>
        <v>972.69999999999845</v>
      </c>
      <c r="AI64" s="1183">
        <f t="shared" si="149"/>
        <v>834.99999999999966</v>
      </c>
      <c r="AJ64" s="1183">
        <f t="shared" si="149"/>
        <v>1064.0000000000016</v>
      </c>
      <c r="AK64" s="1512">
        <f t="shared" si="149"/>
        <v>3943.3999999999946</v>
      </c>
      <c r="AL64" s="1183">
        <f t="shared" si="149"/>
        <v>686.00000000000136</v>
      </c>
      <c r="AM64" s="1183">
        <f t="shared" si="149"/>
        <v>1783.6999999999987</v>
      </c>
      <c r="AN64" s="1183">
        <f t="shared" si="149"/>
        <v>1524.10</v>
      </c>
      <c r="AO64" s="1183">
        <f>INDEX(SP_GF_EBT,0,COLUMN())-INDEX(SP_GF_Tax,0,COLUMN())-INDEX(SP_GF_DisCont,0,COLUMN())-INDEX(SP_GF_NCI,0,COLUMN())-INDEX(SP_GF_Div_Prefs,0,COLUMN())-INDEX(SP_GF_EI,0,COLUMN())</f>
        <v>1677.50</v>
      </c>
      <c r="AP64" s="1512">
        <f>INDEX(SP_GF_EBT,0,COLUMN())-INDEX(SP_GF_Tax,0,COLUMN())-INDEX(SP_GF_DisCont,0,COLUMN())-INDEX(SP_GF_NCI,0,COLUMN())-INDEX(SP_GF_Div_Prefs,0,COLUMN())-INDEX(SP_GF_EI,0,COLUMN())</f>
        <v>5677.6999999999989</v>
      </c>
      <c r="AQ64" s="1183">
        <f t="shared" si="149"/>
        <v>1473.3000000000009</v>
      </c>
      <c r="AR64" s="1183">
        <f t="shared" si="149"/>
        <v>783.40000000000009</v>
      </c>
      <c r="AS64" s="1183">
        <f>INDEX(SP_GF_EBT,0,COLUMN())-INDEX(SP_GF_Tax,0,COLUMN())-INDEX(SP_GF_DisCont,0,COLUMN())-INDEX(SP_GF_NCI,0,COLUMN())-INDEX(SP_GF_Div_Prefs,0,COLUMN())-INDEX(SP_GF_EI,0,COLUMN())</f>
        <v>111.79999999999806</v>
      </c>
      <c r="AT64" s="1183">
        <f t="shared" si="149"/>
        <v>955.49999999999307</v>
      </c>
      <c r="AU64" s="1512">
        <f t="shared" si="149"/>
        <v>3323.9999999999945</v>
      </c>
      <c r="AV64" s="1183">
        <f>INDEX(SP_GF_EBT,0,COLUMN())-INDEX(SP_GF_Tax,0,COLUMN())-INDEX(SP_GF_DisCont,0,COLUMN())-INDEX(SP_GF_NCI,0,COLUMN())-INDEX(SP_GF_Div_Prefs,0,COLUMN())-INDEX(SP_GF_EI,0,COLUMN())</f>
        <v>307.20000000000215</v>
      </c>
      <c r="AW64" s="1183">
        <f>INDEX(SP_GF_EBT,0,COLUMN())-INDEX(SP_GF_Tax,0,COLUMN())-INDEX(SP_GF_DisCont,0,COLUMN())-INDEX(SP_GF_NCI,0,COLUMN())-INDEX(SP_GF_Div_Prefs,0,COLUMN())-INDEX(SP_GF_EI,0,COLUMN())</f>
        <v>-549.6000000000015</v>
      </c>
      <c r="AX64" s="1183">
        <f>INDEX(SP_GF_EBT,0,COLUMN())-INDEX(SP_GF_Tax,0,COLUMN())-INDEX(SP_GF_DisCont,0,COLUMN())-INDEX(SP_GF_NCI,0,COLUMN())-INDEX(SP_GF_Div_Prefs,0,COLUMN())-INDEX(SP_GF_EI,0,COLUMN())</f>
        <v>117.39999999999982</v>
      </c>
      <c r="AY64" s="1183">
        <f>INDEX(SP_GF_EBT,0,COLUMN())-INDEX(SP_GF_Tax,0,COLUMN())-INDEX(SP_GF_DisCont,0,COLUMN())-INDEX(SP_GF_NCI,0,COLUMN())-INDEX(SP_GF_Div_Prefs,0,COLUMN())-INDEX(SP_GF_EI,0,COLUMN())</f>
        <v>819.59999999999866</v>
      </c>
      <c r="AZ64" s="1512">
        <f>INDEX(SP_GF_EBT,0,COLUMN())-INDEX(SP_GF_Tax,0,COLUMN())-INDEX(SP_GF_DisCont,0,COLUMN())-INDEX(SP_GF_NCI,0,COLUMN())-INDEX(SP_GF_Div_Prefs,0,COLUMN())-INDEX(SP_GF_EI,0,COLUMN())</f>
        <v>694.60000000000696</v>
      </c>
      <c r="BA64" s="1183">
        <f t="shared" si="150" ref="BA64:BE64">INDEX(SP_GF_EBT,0,COLUMN())-INDEX(SP_GF_Tax,0,COLUMN())-INDEX(SP_GF_DisCont,0,COLUMN())-INDEX(SP_GF_NCI,0,COLUMN())-INDEX(SP_GF_Div_Prefs,0,COLUMN())-INDEX(SP_GF_EI,0,COLUMN())</f>
        <v>440.60000000000053</v>
      </c>
      <c r="BB64" s="1183">
        <f t="shared" si="150"/>
        <v>335.9000000000014</v>
      </c>
      <c r="BC64" s="1183">
        <f t="shared" si="150"/>
        <v>1110.9000000000005</v>
      </c>
      <c r="BD64" s="1183">
        <f t="shared" si="150"/>
        <v>1977.400000000006</v>
      </c>
      <c r="BE64" s="1512">
        <f t="shared" si="150"/>
        <v>3864.8000000000015</v>
      </c>
      <c r="BF64" s="1183">
        <f t="shared" si="151" ref="BF64:BJ64">INDEX(SP_GF_EBT,0,COLUMN())-INDEX(SP_GF_Tax,0,COLUMN())-INDEX(SP_GF_DisCont,0,COLUMN())-INDEX(SP_GF_NCI,0,COLUMN())-INDEX(SP_GF_Div_Prefs,0,COLUMN())-INDEX(SP_GF_EI,0,COLUMN())</f>
        <v>2314.40</v>
      </c>
      <c r="BG64" s="1183">
        <f t="shared" si="151"/>
        <v>1458.6999999999982</v>
      </c>
      <c r="BH64" s="1184">
        <f t="shared" si="151"/>
        <v>2333.4000000000133</v>
      </c>
      <c r="BI64" s="1183">
        <f t="shared" si="151"/>
        <v>1641.241149051843</v>
      </c>
      <c r="BJ64" s="1512">
        <f t="shared" si="151"/>
        <v>7747.741149051848</v>
      </c>
      <c r="BK64" s="1183">
        <f t="shared" si="152" ref="BK64:BR64">INDEX(SP_GF_EBT,0,COLUMN())-INDEX(SP_GF_Tax,0,COLUMN())-INDEX(SP_GF_DisCont,0,COLUMN())-INDEX(SP_GF_NCI,0,COLUMN())-INDEX(SP_GF_Div_Prefs,0,COLUMN())-INDEX(SP_GF_EI,0,COLUMN())</f>
        <v>2030.439299543955</v>
      </c>
      <c r="BL64" s="1183">
        <f t="shared" si="152"/>
        <v>1425.7459501265862</v>
      </c>
      <c r="BM64" s="1183">
        <f t="shared" si="152"/>
        <v>1236.2839708479355</v>
      </c>
      <c r="BN64" s="1183">
        <f t="shared" si="152"/>
        <v>2194.9368076464907</v>
      </c>
      <c r="BO64" s="1512">
        <f t="shared" si="152"/>
        <v>6887.406028164969</v>
      </c>
      <c r="BP64" s="1512">
        <f t="shared" si="152"/>
        <v>7429.0004158312449</v>
      </c>
      <c r="BQ64" s="1512">
        <f t="shared" si="152"/>
        <v>7848.0224004774773</v>
      </c>
      <c r="BR64" s="1512">
        <f t="shared" si="152"/>
        <v>8288.7090160141106</v>
      </c>
      <c r="BS64" s="1016"/>
    </row>
    <row r="65" spans="1:71" s="703" customFormat="1" ht="15">
      <c r="A65" s="137" t="str">
        <f>INDEX(MO_RIS_EPS_WAD,0,COLUMN())</f>
        <v>Earnings Per Share - WAD</v>
      </c>
      <c r="B65" s="138"/>
      <c r="C65" s="1525">
        <f t="shared" si="153" ref="C65:AH65">INDEX(MO_RIS_EPS_WAD,0,COLUMN())</f>
        <v>1.5731925022314792</v>
      </c>
      <c r="D65" s="1525">
        <f t="shared" si="153"/>
        <v>1.6105834464043429</v>
      </c>
      <c r="E65" s="1525">
        <f t="shared" si="153"/>
        <v>1.5944418276024515</v>
      </c>
      <c r="F65" s="1525">
        <f t="shared" si="153"/>
        <v>1.4845343863112828</v>
      </c>
      <c r="G65" s="1525">
        <f t="shared" si="153"/>
        <v>1.9307488402915869</v>
      </c>
      <c r="H65" s="237">
        <f t="shared" si="153"/>
        <v>0.53756064915509483</v>
      </c>
      <c r="I65" s="237">
        <f t="shared" si="153"/>
        <v>0.49269521410579209</v>
      </c>
      <c r="J65" s="237">
        <f t="shared" si="153"/>
        <v>0.49873673572511396</v>
      </c>
      <c r="K65" s="237">
        <f t="shared" si="153"/>
        <v>0.62565489268209795</v>
      </c>
      <c r="L65" s="1525">
        <f t="shared" si="153"/>
        <v>2.1536650975117713</v>
      </c>
      <c r="M65" s="237">
        <f t="shared" si="153"/>
        <v>0.50016920473773308</v>
      </c>
      <c r="N65" s="237">
        <f t="shared" si="153"/>
        <v>0.61628498727735403</v>
      </c>
      <c r="O65" s="237">
        <f t="shared" si="153"/>
        <v>0.47241554914275974</v>
      </c>
      <c r="P65" s="237">
        <f t="shared" si="153"/>
        <v>0.56276613864758218</v>
      </c>
      <c r="Q65" s="1525">
        <f t="shared" si="153"/>
        <v>2.1513917175831625</v>
      </c>
      <c r="R65" s="237">
        <f t="shared" si="153"/>
        <v>0.44099060631938375</v>
      </c>
      <c r="S65" s="237">
        <f t="shared" si="153"/>
        <v>0.32626901384378965</v>
      </c>
      <c r="T65" s="237">
        <f t="shared" si="153"/>
        <v>0.33989052343482756</v>
      </c>
      <c r="U65" s="237">
        <f t="shared" si="153"/>
        <v>0.65740264196259968</v>
      </c>
      <c r="V65" s="1525">
        <f t="shared" si="153"/>
        <v>1.7623931623931681</v>
      </c>
      <c r="W65" s="237">
        <f t="shared" si="153"/>
        <v>0.72741299502828627</v>
      </c>
      <c r="X65" s="237">
        <f t="shared" si="153"/>
        <v>0.62966769441589765</v>
      </c>
      <c r="Y65" s="237">
        <f t="shared" si="153"/>
        <v>0.38251366120218555</v>
      </c>
      <c r="Z65" s="237">
        <f t="shared" si="153"/>
        <v>0.98361495135688948</v>
      </c>
      <c r="AA65" s="1525">
        <f t="shared" si="153"/>
        <v>2.7184565477206752</v>
      </c>
      <c r="AB65" s="237">
        <f t="shared" si="153"/>
        <v>1.2240437158469948</v>
      </c>
      <c r="AC65" s="237">
        <f t="shared" si="153"/>
        <v>1.1906794127688627</v>
      </c>
      <c r="AD65" s="237">
        <f t="shared" si="153"/>
        <v>1.5712580975110819</v>
      </c>
      <c r="AE65" s="237">
        <f t="shared" si="153"/>
        <v>0.43965223320831809</v>
      </c>
      <c r="AF65" s="1525">
        <f t="shared" si="153"/>
        <v>4.4211692517470587</v>
      </c>
      <c r="AG65" s="237">
        <f t="shared" si="153"/>
        <v>1.8269689737470132</v>
      </c>
      <c r="AH65" s="237">
        <f t="shared" si="153"/>
        <v>1.6573521894700947</v>
      </c>
      <c r="AI65" s="237">
        <f t="shared" si="154" ref="AI65:BE65">INDEX(MO_RIS_EPS_WAD,0,COLUMN())</f>
        <v>1.4222449327201492</v>
      </c>
      <c r="AJ65" s="237">
        <f t="shared" si="154"/>
        <v>1.8126064735945504</v>
      </c>
      <c r="AK65" s="1525">
        <f t="shared" si="154"/>
        <v>6.7155994550408638</v>
      </c>
      <c r="AL65" s="237">
        <f t="shared" si="154"/>
        <v>1.1688532969841567</v>
      </c>
      <c r="AM65" s="237">
        <f t="shared" si="154"/>
        <v>3.0376362397820138</v>
      </c>
      <c r="AN65" s="237">
        <f t="shared" si="154"/>
        <v>2.5876061120543281</v>
      </c>
      <c r="AO65" s="237">
        <f t="shared" si="154"/>
        <v>2.8548332198774675</v>
      </c>
      <c r="AP65" s="1525">
        <f t="shared" si="154"/>
        <v>9.6625255275697732</v>
      </c>
      <c r="AQ65" s="237">
        <f t="shared" si="154"/>
        <v>2.5103084000681557</v>
      </c>
      <c r="AR65" s="237">
        <f t="shared" si="154"/>
        <v>1.3350374914792089</v>
      </c>
      <c r="AS65" s="237">
        <f t="shared" si="154"/>
        <v>0.19042752512348521</v>
      </c>
      <c r="AT65" s="237">
        <f t="shared" si="154"/>
        <v>1.6297117516629591</v>
      </c>
      <c r="AU65" s="1525">
        <f t="shared" si="154"/>
        <v>5.66172713336739</v>
      </c>
      <c r="AV65" s="237">
        <f t="shared" si="154"/>
        <v>0.52405322415558264</v>
      </c>
      <c r="AW65" s="237">
        <f t="shared" si="154"/>
        <v>-0.93708439897698548</v>
      </c>
      <c r="AX65" s="237">
        <f>INDEX(MO_RIS_EPS_WAD,0,COLUMN())</f>
        <v>0.19996593425310771</v>
      </c>
      <c r="AY65" s="237">
        <f t="shared" si="154"/>
        <v>1.3960143076136924</v>
      </c>
      <c r="AZ65" s="1525">
        <f t="shared" si="154"/>
        <v>1.1831033895418286</v>
      </c>
      <c r="BA65" s="237">
        <f t="shared" si="154"/>
        <v>0.75059625212947279</v>
      </c>
      <c r="BB65" s="237">
        <f t="shared" si="154"/>
        <v>0.5721342190427553</v>
      </c>
      <c r="BC65" s="237">
        <f t="shared" si="154"/>
        <v>1.8908936170212782</v>
      </c>
      <c r="BD65" s="237">
        <f t="shared" si="154"/>
        <v>3.3657872340425632</v>
      </c>
      <c r="BE65" s="1525">
        <f t="shared" si="154"/>
        <v>6.5783829787234049</v>
      </c>
      <c r="BF65" s="237">
        <f t="shared" si="155" ref="BF65:BJ65">INDEX(MO_RIS_EPS_WAD,0,COLUMN())</f>
        <v>3.9407457857994208</v>
      </c>
      <c r="BG65" s="237">
        <f t="shared" si="155"/>
        <v>2.4833163091590027</v>
      </c>
      <c r="BH65" s="852">
        <f t="shared" si="155"/>
        <v>3.971068754254619</v>
      </c>
      <c r="BI65" s="88">
        <f t="shared" ca="1" si="155"/>
        <v>2.7899714313065687</v>
      </c>
      <c r="BJ65" s="1526">
        <f t="shared" ca="1" si="155"/>
        <v>13.179971347609799</v>
      </c>
      <c r="BK65" s="88">
        <f ca="1" t="shared" si="156" ref="BK65:BR65">INDEX(MO_RIS_EPS_WAD,0,COLUMN())</f>
        <v>3.4488521875836851</v>
      </c>
      <c r="BL65" s="88">
        <f t="shared" ca="1" si="156"/>
        <v>2.4217355525659281</v>
      </c>
      <c r="BM65" s="88">
        <f t="shared" ca="1" si="156"/>
        <v>2.0999202873443239</v>
      </c>
      <c r="BN65" s="88">
        <f t="shared" ca="1" si="156"/>
        <v>3.7282634414925906</v>
      </c>
      <c r="BO65" s="1526">
        <f t="shared" ca="1" si="156"/>
        <v>11.698771468986532</v>
      </c>
      <c r="BP65" s="1525">
        <f t="shared" ca="1" si="156"/>
        <v>12.618709823758035</v>
      </c>
      <c r="BQ65" s="1525">
        <f t="shared" ca="1" si="156"/>
        <v>13.330449834265808</v>
      </c>
      <c r="BR65" s="1526">
        <f t="shared" ca="1" si="156"/>
        <v>14.078988831897378</v>
      </c>
      <c r="BS65" s="88"/>
    </row>
    <row r="66" spans="1:71" s="702" customFormat="1" ht="15">
      <c r="A66" s="740" t="str">
        <f>INDEX(MO_RIS_ShareCount_WAD_Adj,0,COLUMN())</f>
        <v>Adjusted Shares Outstanding - WAD</v>
      </c>
      <c r="B66" s="300"/>
      <c r="C66" s="1515">
        <f t="shared" si="157" ref="C66:AH66">INDEX(MO_RIS_ShareCount_WAD_Adj,0,COLUMN())</f>
        <v>672.20</v>
      </c>
      <c r="D66" s="1515">
        <f t="shared" si="157"/>
        <v>663.30</v>
      </c>
      <c r="E66" s="1515">
        <f t="shared" si="157"/>
        <v>636.90</v>
      </c>
      <c r="F66" s="1515">
        <f t="shared" si="157"/>
        <v>607.79999999999995</v>
      </c>
      <c r="G66" s="1515">
        <f t="shared" si="157"/>
        <v>603.60</v>
      </c>
      <c r="H66" s="1189">
        <f t="shared" si="157"/>
        <v>597.70000000000005</v>
      </c>
      <c r="I66" s="1189">
        <f t="shared" si="157"/>
        <v>595.50</v>
      </c>
      <c r="J66" s="1189">
        <f t="shared" si="157"/>
        <v>593.70000000000005</v>
      </c>
      <c r="K66" s="1189">
        <f t="shared" si="157"/>
        <v>591.70000000000005</v>
      </c>
      <c r="L66" s="1515">
        <f t="shared" si="157"/>
        <v>594.79999999999995</v>
      </c>
      <c r="M66" s="1189">
        <f t="shared" si="157"/>
        <v>591</v>
      </c>
      <c r="N66" s="1189">
        <f t="shared" si="157"/>
        <v>589.50</v>
      </c>
      <c r="O66" s="1189">
        <f t="shared" si="157"/>
        <v>589.10</v>
      </c>
      <c r="P66" s="1189">
        <f t="shared" si="157"/>
        <v>587.10</v>
      </c>
      <c r="Q66" s="1515">
        <f t="shared" si="157"/>
        <v>589.20000000000005</v>
      </c>
      <c r="R66" s="1189">
        <f t="shared" si="157"/>
        <v>585.50</v>
      </c>
      <c r="S66" s="1189">
        <f t="shared" si="157"/>
        <v>585.10</v>
      </c>
      <c r="T66" s="1189">
        <f t="shared" si="157"/>
        <v>584.60</v>
      </c>
      <c r="U66" s="1189">
        <f t="shared" si="157"/>
        <v>582.90</v>
      </c>
      <c r="V66" s="1515">
        <f t="shared" si="157"/>
        <v>585</v>
      </c>
      <c r="W66" s="1189">
        <f t="shared" si="157"/>
        <v>583.29999999999995</v>
      </c>
      <c r="X66" s="1189">
        <f t="shared" si="157"/>
        <v>583.79999999999995</v>
      </c>
      <c r="Y66" s="1189">
        <f t="shared" si="157"/>
        <v>585.60</v>
      </c>
      <c r="Z66" s="1189">
        <f t="shared" si="157"/>
        <v>585.90</v>
      </c>
      <c r="AA66" s="1515">
        <f t="shared" si="157"/>
        <v>585.70000000000005</v>
      </c>
      <c r="AB66" s="1189">
        <f t="shared" si="157"/>
        <v>585.60</v>
      </c>
      <c r="AC66" s="1189">
        <f t="shared" si="157"/>
        <v>585.79999999999995</v>
      </c>
      <c r="AD66" s="1189">
        <f t="shared" si="157"/>
        <v>586.60</v>
      </c>
      <c r="AE66" s="1189">
        <f t="shared" si="157"/>
        <v>586.60</v>
      </c>
      <c r="AF66" s="1515">
        <f t="shared" si="157"/>
        <v>586.70000000000005</v>
      </c>
      <c r="AG66" s="1189">
        <f t="shared" si="157"/>
        <v>586.60</v>
      </c>
      <c r="AH66" s="1189">
        <f t="shared" si="157"/>
        <v>586.90</v>
      </c>
      <c r="AI66" s="1189">
        <f t="shared" si="158" ref="AI66:BJ66">INDEX(MO_RIS_ShareCount_WAD_Adj,0,COLUMN())</f>
        <v>587.10</v>
      </c>
      <c r="AJ66" s="1189">
        <f t="shared" si="158"/>
        <v>587</v>
      </c>
      <c r="AK66" s="1515">
        <f t="shared" si="158"/>
        <v>587.20000000000005</v>
      </c>
      <c r="AL66" s="1189">
        <f t="shared" si="158"/>
        <v>586.90</v>
      </c>
      <c r="AM66" s="1189">
        <f t="shared" si="158"/>
        <v>587.20000000000005</v>
      </c>
      <c r="AN66" s="1189">
        <f t="shared" si="158"/>
        <v>589.00000000000023</v>
      </c>
      <c r="AO66" s="1189">
        <f t="shared" si="158"/>
        <v>587.60</v>
      </c>
      <c r="AP66" s="1515">
        <f t="shared" si="158"/>
        <v>587.60</v>
      </c>
      <c r="AQ66" s="1189">
        <f t="shared" si="158"/>
        <v>586.90</v>
      </c>
      <c r="AR66" s="1189">
        <f t="shared" si="158"/>
        <v>586.79999999999995</v>
      </c>
      <c r="AS66" s="1189">
        <f t="shared" si="158"/>
        <v>587.10</v>
      </c>
      <c r="AT66" s="1189">
        <f t="shared" si="158"/>
        <v>586.29999999999995</v>
      </c>
      <c r="AU66" s="1515">
        <f t="shared" si="158"/>
        <v>587.10</v>
      </c>
      <c r="AV66" s="1189">
        <f t="shared" si="158"/>
        <v>586.20000000000005</v>
      </c>
      <c r="AW66" s="1189">
        <f t="shared" si="158"/>
        <v>586.50</v>
      </c>
      <c r="AX66" s="1189">
        <f t="shared" si="158"/>
        <v>587.10</v>
      </c>
      <c r="AY66" s="1189">
        <f t="shared" si="158"/>
        <v>587.10</v>
      </c>
      <c r="AZ66" s="1515">
        <f t="shared" si="158"/>
        <v>587.10</v>
      </c>
      <c r="BA66" s="1189">
        <f t="shared" si="158"/>
        <v>587</v>
      </c>
      <c r="BB66" s="1189">
        <f t="shared" si="158"/>
        <v>587.10</v>
      </c>
      <c r="BC66" s="1189">
        <f t="shared" si="158"/>
        <v>587.50</v>
      </c>
      <c r="BD66" s="1189">
        <f t="shared" si="158"/>
        <v>587.50</v>
      </c>
      <c r="BE66" s="1515">
        <f t="shared" si="158"/>
        <v>587.50</v>
      </c>
      <c r="BF66" s="1189">
        <f t="shared" si="158"/>
        <v>587.29999999999995</v>
      </c>
      <c r="BG66" s="1189">
        <f t="shared" si="158"/>
        <v>587.40</v>
      </c>
      <c r="BH66" s="1190">
        <f t="shared" si="158"/>
        <v>587.60</v>
      </c>
      <c r="BI66" s="1189">
        <f t="shared" ca="1" si="158"/>
        <v>588.2645</v>
      </c>
      <c r="BJ66" s="1515">
        <f t="shared" ca="1" si="158"/>
        <v>587.84203278688528</v>
      </c>
      <c r="BK66" s="1189">
        <f ca="1" t="shared" si="159" ref="BK66:BR66">INDEX(MO_RIS_ShareCount_WAD_Adj,0,COLUMN())</f>
        <v>588.72899999999993</v>
      </c>
      <c r="BL66" s="1189">
        <f t="shared" ca="1" si="159"/>
        <v>588.72899999999993</v>
      </c>
      <c r="BM66" s="1189">
        <f t="shared" ca="1" si="159"/>
        <v>588.72899999999993</v>
      </c>
      <c r="BN66" s="1189">
        <f t="shared" ca="1" si="159"/>
        <v>588.72899999999993</v>
      </c>
      <c r="BO66" s="1515">
        <f t="shared" ca="1" si="159"/>
        <v>588.72899999999993</v>
      </c>
      <c r="BP66" s="1515">
        <f t="shared" ca="1" si="159"/>
        <v>588.72899999999993</v>
      </c>
      <c r="BQ66" s="1515">
        <f t="shared" ca="1" si="159"/>
        <v>588.72899999999993</v>
      </c>
      <c r="BR66" s="1515">
        <f t="shared" ca="1" si="159"/>
        <v>588.72899999999993</v>
      </c>
      <c r="BS66" s="1015"/>
    </row>
    <row r="67" spans="1:71" s="702" customFormat="1" ht="15">
      <c r="A67" s="122"/>
      <c r="B67" s="123"/>
      <c r="C67" s="1515"/>
      <c r="D67" s="1515"/>
      <c r="E67" s="1515"/>
      <c r="F67" s="1515"/>
      <c r="G67" s="1515"/>
      <c r="H67" s="1189"/>
      <c r="I67" s="1189"/>
      <c r="J67" s="1189"/>
      <c r="K67" s="1189"/>
      <c r="L67" s="1515"/>
      <c r="M67" s="1189"/>
      <c r="N67" s="1189"/>
      <c r="O67" s="1189"/>
      <c r="P67" s="1189"/>
      <c r="Q67" s="1515"/>
      <c r="R67" s="1189"/>
      <c r="S67" s="1189"/>
      <c r="T67" s="1189"/>
      <c r="U67" s="1189"/>
      <c r="V67" s="1515"/>
      <c r="W67" s="1189"/>
      <c r="X67" s="1189"/>
      <c r="Y67" s="1189"/>
      <c r="Z67" s="1189"/>
      <c r="AA67" s="1515"/>
      <c r="AB67" s="1189"/>
      <c r="AC67" s="1189"/>
      <c r="AD67" s="1189"/>
      <c r="AE67" s="1189"/>
      <c r="AF67" s="1515"/>
      <c r="AG67" s="1189"/>
      <c r="AH67" s="1189"/>
      <c r="AI67" s="1189"/>
      <c r="AJ67" s="1189"/>
      <c r="AK67" s="1515"/>
      <c r="AL67" s="1189"/>
      <c r="AM67" s="1189"/>
      <c r="AN67" s="1189"/>
      <c r="AO67" s="1189"/>
      <c r="AP67" s="1515"/>
      <c r="AQ67" s="1189"/>
      <c r="AR67" s="1189"/>
      <c r="AS67" s="1189"/>
      <c r="AT67" s="1189"/>
      <c r="AU67" s="1515"/>
      <c r="AV67" s="1189"/>
      <c r="AW67" s="1189"/>
      <c r="AX67" s="1189"/>
      <c r="AY67" s="1189"/>
      <c r="AZ67" s="1515"/>
      <c r="BA67" s="1189"/>
      <c r="BB67" s="1189"/>
      <c r="BC67" s="1189"/>
      <c r="BD67" s="1189"/>
      <c r="BE67" s="1515"/>
      <c r="BF67" s="1189"/>
      <c r="BG67" s="1189"/>
      <c r="BH67" s="1190"/>
      <c r="BI67" s="1191"/>
      <c r="BJ67" s="1516"/>
      <c r="BK67" s="1191"/>
      <c r="BL67" s="1191"/>
      <c r="BM67" s="1191"/>
      <c r="BN67" s="1191"/>
      <c r="BO67" s="1516"/>
      <c r="BP67" s="1515"/>
      <c r="BQ67" s="1515"/>
      <c r="BR67" s="1516"/>
      <c r="BS67" s="1015"/>
    </row>
    <row r="68" spans="1:71" ht="15">
      <c r="A68" s="75" t="s">
        <v>286</v>
      </c>
      <c r="B68" s="76"/>
      <c r="C68" s="238"/>
      <c r="D68" s="238"/>
      <c r="E68" s="238"/>
      <c r="F68" s="238"/>
      <c r="G68" s="238"/>
      <c r="H68" s="238"/>
      <c r="I68" s="238"/>
      <c r="J68" s="238"/>
      <c r="K68" s="238"/>
      <c r="L68" s="238"/>
      <c r="M68" s="238"/>
      <c r="N68" s="238"/>
      <c r="O68" s="238"/>
      <c r="P68" s="238"/>
      <c r="Q68" s="238"/>
      <c r="R68" s="238"/>
      <c r="S68" s="238"/>
      <c r="T68" s="238"/>
      <c r="U68" s="238"/>
      <c r="V68" s="238"/>
      <c r="W68" s="238"/>
      <c r="X68" s="238"/>
      <c r="Y68" s="238"/>
      <c r="Z68" s="238"/>
      <c r="AA68" s="238"/>
      <c r="AB68" s="238"/>
      <c r="AC68" s="238"/>
      <c r="AD68" s="238"/>
      <c r="AE68" s="238"/>
      <c r="AF68" s="238"/>
      <c r="AG68" s="238"/>
      <c r="AH68" s="238"/>
      <c r="AI68" s="238"/>
      <c r="AJ68" s="238"/>
      <c r="AK68" s="238"/>
      <c r="AL68" s="238"/>
      <c r="AM68" s="238"/>
      <c r="AN68" s="238"/>
      <c r="AO68" s="238"/>
      <c r="AP68" s="238"/>
      <c r="AQ68" s="238"/>
      <c r="AR68" s="238"/>
      <c r="AS68" s="238"/>
      <c r="AT68" s="238"/>
      <c r="AU68" s="238"/>
      <c r="AV68" s="238"/>
      <c r="AW68" s="238"/>
      <c r="AX68" s="238"/>
      <c r="AY68" s="238"/>
      <c r="AZ68" s="238"/>
      <c r="BA68" s="238"/>
      <c r="BB68" s="238"/>
      <c r="BC68" s="238"/>
      <c r="BD68" s="238"/>
      <c r="BE68" s="238"/>
      <c r="BF68" s="238"/>
      <c r="BG68" s="238"/>
      <c r="BH68" s="380"/>
      <c r="BI68" s="76"/>
      <c r="BJ68" s="76"/>
      <c r="BK68" s="76"/>
      <c r="BL68" s="76"/>
      <c r="BM68" s="76"/>
      <c r="BN68" s="76"/>
      <c r="BO68" s="76"/>
      <c r="BP68" s="238"/>
      <c r="BQ68" s="238"/>
      <c r="BR68" s="76"/>
      <c r="BS68" s="83"/>
    </row>
    <row r="69" spans="1:71" s="704" customFormat="1" ht="15">
      <c r="A69" s="121" t="str">
        <f>INDEX(MO_RIS_NI_NONGAAP_Diluted,0,COLUMN())</f>
        <v>Adjusted Net Income</v>
      </c>
      <c r="B69" s="128"/>
      <c r="C69" s="1517">
        <f t="shared" si="160" ref="C69:AU69">INDEX(MO_RIS_NI_NONGAAP_Diluted,0,COLUMN())</f>
        <v>1057.5000000000005</v>
      </c>
      <c r="D69" s="1517">
        <f t="shared" si="160"/>
        <v>1068.3000000000006</v>
      </c>
      <c r="E69" s="1517">
        <f t="shared" si="160"/>
        <v>1015.5000000000014</v>
      </c>
      <c r="F69" s="1517">
        <f t="shared" si="160"/>
        <v>902.29999999999757</v>
      </c>
      <c r="G69" s="1517">
        <f t="shared" si="160"/>
        <v>1165.4000000000019</v>
      </c>
      <c r="H69" s="1196">
        <f t="shared" si="160"/>
        <v>321.30000000000018</v>
      </c>
      <c r="I69" s="1196">
        <f t="shared" si="160"/>
        <v>293.39999999999918</v>
      </c>
      <c r="J69" s="1196">
        <f t="shared" si="160"/>
        <v>296.10000000000019</v>
      </c>
      <c r="K69" s="1196">
        <f t="shared" si="160"/>
        <v>370.19999999999737</v>
      </c>
      <c r="L69" s="1517">
        <f t="shared" si="160"/>
        <v>1281.0000000000014</v>
      </c>
      <c r="M69" s="1196">
        <f t="shared" si="160"/>
        <v>295.60000000000025</v>
      </c>
      <c r="N69" s="1196">
        <f t="shared" si="160"/>
        <v>363.30000000000018</v>
      </c>
      <c r="O69" s="1196">
        <f t="shared" si="160"/>
        <v>278.29999999999978</v>
      </c>
      <c r="P69" s="1196">
        <f t="shared" si="160"/>
        <v>330.39999999999554</v>
      </c>
      <c r="Q69" s="1517">
        <f t="shared" si="160"/>
        <v>1267.5999999999995</v>
      </c>
      <c r="R69" s="1196">
        <f t="shared" si="160"/>
        <v>258.19999999999919</v>
      </c>
      <c r="S69" s="1196">
        <f t="shared" si="160"/>
        <v>190.90000000000131</v>
      </c>
      <c r="T69" s="1196">
        <f t="shared" si="160"/>
        <v>198.70000000000022</v>
      </c>
      <c r="U69" s="1196">
        <f t="shared" si="160"/>
        <v>383.19999999999931</v>
      </c>
      <c r="V69" s="1517">
        <f t="shared" si="160"/>
        <v>1031.0000000000034</v>
      </c>
      <c r="W69" s="1196">
        <f t="shared" si="160"/>
        <v>424.29999999999933</v>
      </c>
      <c r="X69" s="1196">
        <f t="shared" si="160"/>
        <v>367.60000000000105</v>
      </c>
      <c r="Y69" s="1196">
        <f t="shared" si="160"/>
        <v>223.99999999999986</v>
      </c>
      <c r="Z69" s="1196">
        <f t="shared" si="160"/>
        <v>576.30000000000155</v>
      </c>
      <c r="AA69" s="1517">
        <f t="shared" si="160"/>
        <v>1592.1999999999996</v>
      </c>
      <c r="AB69" s="1196">
        <f t="shared" si="160"/>
        <v>716.80000000000018</v>
      </c>
      <c r="AC69" s="1196">
        <f t="shared" si="160"/>
        <v>697.49999999999966</v>
      </c>
      <c r="AD69" s="1196">
        <f t="shared" si="160"/>
        <v>921.70000000000073</v>
      </c>
      <c r="AE69" s="1196">
        <f t="shared" si="160"/>
        <v>257.89999999999941</v>
      </c>
      <c r="AF69" s="1517">
        <f t="shared" si="160"/>
        <v>2593.8999999999996</v>
      </c>
      <c r="AG69" s="1196">
        <f t="shared" si="160"/>
        <v>1071.699999999998</v>
      </c>
      <c r="AH69" s="1196">
        <f t="shared" si="160"/>
        <v>972.69999999999857</v>
      </c>
      <c r="AI69" s="1196">
        <f t="shared" si="160"/>
        <v>834.99999999999966</v>
      </c>
      <c r="AJ69" s="1196">
        <f t="shared" si="160"/>
        <v>1064.0000000000011</v>
      </c>
      <c r="AK69" s="1517">
        <f t="shared" si="160"/>
        <v>3943.3999999999955</v>
      </c>
      <c r="AL69" s="1196">
        <f t="shared" si="160"/>
        <v>686.00000000000159</v>
      </c>
      <c r="AM69" s="1196">
        <f t="shared" si="160"/>
        <v>1783.6999999999987</v>
      </c>
      <c r="AN69" s="1196">
        <f t="shared" si="160"/>
        <v>1524.10</v>
      </c>
      <c r="AO69" s="1196">
        <f>INDEX(MO_RIS_NI_NONGAAP_Diluted,0,COLUMN())</f>
        <v>1677.50</v>
      </c>
      <c r="AP69" s="1517">
        <f>INDEX(MO_RIS_NI_NONGAAP_Diluted,0,COLUMN())</f>
        <v>5677.6999999999989</v>
      </c>
      <c r="AQ69" s="1196">
        <f t="shared" si="160"/>
        <v>1473.3000000000004</v>
      </c>
      <c r="AR69" s="1196">
        <f t="shared" si="160"/>
        <v>783.39999999999975</v>
      </c>
      <c r="AS69" s="1196">
        <f>INDEX(MO_RIS_NI_NONGAAP_Diluted,0,COLUMN())</f>
        <v>111.79999999999818</v>
      </c>
      <c r="AT69" s="1196">
        <f t="shared" si="160"/>
        <v>955.49999999999284</v>
      </c>
      <c r="AU69" s="1517">
        <f t="shared" si="160"/>
        <v>3323.9999999999945</v>
      </c>
      <c r="AV69" s="1196">
        <f>INDEX(MO_RIS_NI_NONGAAP_Diluted,0,COLUMN())</f>
        <v>307.20000000000255</v>
      </c>
      <c r="AW69" s="1196">
        <f>INDEX(MO_RIS_NI_NONGAAP_Diluted,0,COLUMN())</f>
        <v>-549.60000000000196</v>
      </c>
      <c r="AX69" s="1196">
        <f>INDEX(MO_RIS_NI_NONGAAP_Diluted,0,COLUMN())</f>
        <v>117.39999999999954</v>
      </c>
      <c r="AY69" s="1196">
        <f>INDEX(MO_RIS_NI_NONGAAP_Diluted,0,COLUMN())</f>
        <v>819.59999999999889</v>
      </c>
      <c r="AZ69" s="1517">
        <f>INDEX(MO_RIS_NI_NONGAAP_Diluted,0,COLUMN())</f>
        <v>694.60000000000764</v>
      </c>
      <c r="BA69" s="1196">
        <f t="shared" si="161" ref="BA69:BE69">INDEX(MO_RIS_NI_NONGAAP_Diluted,0,COLUMN())</f>
        <v>440.60000000000053</v>
      </c>
      <c r="BB69" s="1196">
        <f t="shared" si="161"/>
        <v>335.90000000000163</v>
      </c>
      <c r="BC69" s="1196">
        <f t="shared" si="161"/>
        <v>1110.900000000001</v>
      </c>
      <c r="BD69" s="1196">
        <f t="shared" si="161"/>
        <v>1977.400000000006</v>
      </c>
      <c r="BE69" s="1517">
        <f t="shared" si="161"/>
        <v>3864.8000000000006</v>
      </c>
      <c r="BF69" s="1196">
        <f t="shared" si="162" ref="BF69:BJ69">INDEX(MO_RIS_NI_NONGAAP_Diluted,0,COLUMN())</f>
        <v>2314.3999999999996</v>
      </c>
      <c r="BG69" s="1196">
        <f t="shared" si="162"/>
        <v>1458.6999999999982</v>
      </c>
      <c r="BH69" s="1197">
        <f t="shared" si="162"/>
        <v>2333.4000000000142</v>
      </c>
      <c r="BI69" s="1198">
        <f t="shared" si="162"/>
        <v>1641.241149051843</v>
      </c>
      <c r="BJ69" s="1518">
        <f t="shared" si="162"/>
        <v>7747.741149051848</v>
      </c>
      <c r="BK69" s="1198">
        <f t="shared" si="163" ref="BK69:BR69">INDEX(MO_RIS_NI_NONGAAP_Diluted,0,COLUMN())</f>
        <v>2030.439299543955</v>
      </c>
      <c r="BL69" s="1198">
        <f t="shared" si="163"/>
        <v>1425.7459501265862</v>
      </c>
      <c r="BM69" s="1198">
        <f t="shared" si="163"/>
        <v>1236.2839708479364</v>
      </c>
      <c r="BN69" s="1198">
        <f t="shared" si="163"/>
        <v>2194.9368076464912</v>
      </c>
      <c r="BO69" s="1518">
        <f t="shared" si="163"/>
        <v>6887.4060281649708</v>
      </c>
      <c r="BP69" s="1517">
        <f t="shared" si="163"/>
        <v>7429.0004158312431</v>
      </c>
      <c r="BQ69" s="1517">
        <f t="shared" si="163"/>
        <v>7848.0224004774736</v>
      </c>
      <c r="BR69" s="1518">
        <f t="shared" si="163"/>
        <v>8288.7090160141106</v>
      </c>
      <c r="BS69" s="1016"/>
    </row>
    <row r="70" spans="1:71" s="703" customFormat="1" ht="15">
      <c r="A70" s="137" t="str">
        <f>INDEX(MO_RIS_EPS_WAD_Adj,0,COLUMN())</f>
        <v>Adjusted Earnings Per Share (No Adjustments) - WAD</v>
      </c>
      <c r="B70" s="138"/>
      <c r="C70" s="1525">
        <f t="shared" si="164" ref="C70:AU70">INDEX(MO_RIS_EPS_WAD_Adj,0,COLUMN())</f>
        <v>1.5731925022314792</v>
      </c>
      <c r="D70" s="1525">
        <f t="shared" si="164"/>
        <v>1.6105834464043429</v>
      </c>
      <c r="E70" s="1525">
        <f t="shared" si="164"/>
        <v>1.5944418276024515</v>
      </c>
      <c r="F70" s="1525">
        <f t="shared" si="164"/>
        <v>1.4845343863112828</v>
      </c>
      <c r="G70" s="1525">
        <f t="shared" si="164"/>
        <v>1.9307488402915869</v>
      </c>
      <c r="H70" s="237">
        <f t="shared" si="164"/>
        <v>0.53756064915509483</v>
      </c>
      <c r="I70" s="237">
        <f t="shared" si="164"/>
        <v>0.49269521410579209</v>
      </c>
      <c r="J70" s="237">
        <f t="shared" si="164"/>
        <v>0.49873673572511396</v>
      </c>
      <c r="K70" s="237">
        <f t="shared" si="164"/>
        <v>0.62565489268209795</v>
      </c>
      <c r="L70" s="1525">
        <f t="shared" si="164"/>
        <v>2.1536650975117713</v>
      </c>
      <c r="M70" s="237">
        <f t="shared" si="164"/>
        <v>0.50016920473773308</v>
      </c>
      <c r="N70" s="237">
        <f t="shared" si="164"/>
        <v>0.61628498727735403</v>
      </c>
      <c r="O70" s="237">
        <f t="shared" si="164"/>
        <v>0.47241554914275974</v>
      </c>
      <c r="P70" s="237">
        <f t="shared" si="164"/>
        <v>0.56276613864758218</v>
      </c>
      <c r="Q70" s="1525">
        <f t="shared" si="164"/>
        <v>2.1513917175831625</v>
      </c>
      <c r="R70" s="237">
        <f t="shared" si="164"/>
        <v>0.44099060631938375</v>
      </c>
      <c r="S70" s="237">
        <f t="shared" si="164"/>
        <v>0.32626901384378965</v>
      </c>
      <c r="T70" s="237">
        <f t="shared" si="164"/>
        <v>0.33989052343482756</v>
      </c>
      <c r="U70" s="237">
        <f t="shared" si="164"/>
        <v>0.65740264196259968</v>
      </c>
      <c r="V70" s="1525">
        <f t="shared" si="164"/>
        <v>1.7623931623931681</v>
      </c>
      <c r="W70" s="237">
        <f t="shared" si="164"/>
        <v>0.72741299502828627</v>
      </c>
      <c r="X70" s="237">
        <f t="shared" si="164"/>
        <v>0.62966769441589765</v>
      </c>
      <c r="Y70" s="237">
        <f t="shared" si="164"/>
        <v>0.38251366120218555</v>
      </c>
      <c r="Z70" s="237">
        <f t="shared" si="164"/>
        <v>0.98361495135688948</v>
      </c>
      <c r="AA70" s="1525">
        <f t="shared" si="164"/>
        <v>2.7184565477206752</v>
      </c>
      <c r="AB70" s="237">
        <f t="shared" si="164"/>
        <v>1.2240437158469948</v>
      </c>
      <c r="AC70" s="237">
        <f t="shared" si="164"/>
        <v>1.1906794127688627</v>
      </c>
      <c r="AD70" s="237">
        <f t="shared" si="164"/>
        <v>1.5712580975110819</v>
      </c>
      <c r="AE70" s="237">
        <f t="shared" si="164"/>
        <v>0.43965223320831809</v>
      </c>
      <c r="AF70" s="1525">
        <f t="shared" si="164"/>
        <v>4.4211692517470587</v>
      </c>
      <c r="AG70" s="237">
        <f t="shared" si="164"/>
        <v>1.8269689737470132</v>
      </c>
      <c r="AH70" s="237">
        <f t="shared" si="164"/>
        <v>1.6573521894700947</v>
      </c>
      <c r="AI70" s="237">
        <f t="shared" si="164"/>
        <v>1.4222449327201492</v>
      </c>
      <c r="AJ70" s="237">
        <f t="shared" si="164"/>
        <v>1.8126064735945504</v>
      </c>
      <c r="AK70" s="1525">
        <f t="shared" si="164"/>
        <v>6.7155994550408638</v>
      </c>
      <c r="AL70" s="237">
        <f t="shared" si="164"/>
        <v>1.1688532969841567</v>
      </c>
      <c r="AM70" s="237">
        <f t="shared" si="164"/>
        <v>3.0376362397820138</v>
      </c>
      <c r="AN70" s="237">
        <f t="shared" si="164"/>
        <v>2.5876061120543281</v>
      </c>
      <c r="AO70" s="237">
        <f>INDEX(MO_RIS_EPS_WAD_Adj,0,COLUMN())</f>
        <v>2.8548332198774675</v>
      </c>
      <c r="AP70" s="1525">
        <f>INDEX(MO_RIS_EPS_WAD_Adj,0,COLUMN())</f>
        <v>9.6625255275697732</v>
      </c>
      <c r="AQ70" s="237">
        <f t="shared" si="164"/>
        <v>2.5103084000681557</v>
      </c>
      <c r="AR70" s="237">
        <f t="shared" si="164"/>
        <v>1.3350374914792089</v>
      </c>
      <c r="AS70" s="237">
        <f>INDEX(MO_RIS_EPS_WAD_Adj,0,COLUMN())</f>
        <v>0.19042752512348521</v>
      </c>
      <c r="AT70" s="237">
        <f t="shared" si="164"/>
        <v>1.6297117516629591</v>
      </c>
      <c r="AU70" s="1525">
        <f t="shared" si="164"/>
        <v>5.66172713336739</v>
      </c>
      <c r="AV70" s="237">
        <f>INDEX(MO_RIS_EPS_WAD_Adj,0,COLUMN())</f>
        <v>0.52405322415558264</v>
      </c>
      <c r="AW70" s="237">
        <f>INDEX(MO_RIS_EPS_WAD_Adj,0,COLUMN())</f>
        <v>-0.93708439897698548</v>
      </c>
      <c r="AX70" s="237">
        <f>INDEX(MO_RIS_EPS_WAD_Adj,0,COLUMN())</f>
        <v>0.19996593425310771</v>
      </c>
      <c r="AY70" s="237">
        <f>INDEX(MO_RIS_EPS_WAD_Adj,0,COLUMN())</f>
        <v>1.3960143076136924</v>
      </c>
      <c r="AZ70" s="1525">
        <f>INDEX(MO_RIS_EPS_WAD_Adj,0,COLUMN())</f>
        <v>1.1831033895418286</v>
      </c>
      <c r="BA70" s="237">
        <f t="shared" si="165" ref="BA70:BE70">INDEX(MO_RIS_EPS_WAD_Adj,0,COLUMN())</f>
        <v>0.75059625212947279</v>
      </c>
      <c r="BB70" s="237">
        <f t="shared" si="165"/>
        <v>0.5721342190427553</v>
      </c>
      <c r="BC70" s="237">
        <f t="shared" si="165"/>
        <v>1.8908936170212782</v>
      </c>
      <c r="BD70" s="237">
        <f t="shared" si="165"/>
        <v>3.3657872340425632</v>
      </c>
      <c r="BE70" s="1525">
        <f t="shared" si="165"/>
        <v>6.5783829787234049</v>
      </c>
      <c r="BF70" s="237">
        <f t="shared" si="166" ref="BF70:BJ70">INDEX(MO_RIS_EPS_WAD_Adj,0,COLUMN())</f>
        <v>3.9407457857994208</v>
      </c>
      <c r="BG70" s="237">
        <f t="shared" si="166"/>
        <v>2.4833163091590027</v>
      </c>
      <c r="BH70" s="852">
        <f t="shared" si="166"/>
        <v>3.971068754254619</v>
      </c>
      <c r="BI70" s="88">
        <f t="shared" ca="1" si="166"/>
        <v>2.7899714313065687</v>
      </c>
      <c r="BJ70" s="1526">
        <f t="shared" ca="1" si="166"/>
        <v>13.179971347609799</v>
      </c>
      <c r="BK70" s="88">
        <f ca="1" t="shared" si="167" ref="BK70:BR70">INDEX(MO_RIS_EPS_WAD_Adj,0,COLUMN())</f>
        <v>3.4488521875836851</v>
      </c>
      <c r="BL70" s="88">
        <f t="shared" ca="1" si="167"/>
        <v>2.4217355525659281</v>
      </c>
      <c r="BM70" s="88">
        <f t="shared" ca="1" si="167"/>
        <v>2.0999202873443239</v>
      </c>
      <c r="BN70" s="88">
        <f t="shared" ca="1" si="167"/>
        <v>3.7282634414925906</v>
      </c>
      <c r="BO70" s="1526">
        <f t="shared" ca="1" si="167"/>
        <v>11.698771468986532</v>
      </c>
      <c r="BP70" s="1525">
        <f t="shared" ca="1" si="167"/>
        <v>12.618709823758035</v>
      </c>
      <c r="BQ70" s="1525">
        <f t="shared" ca="1" si="167"/>
        <v>13.330449834265808</v>
      </c>
      <c r="BR70" s="1526">
        <f t="shared" ca="1" si="167"/>
        <v>14.078988831897378</v>
      </c>
      <c r="BS70" s="88"/>
    </row>
    <row r="71" spans="1:71" ht="15">
      <c r="A71" s="83"/>
      <c r="B71" s="139"/>
      <c r="C71" s="1527"/>
      <c r="D71" s="1527"/>
      <c r="E71" s="1527"/>
      <c r="F71" s="1527"/>
      <c r="G71" s="1527"/>
      <c r="H71" s="240"/>
      <c r="I71" s="240"/>
      <c r="J71" s="240"/>
      <c r="K71" s="240"/>
      <c r="L71" s="1527"/>
      <c r="M71" s="240"/>
      <c r="N71" s="240"/>
      <c r="O71" s="240"/>
      <c r="P71" s="240"/>
      <c r="Q71" s="1527"/>
      <c r="R71" s="240"/>
      <c r="S71" s="240"/>
      <c r="T71" s="240"/>
      <c r="U71" s="240"/>
      <c r="V71" s="1527"/>
      <c r="W71" s="240"/>
      <c r="X71" s="240"/>
      <c r="Y71" s="240"/>
      <c r="Z71" s="240"/>
      <c r="AA71" s="1527"/>
      <c r="AB71" s="240"/>
      <c r="AC71" s="240"/>
      <c r="AD71" s="240"/>
      <c r="AE71" s="240"/>
      <c r="AF71" s="1527"/>
      <c r="AG71" s="240"/>
      <c r="AH71" s="240"/>
      <c r="AI71" s="240"/>
      <c r="AJ71" s="240"/>
      <c r="AK71" s="1527"/>
      <c r="AL71" s="240"/>
      <c r="AM71" s="240"/>
      <c r="AN71" s="240"/>
      <c r="AO71" s="240"/>
      <c r="AP71" s="1527"/>
      <c r="AQ71" s="240"/>
      <c r="AR71" s="240"/>
      <c r="AS71" s="240"/>
      <c r="AT71" s="242"/>
      <c r="AU71" s="1519"/>
      <c r="AV71" s="240"/>
      <c r="AW71" s="240"/>
      <c r="AX71" s="240"/>
      <c r="AY71" s="242"/>
      <c r="AZ71" s="1519"/>
      <c r="BA71" s="240"/>
      <c r="BB71" s="240"/>
      <c r="BC71" s="240"/>
      <c r="BD71" s="242"/>
      <c r="BE71" s="1519"/>
      <c r="BF71" s="240"/>
      <c r="BG71" s="240"/>
      <c r="BH71" s="853"/>
      <c r="BI71" s="90"/>
      <c r="BJ71" s="1520"/>
      <c r="BK71" s="89"/>
      <c r="BL71" s="89"/>
      <c r="BM71" s="89"/>
      <c r="BN71" s="90"/>
      <c r="BO71" s="1520"/>
      <c r="BP71" s="1519"/>
      <c r="BQ71" s="1519"/>
      <c r="BR71" s="1520"/>
      <c r="BS71" s="83"/>
    </row>
    <row r="72" spans="1:71" ht="15" customHeight="1">
      <c r="A72" s="77" t="s">
        <v>114</v>
      </c>
      <c r="B72" s="1012"/>
      <c r="C72" s="1185"/>
      <c r="D72" s="1185"/>
      <c r="E72" s="1185"/>
      <c r="F72" s="1185"/>
      <c r="G72" s="1185"/>
      <c r="H72" s="1185"/>
      <c r="I72" s="1185"/>
      <c r="J72" s="1185"/>
      <c r="K72" s="1185"/>
      <c r="L72" s="1185"/>
      <c r="M72" s="1185"/>
      <c r="N72" s="1185"/>
      <c r="O72" s="1185"/>
      <c r="P72" s="1185"/>
      <c r="Q72" s="1185"/>
      <c r="R72" s="1185"/>
      <c r="S72" s="1185"/>
      <c r="T72" s="1185"/>
      <c r="U72" s="1185"/>
      <c r="V72" s="1185"/>
      <c r="W72" s="1185"/>
      <c r="X72" s="1185"/>
      <c r="Y72" s="1185"/>
      <c r="Z72" s="1185"/>
      <c r="AA72" s="1185"/>
      <c r="AB72" s="1185"/>
      <c r="AC72" s="1185"/>
      <c r="AD72" s="1185"/>
      <c r="AE72" s="1185"/>
      <c r="AF72" s="1185"/>
      <c r="AG72" s="1185"/>
      <c r="AH72" s="1185"/>
      <c r="AI72" s="1185"/>
      <c r="AJ72" s="1185"/>
      <c r="AK72" s="1185"/>
      <c r="AL72" s="1185"/>
      <c r="AM72" s="1185"/>
      <c r="AN72" s="1185"/>
      <c r="AO72" s="1185"/>
      <c r="AP72" s="1185"/>
      <c r="AQ72" s="1185"/>
      <c r="AR72" s="1185"/>
      <c r="AS72" s="1185"/>
      <c r="AT72" s="1185"/>
      <c r="AU72" s="1185"/>
      <c r="AV72" s="1185"/>
      <c r="AW72" s="1185"/>
      <c r="AX72" s="1185"/>
      <c r="AY72" s="1185"/>
      <c r="AZ72" s="1185"/>
      <c r="BA72" s="1185"/>
      <c r="BB72" s="1185"/>
      <c r="BC72" s="1185"/>
      <c r="BD72" s="1185"/>
      <c r="BE72" s="1185"/>
      <c r="BF72" s="1185"/>
      <c r="BG72" s="1185"/>
      <c r="BH72" s="1186"/>
      <c r="BI72" s="1187"/>
      <c r="BJ72" s="1187"/>
      <c r="BK72" s="1187"/>
      <c r="BL72" s="1187"/>
      <c r="BM72" s="1187"/>
      <c r="BN72" s="1187"/>
      <c r="BO72" s="1187"/>
      <c r="BP72" s="1185"/>
      <c r="BQ72" s="1185"/>
      <c r="BR72" s="1187"/>
      <c r="BS72" s="1015"/>
    </row>
    <row r="73" spans="1:71" s="709" customFormat="1" ht="15">
      <c r="A73" s="140" t="str">
        <f>INDEX(MO_DS_DPS,0,COLUMN())</f>
        <v>Dividend Per Common Share</v>
      </c>
      <c r="B73" s="141"/>
      <c r="C73" s="1528">
        <f t="shared" si="168" ref="C73:AU73">INDEX(MO_DS_DPS,0,COLUMN())</f>
        <v>0</v>
      </c>
      <c r="D73" s="1528">
        <f t="shared" si="168"/>
        <v>0.1613</v>
      </c>
      <c r="E73" s="1528">
        <f t="shared" si="168"/>
        <v>1.3987000000000001</v>
      </c>
      <c r="F73" s="1528">
        <f t="shared" si="168"/>
        <v>0.40720000000000001</v>
      </c>
      <c r="G73" s="1528">
        <f t="shared" si="168"/>
        <v>1.2845</v>
      </c>
      <c r="H73" s="253">
        <f t="shared" si="168"/>
        <v>1.4930000000000001</v>
      </c>
      <c r="I73" s="253">
        <f t="shared" si="168"/>
        <v>0</v>
      </c>
      <c r="J73" s="253">
        <f t="shared" si="168"/>
        <v>0</v>
      </c>
      <c r="K73" s="253">
        <f t="shared" si="168"/>
        <v>0</v>
      </c>
      <c r="L73" s="1528">
        <f t="shared" si="168"/>
        <v>1.4928999999999999</v>
      </c>
      <c r="M73" s="253">
        <f t="shared" si="168"/>
        <v>0.68600000000000005</v>
      </c>
      <c r="N73" s="253">
        <f t="shared" si="168"/>
        <v>0</v>
      </c>
      <c r="O73" s="253">
        <f t="shared" si="168"/>
        <v>0</v>
      </c>
      <c r="P73" s="253">
        <f t="shared" si="168"/>
        <v>0</v>
      </c>
      <c r="Q73" s="1528">
        <f t="shared" si="168"/>
        <v>0.68600000000000005</v>
      </c>
      <c r="R73" s="253">
        <f t="shared" si="168"/>
        <v>0.88800000000000001</v>
      </c>
      <c r="S73" s="253">
        <f t="shared" si="168"/>
        <v>0</v>
      </c>
      <c r="T73" s="253">
        <f t="shared" si="168"/>
        <v>0</v>
      </c>
      <c r="U73" s="253">
        <f t="shared" si="168"/>
        <v>0</v>
      </c>
      <c r="V73" s="1528">
        <f t="shared" si="168"/>
        <v>0.88800000000000001</v>
      </c>
      <c r="W73" s="253">
        <f t="shared" si="168"/>
        <v>0.68100000000000005</v>
      </c>
      <c r="X73" s="253">
        <f t="shared" si="168"/>
        <v>0</v>
      </c>
      <c r="Y73" s="253">
        <f t="shared" si="168"/>
        <v>0</v>
      </c>
      <c r="Z73" s="253">
        <f t="shared" si="168"/>
        <v>0</v>
      </c>
      <c r="AA73" s="1528">
        <f t="shared" si="168"/>
        <v>0.68100000000000005</v>
      </c>
      <c r="AB73" s="253">
        <f t="shared" si="168"/>
        <v>1.125</v>
      </c>
      <c r="AC73" s="253">
        <f t="shared" si="168"/>
        <v>0</v>
      </c>
      <c r="AD73" s="253">
        <f t="shared" si="168"/>
        <v>0</v>
      </c>
      <c r="AE73" s="253">
        <f t="shared" si="168"/>
        <v>0</v>
      </c>
      <c r="AF73" s="1528">
        <f t="shared" si="168"/>
        <v>1.125</v>
      </c>
      <c r="AG73" s="253">
        <f t="shared" si="168"/>
        <v>2.5139999999999998</v>
      </c>
      <c r="AH73" s="253">
        <f t="shared" si="168"/>
        <v>0.10000000000000001</v>
      </c>
      <c r="AI73" s="253">
        <f t="shared" si="168"/>
        <v>0.10000000000000001</v>
      </c>
      <c r="AJ73" s="253">
        <f t="shared" si="168"/>
        <v>0.10000000000000001</v>
      </c>
      <c r="AK73" s="1528">
        <f t="shared" si="168"/>
        <v>2.8140000000000001</v>
      </c>
      <c r="AL73" s="253">
        <f t="shared" si="168"/>
        <v>2.35</v>
      </c>
      <c r="AM73" s="253">
        <f t="shared" si="168"/>
        <v>0.10000000000000001</v>
      </c>
      <c r="AN73" s="253">
        <f t="shared" si="168"/>
        <v>0.10000000000000001</v>
      </c>
      <c r="AO73" s="253">
        <f>INDEX(MO_DS_DPS,0,COLUMN())</f>
        <v>0.10000000000000001</v>
      </c>
      <c r="AP73" s="1528">
        <f>INDEX(MO_DS_DPS,0,COLUMN())</f>
        <v>2.6500000000000004</v>
      </c>
      <c r="AQ73" s="253">
        <f t="shared" si="168"/>
        <v>4.5999999999999996</v>
      </c>
      <c r="AR73" s="253">
        <f t="shared" si="168"/>
        <v>0.10000000000000001</v>
      </c>
      <c r="AS73" s="253">
        <f>INDEX(MO_DS_DPS,0,COLUMN())</f>
        <v>0.10000000000000001</v>
      </c>
      <c r="AT73" s="253">
        <f t="shared" si="168"/>
        <v>1.60</v>
      </c>
      <c r="AU73" s="1529">
        <f t="shared" si="168"/>
        <v>6.3999999999999986</v>
      </c>
      <c r="AV73" s="253">
        <f>INDEX(MO_DS_DPS,0,COLUMN())</f>
        <v>0.10000000000000001</v>
      </c>
      <c r="AW73" s="253">
        <f>INDEX(MO_DS_DPS,0,COLUMN())</f>
        <v>0.10000000000000001</v>
      </c>
      <c r="AX73" s="253">
        <f>INDEX(MO_DS_DPS,0,COLUMN())</f>
        <v>0.10000000000000001</v>
      </c>
      <c r="AY73" s="253">
        <f>INDEX(MO_DS_DPS,0,COLUMN())</f>
        <v>0.10000000000000001</v>
      </c>
      <c r="AZ73" s="1529">
        <f>INDEX(MO_DS_DPS,0,COLUMN())</f>
        <v>0.40</v>
      </c>
      <c r="BA73" s="253">
        <f t="shared" si="169" ref="BA73:BE73">INDEX(MO_DS_DPS,0,COLUMN())</f>
        <v>0.10000000000000001</v>
      </c>
      <c r="BB73" s="253">
        <f t="shared" si="169"/>
        <v>0.10000000000000001</v>
      </c>
      <c r="BC73" s="253">
        <f t="shared" si="169"/>
        <v>0.10000000000000001</v>
      </c>
      <c r="BD73" s="253">
        <f t="shared" si="169"/>
        <v>0.10000000000000001</v>
      </c>
      <c r="BE73" s="1529">
        <f t="shared" si="169"/>
        <v>0.40</v>
      </c>
      <c r="BF73" s="253">
        <f t="shared" si="170" ref="BF73:BJ73">INDEX(MO_DS_DPS,0,COLUMN())</f>
        <v>0.85</v>
      </c>
      <c r="BG73" s="253">
        <f t="shared" si="170"/>
        <v>0.10000000000000001</v>
      </c>
      <c r="BH73" s="854">
        <f t="shared" si="170"/>
        <v>0.10000000000000001</v>
      </c>
      <c r="BI73" s="254">
        <f t="shared" si="170"/>
        <v>0.10000000000000001</v>
      </c>
      <c r="BJ73" s="1530">
        <f t="shared" si="170"/>
        <v>1.1500000000000001</v>
      </c>
      <c r="BK73" s="254">
        <f t="shared" si="171" ref="BK73:BR73">INDEX(MO_DS_DPS,0,COLUMN())</f>
        <v>0.10000000000000001</v>
      </c>
      <c r="BL73" s="254">
        <f t="shared" si="171"/>
        <v>0.10000000000000001</v>
      </c>
      <c r="BM73" s="254">
        <f t="shared" si="171"/>
        <v>0.10000000000000001</v>
      </c>
      <c r="BN73" s="254">
        <f t="shared" si="171"/>
        <v>0.10000000000000001</v>
      </c>
      <c r="BO73" s="1530">
        <f t="shared" si="171"/>
        <v>0.40</v>
      </c>
      <c r="BP73" s="1529">
        <f t="shared" si="171"/>
        <v>0.40</v>
      </c>
      <c r="BQ73" s="1529">
        <f t="shared" si="171"/>
        <v>0.40</v>
      </c>
      <c r="BR73" s="1530">
        <f t="shared" si="171"/>
        <v>0.40</v>
      </c>
      <c r="BS73" s="164"/>
    </row>
    <row r="74" spans="1:71" ht="15">
      <c r="A74" s="142" t="str">
        <f>INDEX(MO_DS_PayoutRatio,0,COLUMN())</f>
        <v>Payout Ratio</v>
      </c>
      <c r="B74" s="139"/>
      <c r="C74" s="1531">
        <f t="shared" si="172" ref="C74:AU74">INDEX(MO_DS_PayoutRatio,0,COLUMN())</f>
        <v>0</v>
      </c>
      <c r="D74" s="1531">
        <f t="shared" si="172"/>
        <v>0.71487409903585097</v>
      </c>
      <c r="E74" s="1531">
        <f t="shared" si="172"/>
        <v>0.25957656326932516</v>
      </c>
      <c r="F74" s="1531">
        <f t="shared" si="172"/>
        <v>0.94613764823229785</v>
      </c>
      <c r="G74" s="1531">
        <f t="shared" si="172"/>
        <v>0.15067787883988304</v>
      </c>
      <c r="H74" s="242">
        <f t="shared" si="172"/>
        <v>2.7780890133831297</v>
      </c>
      <c r="I74" s="242">
        <f t="shared" si="172"/>
        <v>0</v>
      </c>
      <c r="J74" s="242">
        <f t="shared" si="172"/>
        <v>0</v>
      </c>
      <c r="K74" s="242">
        <f t="shared" si="172"/>
        <v>0</v>
      </c>
      <c r="L74" s="1531">
        <f t="shared" si="172"/>
        <v>0.69679937548789939</v>
      </c>
      <c r="M74" s="242">
        <f t="shared" si="172"/>
        <v>1.3653585926928271</v>
      </c>
      <c r="N74" s="242">
        <f t="shared" si="172"/>
        <v>0</v>
      </c>
      <c r="O74" s="242">
        <f t="shared" si="172"/>
        <v>0</v>
      </c>
      <c r="P74" s="242">
        <f t="shared" si="172"/>
        <v>0</v>
      </c>
      <c r="Q74" s="1531">
        <f t="shared" si="172"/>
        <v>0.31839697065320305</v>
      </c>
      <c r="R74" s="242">
        <f t="shared" si="172"/>
        <v>2.0100697134004712</v>
      </c>
      <c r="S74" s="242">
        <f t="shared" si="172"/>
        <v>0</v>
      </c>
      <c r="T74" s="242">
        <f t="shared" si="172"/>
        <v>0</v>
      </c>
      <c r="U74" s="242">
        <f t="shared" si="172"/>
        <v>0</v>
      </c>
      <c r="V74" s="1531">
        <f t="shared" si="172"/>
        <v>0.50339476236663272</v>
      </c>
      <c r="W74" s="242">
        <f t="shared" si="172"/>
        <v>0.93188781522507802</v>
      </c>
      <c r="X74" s="242">
        <f t="shared" si="172"/>
        <v>0</v>
      </c>
      <c r="Y74" s="242">
        <f t="shared" si="172"/>
        <v>0</v>
      </c>
      <c r="Z74" s="242">
        <f t="shared" si="172"/>
        <v>0</v>
      </c>
      <c r="AA74" s="1531">
        <f t="shared" si="172"/>
        <v>0.24833563622660476</v>
      </c>
      <c r="AB74" s="242">
        <f t="shared" si="172"/>
        <v>0.91364397321428548</v>
      </c>
      <c r="AC74" s="242">
        <f t="shared" si="172"/>
        <v>0</v>
      </c>
      <c r="AD74" s="242">
        <f t="shared" si="172"/>
        <v>0</v>
      </c>
      <c r="AE74" s="242">
        <f t="shared" si="172"/>
        <v>0</v>
      </c>
      <c r="AF74" s="1531">
        <f t="shared" si="172"/>
        <v>0.25247696518755547</v>
      </c>
      <c r="AG74" s="242">
        <f t="shared" si="172"/>
        <v>1.3696930111038563</v>
      </c>
      <c r="AH74" s="242">
        <f t="shared" si="172"/>
        <v>0.060039066515883574</v>
      </c>
      <c r="AI74" s="242">
        <f t="shared" si="172"/>
        <v>0.069940119760479175</v>
      </c>
      <c r="AJ74" s="242">
        <f t="shared" si="172"/>
        <v>0.054981203007518735</v>
      </c>
      <c r="AK74" s="1531">
        <f t="shared" si="172"/>
        <v>0.41669625196530963</v>
      </c>
      <c r="AL74" s="242">
        <f t="shared" si="172"/>
        <v>2.0049562682215698</v>
      </c>
      <c r="AM74" s="242">
        <f t="shared" si="172"/>
        <v>0.032796995010371727</v>
      </c>
      <c r="AN74" s="242">
        <f t="shared" si="172"/>
        <v>0.03838330818187783</v>
      </c>
      <c r="AO74" s="242">
        <f>INDEX(MO_DS_PayoutRatio,0,COLUMN())</f>
        <v>0.034932935916542417</v>
      </c>
      <c r="AP74" s="1531">
        <f>INDEX(MO_DS_PayoutRatio,0,COLUMN())</f>
        <v>0.27317399651267243</v>
      </c>
      <c r="AQ74" s="242">
        <f t="shared" si="172"/>
        <v>1.8288875313921125</v>
      </c>
      <c r="AR74" s="242">
        <f t="shared" si="172"/>
        <v>0.074674495787592568</v>
      </c>
      <c r="AS74" s="242">
        <f>INDEX(MO_DS_PayoutRatio,0,COLUMN())</f>
        <v>0.52325581395349685</v>
      </c>
      <c r="AT74" s="242">
        <f t="shared" si="172"/>
        <v>0.97854526425955735</v>
      </c>
      <c r="AU74" s="1519">
        <f t="shared" si="172"/>
        <v>1.1271058965102305</v>
      </c>
      <c r="AV74" s="242">
        <f>INDEX(MO_DS_PayoutRatio,0,COLUMN())</f>
        <v>0.19042968749999842</v>
      </c>
      <c r="AW74" s="242">
        <f>INDEX(MO_DS_PayoutRatio,0,COLUMN())</f>
        <v>-0.10644104803493412</v>
      </c>
      <c r="AX74" s="242">
        <f>INDEX(MO_DS_PayoutRatio,0,COLUMN())</f>
        <v>0.49829642248722511</v>
      </c>
      <c r="AY74" s="242">
        <f>INDEX(MO_DS_PayoutRatio,0,COLUMN())</f>
        <v>0.071376281112738013</v>
      </c>
      <c r="AZ74" s="1519">
        <f>INDEX(MO_DS_PayoutRatio,0,COLUMN())</f>
        <v>0.33688453786351485</v>
      </c>
      <c r="BA74" s="242">
        <f t="shared" si="173" ref="BA74:BE74">INDEX(MO_DS_PayoutRatio,0,COLUMN())</f>
        <v>0.13277349069450733</v>
      </c>
      <c r="BB74" s="242">
        <f t="shared" si="173"/>
        <v>0.17415897588567941</v>
      </c>
      <c r="BC74" s="242">
        <f t="shared" si="173"/>
        <v>0.052660005401026146</v>
      </c>
      <c r="BD74" s="242">
        <f t="shared" si="173"/>
        <v>0.029584302619601408</v>
      </c>
      <c r="BE74" s="1519">
        <f t="shared" si="173"/>
        <v>0.06054647070999792</v>
      </c>
      <c r="BF74" s="242">
        <f t="shared" si="174" ref="BF74:BJ74">INDEX(MO_DS_PayoutRatio,0,COLUMN())</f>
        <v>0.21513135153819568</v>
      </c>
      <c r="BG74" s="242">
        <f t="shared" si="174"/>
        <v>0.040172756564063959</v>
      </c>
      <c r="BH74" s="855">
        <f t="shared" si="174"/>
        <v>0.025113568183766036</v>
      </c>
      <c r="BI74" s="90">
        <f t="shared" ca="1" si="174"/>
        <v>0.035692500175152256</v>
      </c>
      <c r="BJ74" s="1520">
        <f t="shared" ca="1" si="174"/>
        <v>0.086951794986393369</v>
      </c>
      <c r="BK74" s="90">
        <f ca="1" t="shared" si="175" ref="BK74:BR74">INDEX(MO_DS_PayoutRatio,0,COLUMN())</f>
        <v>0.028850899415292692</v>
      </c>
      <c r="BL74" s="90">
        <f t="shared" ca="1" si="175"/>
        <v>0.041087263824806181</v>
      </c>
      <c r="BM74" s="90">
        <f t="shared" ca="1" si="175"/>
        <v>0.047383935553108755</v>
      </c>
      <c r="BN74" s="90">
        <f t="shared" ca="1" si="175"/>
        <v>0.026688695453976227</v>
      </c>
      <c r="BO74" s="1520">
        <f t="shared" ca="1" si="175"/>
        <v>0.034021516815152898</v>
      </c>
      <c r="BP74" s="1519">
        <f t="shared" ca="1" si="175"/>
        <v>0.031541255469667587</v>
      </c>
      <c r="BQ74" s="1519">
        <f t="shared" ca="1" si="175"/>
        <v>0.029857203259988651</v>
      </c>
      <c r="BR74" s="1520">
        <f t="shared" ca="1" si="175"/>
        <v>0.028269782368675819</v>
      </c>
      <c r="BS74" s="83"/>
    </row>
    <row r="75" spans="1:71" ht="15">
      <c r="A75" s="83"/>
      <c r="B75" s="139"/>
      <c r="C75" s="1527"/>
      <c r="D75" s="1527"/>
      <c r="E75" s="1527"/>
      <c r="F75" s="1527"/>
      <c r="G75" s="1527"/>
      <c r="H75" s="240"/>
      <c r="I75" s="240"/>
      <c r="J75" s="240"/>
      <c r="K75" s="240"/>
      <c r="L75" s="1527"/>
      <c r="M75" s="240"/>
      <c r="N75" s="240"/>
      <c r="O75" s="240"/>
      <c r="P75" s="240"/>
      <c r="Q75" s="1527"/>
      <c r="R75" s="240"/>
      <c r="S75" s="240"/>
      <c r="T75" s="240"/>
      <c r="U75" s="240"/>
      <c r="V75" s="1527"/>
      <c r="W75" s="240"/>
      <c r="X75" s="240"/>
      <c r="Y75" s="240"/>
      <c r="Z75" s="240"/>
      <c r="AA75" s="1527"/>
      <c r="AB75" s="240"/>
      <c r="AC75" s="240"/>
      <c r="AD75" s="240"/>
      <c r="AE75" s="240"/>
      <c r="AF75" s="1527"/>
      <c r="AG75" s="240"/>
      <c r="AH75" s="240"/>
      <c r="AI75" s="240"/>
      <c r="AJ75" s="240"/>
      <c r="AK75" s="1527"/>
      <c r="AL75" s="240"/>
      <c r="AM75" s="240"/>
      <c r="AN75" s="240"/>
      <c r="AO75" s="240"/>
      <c r="AP75" s="1527"/>
      <c r="AQ75" s="240"/>
      <c r="AR75" s="240"/>
      <c r="AS75" s="240"/>
      <c r="AT75" s="242"/>
      <c r="AU75" s="1519"/>
      <c r="AV75" s="240"/>
      <c r="AW75" s="240"/>
      <c r="AX75" s="240"/>
      <c r="AY75" s="242"/>
      <c r="AZ75" s="1519"/>
      <c r="BA75" s="240"/>
      <c r="BB75" s="240"/>
      <c r="BC75" s="240"/>
      <c r="BD75" s="242"/>
      <c r="BE75" s="1519"/>
      <c r="BF75" s="240"/>
      <c r="BG75" s="240"/>
      <c r="BH75" s="853"/>
      <c r="BI75" s="90"/>
      <c r="BJ75" s="1520"/>
      <c r="BK75" s="89"/>
      <c r="BL75" s="89"/>
      <c r="BM75" s="89"/>
      <c r="BN75" s="90"/>
      <c r="BO75" s="1520"/>
      <c r="BP75" s="1519"/>
      <c r="BQ75" s="1519"/>
      <c r="BR75" s="1520"/>
      <c r="BS75" s="83"/>
    </row>
    <row r="76" spans="1:71" ht="15">
      <c r="A76" s="77" t="s">
        <v>287</v>
      </c>
      <c r="B76" s="1012"/>
      <c r="C76" s="1185"/>
      <c r="D76" s="1185"/>
      <c r="E76" s="1185"/>
      <c r="F76" s="1185"/>
      <c r="G76" s="1185"/>
      <c r="H76" s="1185"/>
      <c r="I76" s="1185"/>
      <c r="J76" s="1185"/>
      <c r="K76" s="1185"/>
      <c r="L76" s="1185"/>
      <c r="M76" s="1185"/>
      <c r="N76" s="1185"/>
      <c r="O76" s="1185"/>
      <c r="P76" s="1185"/>
      <c r="Q76" s="1185"/>
      <c r="R76" s="1185"/>
      <c r="S76" s="1185"/>
      <c r="T76" s="1185"/>
      <c r="U76" s="1185"/>
      <c r="V76" s="1185"/>
      <c r="W76" s="1185"/>
      <c r="X76" s="1185"/>
      <c r="Y76" s="1185"/>
      <c r="Z76" s="1185"/>
      <c r="AA76" s="1185"/>
      <c r="AB76" s="1185"/>
      <c r="AC76" s="1185"/>
      <c r="AD76" s="1185"/>
      <c r="AE76" s="1185"/>
      <c r="AF76" s="1185"/>
      <c r="AG76" s="1185"/>
      <c r="AH76" s="1185"/>
      <c r="AI76" s="1185"/>
      <c r="AJ76" s="1185"/>
      <c r="AK76" s="1185"/>
      <c r="AL76" s="1185"/>
      <c r="AM76" s="1185"/>
      <c r="AN76" s="1185"/>
      <c r="AO76" s="1185"/>
      <c r="AP76" s="1185"/>
      <c r="AQ76" s="1185"/>
      <c r="AR76" s="1185"/>
      <c r="AS76" s="1185"/>
      <c r="AT76" s="1185"/>
      <c r="AU76" s="1185"/>
      <c r="AV76" s="1185"/>
      <c r="AW76" s="1185"/>
      <c r="AX76" s="1185"/>
      <c r="AY76" s="1185"/>
      <c r="AZ76" s="1185"/>
      <c r="BA76" s="1185"/>
      <c r="BB76" s="1185"/>
      <c r="BC76" s="1185"/>
      <c r="BD76" s="1185"/>
      <c r="BE76" s="1185"/>
      <c r="BF76" s="1185"/>
      <c r="BG76" s="1185"/>
      <c r="BH76" s="1186"/>
      <c r="BI76" s="1187"/>
      <c r="BJ76" s="1187"/>
      <c r="BK76" s="1187"/>
      <c r="BL76" s="1187"/>
      <c r="BM76" s="1187"/>
      <c r="BN76" s="1187"/>
      <c r="BO76" s="1187"/>
      <c r="BP76" s="1185"/>
      <c r="BQ76" s="1185"/>
      <c r="BR76" s="1187"/>
      <c r="BS76" s="1015"/>
    </row>
    <row r="77" spans="1:71" s="710" customFormat="1" ht="15" customHeight="1">
      <c r="A77" s="143" t="s">
        <v>128</v>
      </c>
      <c r="B77" s="144"/>
      <c r="C77" s="1532">
        <f t="shared" si="176" ref="C77:AU77">INDEX(MO_BSS_ROA,0,COLUMN())</f>
        <v>0</v>
      </c>
      <c r="D77" s="1532">
        <f t="shared" si="176"/>
        <v>0.051859726793464046</v>
      </c>
      <c r="E77" s="1532">
        <f t="shared" si="176"/>
        <v>0.047237941067703126</v>
      </c>
      <c r="F77" s="1532">
        <f t="shared" si="176"/>
        <v>0.040516844598614606</v>
      </c>
      <c r="G77" s="1532">
        <f t="shared" si="176"/>
        <v>0.049483152841969476</v>
      </c>
      <c r="H77" s="244">
        <f t="shared" si="176"/>
        <v>0.053487427037411057</v>
      </c>
      <c r="I77" s="244">
        <f t="shared" si="176"/>
        <v>0.047292308761000421</v>
      </c>
      <c r="J77" s="244">
        <f t="shared" si="176"/>
        <v>0.045728855156607406</v>
      </c>
      <c r="K77" s="244">
        <f t="shared" si="176"/>
        <v>0.056802398628970137</v>
      </c>
      <c r="L77" s="1532">
        <f t="shared" si="176"/>
        <v>0.050877790831512351</v>
      </c>
      <c r="M77" s="244">
        <f t="shared" si="176"/>
        <v>0.045523482710557332</v>
      </c>
      <c r="N77" s="244">
        <f t="shared" si="176"/>
        <v>0.051871314452541818</v>
      </c>
      <c r="O77" s="244">
        <f t="shared" si="176"/>
        <v>0.037276836959310701</v>
      </c>
      <c r="P77" s="244">
        <f t="shared" si="176"/>
        <v>0.043873866381381889</v>
      </c>
      <c r="Q77" s="1532">
        <f t="shared" si="176"/>
        <v>0.044719841272081201</v>
      </c>
      <c r="R77" s="244">
        <f t="shared" si="176"/>
        <v>0.034306550621967032</v>
      </c>
      <c r="S77" s="244">
        <f t="shared" si="176"/>
        <v>0.024498980673059244</v>
      </c>
      <c r="T77" s="244">
        <f t="shared" si="176"/>
        <v>0.024107730669348706</v>
      </c>
      <c r="U77" s="244">
        <f t="shared" si="176"/>
        <v>0.045473772346722827</v>
      </c>
      <c r="V77" s="1532">
        <f t="shared" si="176"/>
        <v>0.032310147329257743</v>
      </c>
      <c r="W77" s="244">
        <f t="shared" si="176"/>
        <v>0.050434427217158156</v>
      </c>
      <c r="X77" s="244">
        <f t="shared" si="176"/>
        <v>0.0412428915805826</v>
      </c>
      <c r="Y77" s="244">
        <f t="shared" si="176"/>
        <v>0.023503502987842564</v>
      </c>
      <c r="Z77" s="244">
        <f t="shared" si="176"/>
        <v>0.058902375220475069</v>
      </c>
      <c r="AA77" s="1532">
        <f t="shared" si="176"/>
        <v>0.043607198885198199</v>
      </c>
      <c r="AB77" s="244">
        <f t="shared" si="176"/>
        <v>0.0726464061850738</v>
      </c>
      <c r="AC77" s="244">
        <f t="shared" si="176"/>
        <v>0.066064930743114869</v>
      </c>
      <c r="AD77" s="244">
        <f t="shared" si="176"/>
        <v>0.082259807197108778</v>
      </c>
      <c r="AE77" s="244">
        <f t="shared" si="176"/>
        <v>0.022214603927135364</v>
      </c>
      <c r="AF77" s="1532">
        <f t="shared" si="176"/>
        <v>0.060179301327104501</v>
      </c>
      <c r="AG77" s="244">
        <f t="shared" si="176"/>
        <v>0.091094057632281608</v>
      </c>
      <c r="AH77" s="244">
        <f t="shared" si="176"/>
        <v>0.077893855442033755</v>
      </c>
      <c r="AI77" s="244">
        <f t="shared" si="176"/>
        <v>0.062901346294164925</v>
      </c>
      <c r="AJ77" s="244">
        <f t="shared" si="176"/>
        <v>0.077523830253712761</v>
      </c>
      <c r="AK77" s="1532">
        <f t="shared" si="176"/>
        <v>0.077124100684952041</v>
      </c>
      <c r="AL77" s="244">
        <f t="shared" si="176"/>
        <v>0.049641319049067413</v>
      </c>
      <c r="AM77" s="244">
        <f t="shared" si="176"/>
        <v>0.1240411787159337</v>
      </c>
      <c r="AN77" s="244">
        <f t="shared" si="176"/>
        <v>0.099156518134218399</v>
      </c>
      <c r="AO77" s="244">
        <f>INDEX(MO_BSS_ROA,0,COLUMN())</f>
        <v>0.10510402245067731</v>
      </c>
      <c r="AP77" s="1532">
        <f>INDEX(MO_BSS_ROA,0,COLUMN())</f>
        <v>0.095405666905389458</v>
      </c>
      <c r="AQ77" s="244">
        <f t="shared" si="176"/>
        <v>0.092270499322068475</v>
      </c>
      <c r="AR77" s="244">
        <f t="shared" si="176"/>
        <v>0.046469455110247297</v>
      </c>
      <c r="AS77" s="244">
        <f>INDEX(MO_BSS_ROA,0,COLUMN())</f>
        <v>0.0062278415391214936</v>
      </c>
      <c r="AT77" s="244">
        <f t="shared" si="176"/>
        <v>0.052742008249080624</v>
      </c>
      <c r="AU77" s="1532">
        <f t="shared" si="176"/>
        <v>0.048442622162412123</v>
      </c>
      <c r="AV77" s="244">
        <f>INDEX(MO_BSS_ROA,0,COLUMN())</f>
        <v>0.017177034999082144</v>
      </c>
      <c r="AW77" s="244">
        <f>INDEX(MO_BSS_ROA,0,COLUMN())</f>
        <v>-0.029995068406680984</v>
      </c>
      <c r="AX77" s="244">
        <f>INDEX(MO_BSS_ROA,0,COLUMN())</f>
        <v>0.0062695833951010417</v>
      </c>
      <c r="AY77" s="244">
        <f>INDEX(MO_BSS_ROA,0,COLUMN())</f>
        <v>0.043071609267993652</v>
      </c>
      <c r="AZ77" s="1532">
        <f>INDEX(MO_BSS_ROA,0,COLUMN())</f>
        <v>0.0094091625682761349</v>
      </c>
      <c r="BA77" s="244">
        <f t="shared" si="177" ref="BA77:BE77">INDEX(MO_BSS_ROA,0,COLUMN())</f>
        <v>0.022927487058656167</v>
      </c>
      <c r="BB77" s="244">
        <f t="shared" si="177"/>
        <v>0.016495527871859966</v>
      </c>
      <c r="BC77" s="244">
        <f t="shared" si="177"/>
        <v>0.052282710687802617</v>
      </c>
      <c r="BD77" s="244">
        <f t="shared" si="177"/>
        <v>0.089996174965240067</v>
      </c>
      <c r="BE77" s="1532">
        <f t="shared" si="177"/>
        <v>0.046771147400999191</v>
      </c>
      <c r="BF77" s="244">
        <f t="shared" si="178" ref="BF77:BJ77">INDEX(MO_BSS_ROA,0,COLUMN())</f>
        <v>0.10183275489942697</v>
      </c>
      <c r="BG77" s="244">
        <f t="shared" si="178"/>
        <v>0.061106466438385972</v>
      </c>
      <c r="BH77" s="856">
        <f t="shared" si="178"/>
        <v>0.091413880790500376</v>
      </c>
      <c r="BI77" s="92">
        <f t="shared" ca="1" si="178"/>
        <v>0.061201023401141703</v>
      </c>
      <c r="BJ77" s="1533">
        <f t="shared" ca="1" si="178"/>
        <v>0.078405184246345336</v>
      </c>
      <c r="BK77" s="92">
        <f ca="1" t="shared" si="179" ref="BK77:BR77">INDEX(MO_BSS_ROA,0,COLUMN())</f>
        <v>0.074854929791564689</v>
      </c>
      <c r="BL77" s="92">
        <f t="shared" ca="1" si="179"/>
        <v>0.050340115651788767</v>
      </c>
      <c r="BM77" s="92">
        <f t="shared" ca="1" si="179"/>
        <v>0.041909518884733953</v>
      </c>
      <c r="BN77" s="92">
        <f t="shared" ca="1" si="179"/>
        <v>0.072242912061159792</v>
      </c>
      <c r="BO77" s="1533">
        <f t="shared" ca="1" si="179"/>
        <v>0.059739819665433402</v>
      </c>
      <c r="BP77" s="1532">
        <f t="shared" ca="1" si="179"/>
        <v>0.057143781653660269</v>
      </c>
      <c r="BQ77" s="1532">
        <f t="shared" ca="1" si="179"/>
        <v>0.053882729371217714</v>
      </c>
      <c r="BR77" s="1533">
        <f t="shared" ca="1" si="179"/>
        <v>0.051147067315456311</v>
      </c>
      <c r="BS77" s="165"/>
    </row>
    <row r="78" spans="1:71" s="710" customFormat="1" ht="15" customHeight="1">
      <c r="A78" s="143" t="s">
        <v>129</v>
      </c>
      <c r="B78" s="144"/>
      <c r="C78" s="1532">
        <f t="shared" si="180" ref="C78:AU78">INDEX(MO_BSS_ROE,0,COLUMN())</f>
        <v>0</v>
      </c>
      <c r="D78" s="1532">
        <f t="shared" si="180"/>
        <v>0.18110616656071213</v>
      </c>
      <c r="E78" s="1532">
        <f t="shared" si="180"/>
        <v>0.17131144775464785</v>
      </c>
      <c r="F78" s="1532">
        <f t="shared" si="180"/>
        <v>0.15275485241710854</v>
      </c>
      <c r="G78" s="1532">
        <f t="shared" si="180"/>
        <v>0.19110400524740737</v>
      </c>
      <c r="H78" s="244">
        <f t="shared" si="180"/>
        <v>0.20637308858814879</v>
      </c>
      <c r="I78" s="244">
        <f t="shared" si="180"/>
        <v>0.17793195781976937</v>
      </c>
      <c r="J78" s="244">
        <f t="shared" si="180"/>
        <v>0.17118941531092458</v>
      </c>
      <c r="K78" s="244">
        <f t="shared" si="180"/>
        <v>0.21187808060784549</v>
      </c>
      <c r="L78" s="1532">
        <f t="shared" si="180"/>
        <v>0.19245099335360524</v>
      </c>
      <c r="M78" s="244">
        <f t="shared" si="180"/>
        <v>0.16967866985913072</v>
      </c>
      <c r="N78" s="244">
        <f t="shared" si="180"/>
        <v>0.20014041048673001</v>
      </c>
      <c r="O78" s="244">
        <f t="shared" si="180"/>
        <v>0.14898662780498984</v>
      </c>
      <c r="P78" s="244">
        <f t="shared" si="180"/>
        <v>0.17772226188111015</v>
      </c>
      <c r="Q78" s="1532">
        <f t="shared" si="180"/>
        <v>0.17488142112538865</v>
      </c>
      <c r="R78" s="244">
        <f t="shared" si="180"/>
        <v>0.13986850899028533</v>
      </c>
      <c r="S78" s="244">
        <f t="shared" si="180"/>
        <v>0.099743508372060433</v>
      </c>
      <c r="T78" s="244">
        <f t="shared" si="180"/>
        <v>0.099243001943806045</v>
      </c>
      <c r="U78" s="244">
        <f t="shared" si="180"/>
        <v>0.18994375275263689</v>
      </c>
      <c r="V78" s="1532">
        <f t="shared" si="180"/>
        <v>0.13307827739140807</v>
      </c>
      <c r="W78" s="244">
        <f t="shared" si="180"/>
        <v>0.20883158036677421</v>
      </c>
      <c r="X78" s="244">
        <f t="shared" si="180"/>
        <v>0.16836883483756962</v>
      </c>
      <c r="Y78" s="244">
        <f t="shared" si="180"/>
        <v>0.097226684919660689</v>
      </c>
      <c r="Z78" s="244">
        <f t="shared" si="180"/>
        <v>0.24619177231812495</v>
      </c>
      <c r="AA78" s="1532">
        <f t="shared" si="180"/>
        <v>0.18074409079660436</v>
      </c>
      <c r="AB78" s="244">
        <f t="shared" si="180"/>
        <v>0.30417568415172286</v>
      </c>
      <c r="AC78" s="244">
        <f t="shared" si="180"/>
        <v>0.2751413573002659</v>
      </c>
      <c r="AD78" s="244">
        <f t="shared" si="180"/>
        <v>0.33437984667173198</v>
      </c>
      <c r="AE78" s="244">
        <f t="shared" si="180"/>
        <v>0.094334545783974572</v>
      </c>
      <c r="AF78" s="1532">
        <f t="shared" si="180"/>
        <v>0.25274877323449046</v>
      </c>
      <c r="AG78" s="244">
        <f t="shared" si="180"/>
        <v>0.39611741230355207</v>
      </c>
      <c r="AH78" s="244">
        <f t="shared" si="180"/>
        <v>0.31909191745944415</v>
      </c>
      <c r="AI78" s="244">
        <f t="shared" si="180"/>
        <v>0.25033886407472394</v>
      </c>
      <c r="AJ78" s="244">
        <f t="shared" si="180"/>
        <v>0.31492048087569263</v>
      </c>
      <c r="AK78" s="1532">
        <f t="shared" si="180"/>
        <v>0.32013157916100388</v>
      </c>
      <c r="AL78" s="244">
        <f t="shared" si="180"/>
        <v>0.2040971356240493</v>
      </c>
      <c r="AM78" s="244">
        <f t="shared" si="180"/>
        <v>0.47772061927877069</v>
      </c>
      <c r="AN78" s="244">
        <f t="shared" si="180"/>
        <v>0.3590919390763605</v>
      </c>
      <c r="AO78" s="244">
        <f>INDEX(MO_BSS_ROE,0,COLUMN())</f>
        <v>0.39097384783500216</v>
      </c>
      <c r="AP78" s="1532">
        <f>INDEX(MO_BSS_ROE,0,COLUMN())</f>
        <v>0.36700598306951632</v>
      </c>
      <c r="AQ78" s="244">
        <f t="shared" si="180"/>
        <v>0.35264243536664192</v>
      </c>
      <c r="AR78" s="244">
        <f t="shared" si="180"/>
        <v>0.17690475484154733</v>
      </c>
      <c r="AS78" s="244">
        <f>INDEX(MO_BSS_ROE,0,COLUMN())</f>
        <v>0.024474732194597445</v>
      </c>
      <c r="AT78" s="244">
        <f t="shared" si="180"/>
        <v>0.21176766547609596</v>
      </c>
      <c r="AU78" s="1532">
        <f t="shared" si="180"/>
        <v>0.18914111497663016</v>
      </c>
      <c r="AV78" s="244">
        <f>INDEX(MO_BSS_ROE,0,COLUMN())</f>
        <v>0.0726558779219523</v>
      </c>
      <c r="AW78" s="244">
        <f>INDEX(MO_BSS_ROE,0,COLUMN())</f>
        <v>-0.13901075860144016</v>
      </c>
      <c r="AX78" s="244">
        <f>INDEX(MO_BSS_ROE,0,COLUMN())</f>
        <v>0.031640919607652765</v>
      </c>
      <c r="AY78" s="244">
        <f>INDEX(MO_BSS_ROE,0,COLUMN())</f>
        <v>0.21911992244071468</v>
      </c>
      <c r="AZ78" s="1532">
        <f>INDEX(MO_BSS_ROE,0,COLUMN())</f>
        <v>0.043888026770054003</v>
      </c>
      <c r="BA78" s="244">
        <f t="shared" si="181" ref="BA78:BE78">INDEX(MO_BSS_ROE,0,COLUMN())</f>
        <v>0.11248270642824282</v>
      </c>
      <c r="BB78" s="244">
        <f t="shared" si="181"/>
        <v>0.082676444686637804</v>
      </c>
      <c r="BC78" s="244">
        <f t="shared" si="181"/>
        <v>0.26615547664770489</v>
      </c>
      <c r="BD78" s="244">
        <f t="shared" si="181"/>
        <v>0.42770642532383712</v>
      </c>
      <c r="BE78" s="1532">
        <f t="shared" si="181"/>
        <v>0.22821753179267218</v>
      </c>
      <c r="BF78" s="244">
        <f t="shared" si="182" ref="BF78:BJ78">INDEX(MO_BSS_ROE,0,COLUMN())</f>
        <v>0.44758157612501331</v>
      </c>
      <c r="BG78" s="244">
        <f t="shared" si="182"/>
        <v>0.25987324245418592</v>
      </c>
      <c r="BH78" s="856">
        <f t="shared" si="182"/>
        <v>0.36764075481808944</v>
      </c>
      <c r="BI78" s="92">
        <f t="shared" ca="1" si="182"/>
        <v>0.23355886834271228</v>
      </c>
      <c r="BJ78" s="1533">
        <f t="shared" ca="1" si="182"/>
        <v>0.32056215420429335</v>
      </c>
      <c r="BK78" s="92">
        <f ca="1" t="shared" si="183" ref="BK78:BR78">INDEX(MO_BSS_ROE,0,COLUMN())</f>
        <v>0.27685807130117474</v>
      </c>
      <c r="BL78" s="92">
        <f t="shared" ca="1" si="183"/>
        <v>0.18199280498429471</v>
      </c>
      <c r="BM78" s="92">
        <f t="shared" ca="1" si="183"/>
        <v>0.14994945001085516</v>
      </c>
      <c r="BN78" s="92">
        <f t="shared" ca="1" si="183"/>
        <v>0.25327806529784946</v>
      </c>
      <c r="BO78" s="1533">
        <f t="shared" ca="1" si="183"/>
        <v>0.21474757780404335</v>
      </c>
      <c r="BP78" s="1532">
        <f t="shared" ca="1" si="183"/>
        <v>0.19016640679968877</v>
      </c>
      <c r="BQ78" s="1532">
        <f t="shared" ca="1" si="183"/>
        <v>0.16878636766146415</v>
      </c>
      <c r="BR78" s="1533">
        <f t="shared" ca="1" si="183"/>
        <v>0.15248475429202052</v>
      </c>
      <c r="BS78" s="165"/>
    </row>
    <row r="79" spans="1:71" s="710" customFormat="1" ht="15" customHeight="1">
      <c r="A79" s="143" t="s">
        <v>130</v>
      </c>
      <c r="B79" s="144"/>
      <c r="C79" s="1532">
        <f t="shared" si="184" ref="C79:AU79">INDEX(MO_BSS_ROTE,0,COLUMN())</f>
        <v>0</v>
      </c>
      <c r="D79" s="1532">
        <f t="shared" si="184"/>
        <v>0.18110616656071213</v>
      </c>
      <c r="E79" s="1532">
        <f t="shared" si="184"/>
        <v>0.17131144775464785</v>
      </c>
      <c r="F79" s="1532">
        <f t="shared" si="184"/>
        <v>0.15275485241710854</v>
      </c>
      <c r="G79" s="1532">
        <f t="shared" si="184"/>
        <v>0.19110400524740737</v>
      </c>
      <c r="H79" s="244">
        <f t="shared" si="184"/>
        <v>0.20637308858814879</v>
      </c>
      <c r="I79" s="244">
        <f t="shared" si="184"/>
        <v>0.17810564980804583</v>
      </c>
      <c r="J79" s="244">
        <f t="shared" si="184"/>
        <v>0.17151183181139701</v>
      </c>
      <c r="K79" s="244">
        <f t="shared" si="184"/>
        <v>0.21227310987340098</v>
      </c>
      <c r="L79" s="1532">
        <f t="shared" si="184"/>
        <v>0.19267503948259032</v>
      </c>
      <c r="M79" s="244">
        <f t="shared" si="184"/>
        <v>0.16998904226565942</v>
      </c>
      <c r="N79" s="244">
        <f t="shared" si="184"/>
        <v>0.21508532279829495</v>
      </c>
      <c r="O79" s="244">
        <f t="shared" si="184"/>
        <v>0.17163454064977446</v>
      </c>
      <c r="P79" s="244">
        <f t="shared" si="184"/>
        <v>0.20398787534337132</v>
      </c>
      <c r="Q79" s="1532">
        <f t="shared" si="184"/>
        <v>0.19022978846015312</v>
      </c>
      <c r="R79" s="244">
        <f t="shared" si="184"/>
        <v>0.16001397945649734</v>
      </c>
      <c r="S79" s="244">
        <f t="shared" si="184"/>
        <v>0.11328429007253446</v>
      </c>
      <c r="T79" s="244">
        <f t="shared" si="184"/>
        <v>0.11197161825056617</v>
      </c>
      <c r="U79" s="244">
        <f t="shared" si="184"/>
        <v>0.21363232158540746</v>
      </c>
      <c r="V79" s="1532">
        <f t="shared" si="184"/>
        <v>0.15084567214841743</v>
      </c>
      <c r="W79" s="244">
        <f t="shared" si="184"/>
        <v>0.23362440309579319</v>
      </c>
      <c r="X79" s="244">
        <f t="shared" si="184"/>
        <v>0.18671827880854605</v>
      </c>
      <c r="Y79" s="244">
        <f t="shared" si="184"/>
        <v>0.10714211767653611</v>
      </c>
      <c r="Z79" s="244">
        <f t="shared" si="184"/>
        <v>0.27029928697872729</v>
      </c>
      <c r="AA79" s="1532">
        <f t="shared" si="184"/>
        <v>0.20009701978349001</v>
      </c>
      <c r="AB79" s="244">
        <f t="shared" si="184"/>
        <v>0.33235455708945871</v>
      </c>
      <c r="AC79" s="244">
        <f t="shared" si="184"/>
        <v>0.29839211962337442</v>
      </c>
      <c r="AD79" s="244">
        <f t="shared" si="184"/>
        <v>0.35985913293353355</v>
      </c>
      <c r="AE79" s="244">
        <f t="shared" si="184"/>
        <v>0.10140535945048137</v>
      </c>
      <c r="AF79" s="1532">
        <f t="shared" si="184"/>
        <v>0.27363373019138221</v>
      </c>
      <c r="AG79" s="244">
        <f t="shared" si="184"/>
        <v>0.42469600243197969</v>
      </c>
      <c r="AH79" s="244">
        <f t="shared" si="184"/>
        <v>0.33906974010133489</v>
      </c>
      <c r="AI79" s="244">
        <f t="shared" si="184"/>
        <v>0.2643945951507371</v>
      </c>
      <c r="AJ79" s="244">
        <f t="shared" si="184"/>
        <v>0.33196663648114716</v>
      </c>
      <c r="AK79" s="1532">
        <f t="shared" si="184"/>
        <v>0.33979829592455701</v>
      </c>
      <c r="AL79" s="244">
        <f t="shared" si="184"/>
        <v>0.21480275312595304</v>
      </c>
      <c r="AM79" s="244">
        <f t="shared" si="184"/>
        <v>0.49966235523810859</v>
      </c>
      <c r="AN79" s="244">
        <f t="shared" si="184"/>
        <v>0.37336080046456205</v>
      </c>
      <c r="AO79" s="244">
        <f>INDEX(MO_BSS_ROTE,0,COLUMN())</f>
        <v>0.4059857346730657</v>
      </c>
      <c r="AP79" s="1532">
        <f>INDEX(MO_BSS_ROTE,0,COLUMN())</f>
        <v>0.38316547306362309</v>
      </c>
      <c r="AQ79" s="244">
        <f t="shared" si="184"/>
        <v>0.36596913635069056</v>
      </c>
      <c r="AR79" s="244">
        <f t="shared" si="184"/>
        <v>0.18313801412836236</v>
      </c>
      <c r="AS79" s="244">
        <f>INDEX(MO_BSS_ROTE,0,COLUMN())</f>
        <v>0.025301071403371723</v>
      </c>
      <c r="AT79" s="244">
        <f t="shared" si="184"/>
        <v>0.21882469290849907</v>
      </c>
      <c r="AU79" s="1532">
        <f t="shared" si="184"/>
        <v>0.19579869255481921</v>
      </c>
      <c r="AV79" s="244">
        <f>INDEX(MO_BSS_ROTE,0,COLUMN())</f>
        <v>0.075120994324120727</v>
      </c>
      <c r="AW79" s="244">
        <f>INDEX(MO_BSS_ROTE,0,COLUMN())</f>
        <v>-0.14298016321651391</v>
      </c>
      <c r="AX79" s="244">
        <f>INDEX(MO_BSS_ROTE,0,COLUMN())</f>
        <v>0.032349415663153455</v>
      </c>
      <c r="AY79" s="244">
        <f>INDEX(MO_BSS_ROTE,0,COLUMN())</f>
        <v>0.22390207867266695</v>
      </c>
      <c r="AZ79" s="1532">
        <f>INDEX(MO_BSS_ROTE,0,COLUMN())</f>
        <v>0.045075328882474987</v>
      </c>
      <c r="BA79" s="244">
        <f t="shared" si="185" ref="BA79:BE79">INDEX(MO_BSS_ROTE,0,COLUMN())</f>
        <v>0.11473246166940279</v>
      </c>
      <c r="BB79" s="244">
        <f t="shared" si="185"/>
        <v>0.084265212856030516</v>
      </c>
      <c r="BC79" s="244">
        <f t="shared" si="185"/>
        <v>0.27113714730408545</v>
      </c>
      <c r="BD79" s="244">
        <f t="shared" si="185"/>
        <v>0.43488564346115016</v>
      </c>
      <c r="BE79" s="1532">
        <f t="shared" si="185"/>
        <v>0.23242918812162247</v>
      </c>
      <c r="BF79" s="244">
        <f t="shared" si="186" ref="BF79:BJ79">INDEX(MO_BSS_ROTE,0,COLUMN())</f>
        <v>0.45086377814746953</v>
      </c>
      <c r="BG79" s="244">
        <f t="shared" si="186"/>
        <v>0.25987324245418592</v>
      </c>
      <c r="BH79" s="856">
        <f t="shared" si="186"/>
        <v>0.36764075481808944</v>
      </c>
      <c r="BI79" s="92">
        <f t="shared" ca="1" si="186"/>
        <v>0.23355886834271228</v>
      </c>
      <c r="BJ79" s="1533">
        <f t="shared" ca="1" si="186"/>
        <v>0.32136739324332297</v>
      </c>
      <c r="BK79" s="92">
        <f ca="1" t="shared" si="187" ref="BK79:BR79">INDEX(MO_BSS_ROTE,0,COLUMN())</f>
        <v>0.27685807130117474</v>
      </c>
      <c r="BL79" s="92">
        <f t="shared" ca="1" si="187"/>
        <v>0.18199280498429471</v>
      </c>
      <c r="BM79" s="92">
        <f t="shared" ca="1" si="187"/>
        <v>0.14994945001085516</v>
      </c>
      <c r="BN79" s="92">
        <f t="shared" ca="1" si="187"/>
        <v>0.25327806529784946</v>
      </c>
      <c r="BO79" s="1533">
        <f t="shared" ca="1" si="187"/>
        <v>0.21474757780404335</v>
      </c>
      <c r="BP79" s="1532">
        <f t="shared" ca="1" si="187"/>
        <v>0.19016640679968877</v>
      </c>
      <c r="BQ79" s="1532">
        <f t="shared" ca="1" si="187"/>
        <v>0.16878636766146415</v>
      </c>
      <c r="BR79" s="1533">
        <f t="shared" ca="1" si="187"/>
        <v>0.15248475429202052</v>
      </c>
      <c r="BS79" s="165"/>
    </row>
    <row r="80" spans="1:71" ht="15" customHeight="1">
      <c r="A80" s="137"/>
      <c r="B80" s="128"/>
      <c r="C80" s="1517"/>
      <c r="D80" s="1517"/>
      <c r="E80" s="1517"/>
      <c r="F80" s="1517"/>
      <c r="G80" s="1517"/>
      <c r="H80" s="1196"/>
      <c r="I80" s="1196"/>
      <c r="J80" s="1196"/>
      <c r="K80" s="1196"/>
      <c r="L80" s="1517"/>
      <c r="M80" s="1196"/>
      <c r="N80" s="1196"/>
      <c r="O80" s="1196"/>
      <c r="P80" s="1196"/>
      <c r="Q80" s="1517"/>
      <c r="R80" s="1196"/>
      <c r="S80" s="1196"/>
      <c r="T80" s="1196"/>
      <c r="U80" s="1196"/>
      <c r="V80" s="1517"/>
      <c r="W80" s="1196"/>
      <c r="X80" s="1196"/>
      <c r="Y80" s="1196"/>
      <c r="Z80" s="1196"/>
      <c r="AA80" s="1517"/>
      <c r="AB80" s="1196"/>
      <c r="AC80" s="1196"/>
      <c r="AD80" s="1196"/>
      <c r="AE80" s="1196"/>
      <c r="AF80" s="1517"/>
      <c r="AG80" s="1196"/>
      <c r="AH80" s="1196"/>
      <c r="AI80" s="1196"/>
      <c r="AJ80" s="1196"/>
      <c r="AK80" s="1517"/>
      <c r="AL80" s="1196"/>
      <c r="AM80" s="1196"/>
      <c r="AN80" s="1196"/>
      <c r="AO80" s="1196"/>
      <c r="AP80" s="1517"/>
      <c r="AQ80" s="1196"/>
      <c r="AR80" s="1196"/>
      <c r="AS80" s="1196"/>
      <c r="AT80" s="1196"/>
      <c r="AU80" s="1517"/>
      <c r="AV80" s="1196"/>
      <c r="AW80" s="1196"/>
      <c r="AX80" s="1196"/>
      <c r="AY80" s="1196"/>
      <c r="AZ80" s="1517"/>
      <c r="BA80" s="1196"/>
      <c r="BB80" s="1196"/>
      <c r="BC80" s="1196"/>
      <c r="BD80" s="1196"/>
      <c r="BE80" s="1517"/>
      <c r="BF80" s="1196"/>
      <c r="BG80" s="1196"/>
      <c r="BH80" s="1197"/>
      <c r="BI80" s="1198"/>
      <c r="BJ80" s="1518"/>
      <c r="BK80" s="1198"/>
      <c r="BL80" s="1198"/>
      <c r="BM80" s="1198"/>
      <c r="BN80" s="1198"/>
      <c r="BO80" s="1518"/>
      <c r="BP80" s="1517"/>
      <c r="BQ80" s="1517"/>
      <c r="BR80" s="1518"/>
      <c r="BS80" s="1016"/>
    </row>
    <row r="81" spans="1:71" ht="15" customHeight="1">
      <c r="A81" s="74" t="s">
        <v>118</v>
      </c>
      <c r="B81" s="1012"/>
      <c r="C81" s="1185"/>
      <c r="D81" s="1185"/>
      <c r="E81" s="1185"/>
      <c r="F81" s="1185"/>
      <c r="G81" s="1185"/>
      <c r="H81" s="1185"/>
      <c r="I81" s="1185"/>
      <c r="J81" s="1185"/>
      <c r="K81" s="1185"/>
      <c r="L81" s="1185"/>
      <c r="M81" s="1185"/>
      <c r="N81" s="1185"/>
      <c r="O81" s="1185"/>
      <c r="P81" s="1185"/>
      <c r="Q81" s="1185"/>
      <c r="R81" s="1185"/>
      <c r="S81" s="1185"/>
      <c r="T81" s="1185"/>
      <c r="U81" s="1185"/>
      <c r="V81" s="1185"/>
      <c r="W81" s="1185"/>
      <c r="X81" s="1185"/>
      <c r="Y81" s="1185"/>
      <c r="Z81" s="1185"/>
      <c r="AA81" s="1185"/>
      <c r="AB81" s="1185"/>
      <c r="AC81" s="1185"/>
      <c r="AD81" s="1185"/>
      <c r="AE81" s="1185"/>
      <c r="AF81" s="1185"/>
      <c r="AG81" s="1185"/>
      <c r="AH81" s="1185"/>
      <c r="AI81" s="1185"/>
      <c r="AJ81" s="1185"/>
      <c r="AK81" s="1185"/>
      <c r="AL81" s="1185"/>
      <c r="AM81" s="1185"/>
      <c r="AN81" s="1185"/>
      <c r="AO81" s="1185"/>
      <c r="AP81" s="1185"/>
      <c r="AQ81" s="1185"/>
      <c r="AR81" s="1185"/>
      <c r="AS81" s="1185"/>
      <c r="AT81" s="1185"/>
      <c r="AU81" s="1185"/>
      <c r="AV81" s="1185"/>
      <c r="AW81" s="1185"/>
      <c r="AX81" s="1185"/>
      <c r="AY81" s="1185"/>
      <c r="AZ81" s="1185"/>
      <c r="BA81" s="1185"/>
      <c r="BB81" s="1185"/>
      <c r="BC81" s="1185"/>
      <c r="BD81" s="1185"/>
      <c r="BE81" s="1185"/>
      <c r="BF81" s="1185"/>
      <c r="BG81" s="1185"/>
      <c r="BH81" s="1186"/>
      <c r="BI81" s="1187"/>
      <c r="BJ81" s="1187"/>
      <c r="BK81" s="1187"/>
      <c r="BL81" s="1187"/>
      <c r="BM81" s="1187"/>
      <c r="BN81" s="1187"/>
      <c r="BO81" s="1187"/>
      <c r="BP81" s="1185"/>
      <c r="BQ81" s="1185"/>
      <c r="BR81" s="1187"/>
      <c r="BS81" s="1015"/>
    </row>
    <row r="82" spans="1:71" s="702" customFormat="1" ht="15" customHeight="1">
      <c r="A82" s="122" t="str">
        <f>INDEX(MO_BSS_NUPR,0,COLUMN())</f>
        <v>Net Unearned Premium Reserves</v>
      </c>
      <c r="B82" s="145"/>
      <c r="C82" s="1534">
        <f t="shared" si="188" ref="C82:AU82">INDEX(MO_BSS_NUPR,0,COLUMN())</f>
        <v>4103.5999999999995</v>
      </c>
      <c r="D82" s="1534">
        <f t="shared" si="188"/>
        <v>4265.70</v>
      </c>
      <c r="E82" s="1534">
        <f t="shared" si="188"/>
        <v>4509.5999999999995</v>
      </c>
      <c r="F82" s="1534">
        <f t="shared" si="188"/>
        <v>4864.3999999999996</v>
      </c>
      <c r="G82" s="1534">
        <f t="shared" si="188"/>
        <v>5099.6000000000004</v>
      </c>
      <c r="H82" s="1201">
        <f t="shared" si="188"/>
        <v>5378.30</v>
      </c>
      <c r="I82" s="1201">
        <f t="shared" si="188"/>
        <v>5492.80</v>
      </c>
      <c r="J82" s="1201">
        <f t="shared" si="188"/>
        <v>5684.70</v>
      </c>
      <c r="K82" s="1201">
        <f t="shared" si="188"/>
        <v>5354.80</v>
      </c>
      <c r="L82" s="1534">
        <f t="shared" si="188"/>
        <v>5354.80</v>
      </c>
      <c r="M82" s="1201">
        <f t="shared" si="188"/>
        <v>5754.70</v>
      </c>
      <c r="N82" s="1201">
        <f t="shared" si="188"/>
        <v>6408.90</v>
      </c>
      <c r="O82" s="1201">
        <f t="shared" si="188"/>
        <v>6750.20</v>
      </c>
      <c r="P82" s="1201">
        <f t="shared" si="188"/>
        <v>6422.50</v>
      </c>
      <c r="Q82" s="1534">
        <f t="shared" si="188"/>
        <v>6422.50</v>
      </c>
      <c r="R82" s="1201">
        <f t="shared" si="188"/>
        <v>6924</v>
      </c>
      <c r="S82" s="1201">
        <f t="shared" si="188"/>
        <v>7292.10</v>
      </c>
      <c r="T82" s="1201">
        <f t="shared" si="188"/>
        <v>7618</v>
      </c>
      <c r="U82" s="1201">
        <f t="shared" si="188"/>
        <v>7297.80</v>
      </c>
      <c r="V82" s="1534">
        <f t="shared" si="188"/>
        <v>7297.80</v>
      </c>
      <c r="W82" s="1201">
        <f t="shared" si="188"/>
        <v>7762.30</v>
      </c>
      <c r="X82" s="1201">
        <f t="shared" si="188"/>
        <v>8195.10</v>
      </c>
      <c r="Y82" s="1201">
        <f t="shared" si="188"/>
        <v>8793.5999999999985</v>
      </c>
      <c r="Z82" s="1201">
        <f t="shared" si="188"/>
        <v>8700.2000000000007</v>
      </c>
      <c r="AA82" s="1534">
        <f t="shared" si="188"/>
        <v>8700.2000000000007</v>
      </c>
      <c r="AB82" s="1201">
        <f t="shared" si="188"/>
        <v>9495</v>
      </c>
      <c r="AC82" s="1201">
        <f t="shared" si="188"/>
        <v>9956.10</v>
      </c>
      <c r="AD82" s="1201">
        <f t="shared" si="188"/>
        <v>10629.60</v>
      </c>
      <c r="AE82" s="1201">
        <f t="shared" si="188"/>
        <v>10376.799999999999</v>
      </c>
      <c r="AF82" s="1534">
        <f t="shared" si="188"/>
        <v>10376.799999999999</v>
      </c>
      <c r="AG82" s="1201">
        <f t="shared" si="188"/>
        <v>11156.90</v>
      </c>
      <c r="AH82" s="1201">
        <f t="shared" si="188"/>
        <v>11458.700000000001</v>
      </c>
      <c r="AI82" s="1201">
        <f t="shared" si="188"/>
        <v>12067.700000000001</v>
      </c>
      <c r="AJ82" s="1201">
        <f t="shared" si="188"/>
        <v>11762.299999999999</v>
      </c>
      <c r="AK82" s="1534">
        <f t="shared" si="188"/>
        <v>11762.299999999999</v>
      </c>
      <c r="AL82" s="1201">
        <f t="shared" si="188"/>
        <v>12202.90</v>
      </c>
      <c r="AM82" s="1201">
        <f t="shared" si="188"/>
        <v>12694.300000000001</v>
      </c>
      <c r="AN82" s="1201">
        <f t="shared" si="188"/>
        <v>13735.90</v>
      </c>
      <c r="AO82" s="1201">
        <f>INDEX(MO_BSS_NUPR,0,COLUMN())</f>
        <v>13069.40</v>
      </c>
      <c r="AP82" s="1534">
        <f>INDEX(MO_BSS_NUPR,0,COLUMN())</f>
        <v>13069.40</v>
      </c>
      <c r="AQ82" s="1201">
        <f t="shared" si="188"/>
        <v>14378.299999999999</v>
      </c>
      <c r="AR82" s="1201">
        <f t="shared" si="188"/>
        <v>14935.90</v>
      </c>
      <c r="AS82" s="1201">
        <f>INDEX(MO_BSS_NUPR,0,COLUMN())</f>
        <v>16010.300000000001</v>
      </c>
      <c r="AT82" s="1201">
        <f t="shared" si="188"/>
        <v>15158.20</v>
      </c>
      <c r="AU82" s="1534">
        <f t="shared" si="188"/>
        <v>15158.20</v>
      </c>
      <c r="AV82" s="1201">
        <f>INDEX(MO_BSS_NUPR,0,COLUMN())</f>
        <v>16536.300000000003</v>
      </c>
      <c r="AW82" s="1201">
        <f>INDEX(MO_BSS_NUPR,0,COLUMN())</f>
        <v>16810.50</v>
      </c>
      <c r="AX82" s="1201">
        <f>INDEX(MO_BSS_NUPR,0,COLUMN())</f>
        <v>17429.40</v>
      </c>
      <c r="AY82" s="1201">
        <f>INDEX(MO_BSS_NUPR,0,COLUMN())</f>
        <v>16998.099999999999</v>
      </c>
      <c r="AZ82" s="1534">
        <f>INDEX(MO_BSS_NUPR,0,COLUMN())</f>
        <v>16998.099999999999</v>
      </c>
      <c r="BA82" s="1201">
        <f t="shared" si="189" ref="BA82:BE82">INDEX(MO_BSS_NUPR,0,COLUMN())</f>
        <v>19574.700000000001</v>
      </c>
      <c r="BB82" s="1201">
        <f t="shared" si="189"/>
        <v>19827.199999999997</v>
      </c>
      <c r="BC82" s="1201">
        <f t="shared" si="189"/>
        <v>20526.700000000001</v>
      </c>
      <c r="BD82" s="1201">
        <f t="shared" si="189"/>
        <v>19883.900000000001</v>
      </c>
      <c r="BE82" s="1534">
        <f t="shared" si="189"/>
        <v>19883.900000000001</v>
      </c>
      <c r="BF82" s="1201">
        <f t="shared" si="190" ref="BF82:BJ82">INDEX(MO_BSS_NUPR,0,COLUMN())</f>
        <v>22697.50</v>
      </c>
      <c r="BG82" s="1201">
        <f t="shared" si="190"/>
        <v>23389.60</v>
      </c>
      <c r="BH82" s="1202">
        <f t="shared" si="190"/>
        <v>24548.50</v>
      </c>
      <c r="BI82" s="1203">
        <f t="shared" si="190"/>
        <v>24837.545198958614</v>
      </c>
      <c r="BJ82" s="1535">
        <f t="shared" si="190"/>
        <v>24837.545198958614</v>
      </c>
      <c r="BK82" s="1203">
        <f t="shared" si="191" ref="BK82:BR82">INDEX(MO_BSS_NUPR,0,COLUMN())</f>
        <v>25244.062916932107</v>
      </c>
      <c r="BL82" s="1203">
        <f t="shared" si="191"/>
        <v>26177.393667955192</v>
      </c>
      <c r="BM82" s="1203">
        <f t="shared" si="191"/>
        <v>27092.044140546412</v>
      </c>
      <c r="BN82" s="1203">
        <f t="shared" si="191"/>
        <v>27414.476540241569</v>
      </c>
      <c r="BO82" s="1535">
        <f t="shared" si="191"/>
        <v>27414.476540241569</v>
      </c>
      <c r="BP82" s="1534">
        <f t="shared" si="191"/>
        <v>30191.431148958512</v>
      </c>
      <c r="BQ82" s="1534">
        <f t="shared" si="191"/>
        <v>33080.574723867612</v>
      </c>
      <c r="BR82" s="1535">
        <f t="shared" si="191"/>
        <v>36086.439699203038</v>
      </c>
      <c r="BS82" s="1015"/>
    </row>
    <row r="83" spans="1:71" s="702" customFormat="1" ht="15" customHeight="1">
      <c r="A83" s="741" t="str">
        <f>INDEX(MO_BSS_NLR,0,COLUMN())</f>
        <v>Net Loss Reserves</v>
      </c>
      <c r="B83" s="146"/>
      <c r="C83" s="1510">
        <f t="shared" si="192" ref="C83:AU83">INDEX(MO_BSS_NLR,0,COLUMN())</f>
        <v>6123.60</v>
      </c>
      <c r="D83" s="1510">
        <f t="shared" si="192"/>
        <v>6366.90</v>
      </c>
      <c r="E83" s="1510">
        <f t="shared" si="192"/>
        <v>6460.10</v>
      </c>
      <c r="F83" s="1510">
        <f t="shared" si="192"/>
        <v>6976.2999999999993</v>
      </c>
      <c r="G83" s="1510">
        <f t="shared" si="192"/>
        <v>7433.8000000000011</v>
      </c>
      <c r="H83" s="1179">
        <f t="shared" si="192"/>
        <v>7515.60</v>
      </c>
      <c r="I83" s="1179">
        <f t="shared" si="192"/>
        <v>7540</v>
      </c>
      <c r="J83" s="1179">
        <f t="shared" si="192"/>
        <v>7601.90</v>
      </c>
      <c r="K83" s="1179">
        <f t="shared" si="192"/>
        <v>7671.50</v>
      </c>
      <c r="L83" s="1510">
        <f t="shared" si="192"/>
        <v>7671.50</v>
      </c>
      <c r="M83" s="1179">
        <f t="shared" si="192"/>
        <v>7795.2000000000007</v>
      </c>
      <c r="N83" s="1179">
        <f t="shared" si="192"/>
        <v>8345.10</v>
      </c>
      <c r="O83" s="1179">
        <f t="shared" si="192"/>
        <v>8458.3000000000011</v>
      </c>
      <c r="P83" s="1179">
        <f t="shared" si="192"/>
        <v>8596.2999999999993</v>
      </c>
      <c r="Q83" s="1510">
        <f t="shared" si="192"/>
        <v>8596.2999999999993</v>
      </c>
      <c r="R83" s="1179">
        <f t="shared" si="192"/>
        <v>8778</v>
      </c>
      <c r="S83" s="1179">
        <f t="shared" si="192"/>
        <v>9078.90</v>
      </c>
      <c r="T83" s="1179">
        <f t="shared" si="192"/>
        <v>9394</v>
      </c>
      <c r="U83" s="1179">
        <f t="shared" si="192"/>
        <v>9567</v>
      </c>
      <c r="V83" s="1510">
        <f t="shared" si="192"/>
        <v>9567</v>
      </c>
      <c r="W83" s="1179">
        <f t="shared" si="192"/>
        <v>9778.50</v>
      </c>
      <c r="X83" s="1179">
        <f t="shared" si="192"/>
        <v>10112.50</v>
      </c>
      <c r="Y83" s="1179">
        <f t="shared" si="192"/>
        <v>10728.60</v>
      </c>
      <c r="Z83" s="1179">
        <f t="shared" si="192"/>
        <v>10916.80</v>
      </c>
      <c r="AA83" s="1510">
        <f t="shared" si="192"/>
        <v>10916.80</v>
      </c>
      <c r="AB83" s="1179">
        <f t="shared" si="192"/>
        <v>11192</v>
      </c>
      <c r="AC83" s="1179">
        <f t="shared" si="192"/>
        <v>11777.699999999999</v>
      </c>
      <c r="AD83" s="1179">
        <f t="shared" si="192"/>
        <v>12244.40</v>
      </c>
      <c r="AE83" s="1179">
        <f t="shared" si="192"/>
        <v>12828.099999999999</v>
      </c>
      <c r="AF83" s="1510">
        <f t="shared" si="192"/>
        <v>12828.099999999999</v>
      </c>
      <c r="AG83" s="1179">
        <f t="shared" si="192"/>
        <v>13168.20</v>
      </c>
      <c r="AH83" s="1179">
        <f t="shared" si="192"/>
        <v>13653.60</v>
      </c>
      <c r="AI83" s="1179">
        <f t="shared" si="192"/>
        <v>14224.90</v>
      </c>
      <c r="AJ83" s="1179">
        <f t="shared" si="192"/>
        <v>14893.20</v>
      </c>
      <c r="AK83" s="1510">
        <f t="shared" si="192"/>
        <v>14893.20</v>
      </c>
      <c r="AL83" s="1179">
        <f t="shared" si="192"/>
        <v>14862.80</v>
      </c>
      <c r="AM83" s="1179">
        <f t="shared" si="192"/>
        <v>15009.299999999999</v>
      </c>
      <c r="AN83" s="1179">
        <f t="shared" si="192"/>
        <v>15784.900000000001</v>
      </c>
      <c r="AO83" s="1179">
        <f>INDEX(MO_BSS_NLR,0,COLUMN())</f>
        <v>16467.60</v>
      </c>
      <c r="AP83" s="1510">
        <f>INDEX(MO_BSS_NLR,0,COLUMN())</f>
        <v>16467.60</v>
      </c>
      <c r="AQ83" s="1179">
        <f t="shared" si="192"/>
        <v>17095.100000000002</v>
      </c>
      <c r="AR83" s="1179">
        <f t="shared" si="192"/>
        <v>19430.699999999997</v>
      </c>
      <c r="AS83" s="1179">
        <f>INDEX(MO_BSS_NLR,0,COLUMN())</f>
        <v>21103.799999999999</v>
      </c>
      <c r="AT83" s="1179">
        <f t="shared" si="192"/>
        <v>21430.50</v>
      </c>
      <c r="AU83" s="1510">
        <f t="shared" si="192"/>
        <v>21430.50</v>
      </c>
      <c r="AV83" s="1179">
        <f>INDEX(MO_BSS_NLR,0,COLUMN())</f>
        <v>21995.800000000003</v>
      </c>
      <c r="AW83" s="1179">
        <f>INDEX(MO_BSS_NLR,0,COLUMN())</f>
        <v>23127.400000000001</v>
      </c>
      <c r="AX83" s="1179">
        <f>INDEX(MO_BSS_NLR,0,COLUMN())</f>
        <v>24597.799999999999</v>
      </c>
      <c r="AY83" s="1179">
        <f>INDEX(MO_BSS_NLR,0,COLUMN())</f>
        <v>24800.099999999999</v>
      </c>
      <c r="AZ83" s="1510">
        <f>INDEX(MO_BSS_NLR,0,COLUMN())</f>
        <v>24800.099999999999</v>
      </c>
      <c r="BA83" s="1179">
        <f t="shared" si="193" ref="BA83:BE83">INDEX(MO_BSS_NLR,0,COLUMN())</f>
        <v>25725.300000000003</v>
      </c>
      <c r="BB83" s="1179">
        <f t="shared" si="193"/>
        <v>27688.900000000001</v>
      </c>
      <c r="BC83" s="1179">
        <f t="shared" si="193"/>
        <v>28636.100000000002</v>
      </c>
      <c r="BD83" s="1179">
        <f t="shared" si="193"/>
        <v>29600.199999999997</v>
      </c>
      <c r="BE83" s="1510">
        <f t="shared" si="193"/>
        <v>29600.199999999997</v>
      </c>
      <c r="BF83" s="1179">
        <f t="shared" si="194" ref="BF83:BJ83">INDEX(MO_BSS_NLR,0,COLUMN())</f>
        <v>30179.099999999999</v>
      </c>
      <c r="BG83" s="1179">
        <f t="shared" si="194"/>
        <v>32090.199999999997</v>
      </c>
      <c r="BH83" s="1181">
        <f t="shared" si="194"/>
        <v>33515.50</v>
      </c>
      <c r="BI83" s="1179">
        <f t="shared" si="194"/>
        <v>34600.566800194698</v>
      </c>
      <c r="BJ83" s="1510">
        <f t="shared" si="194"/>
        <v>34600.566800194698</v>
      </c>
      <c r="BK83" s="1179">
        <f t="shared" si="195" ref="BK83:BR83">INDEX(MO_BSS_NLR,0,COLUMN())</f>
        <v>35887.459661451161</v>
      </c>
      <c r="BL83" s="1179">
        <f t="shared" si="195"/>
        <v>37088.441083697166</v>
      </c>
      <c r="BM83" s="1179">
        <f t="shared" si="195"/>
        <v>38331.263728817496</v>
      </c>
      <c r="BN83" s="1179">
        <f t="shared" si="195"/>
        <v>39520.426434808862</v>
      </c>
      <c r="BO83" s="1510">
        <f t="shared" si="195"/>
        <v>39520.426434808862</v>
      </c>
      <c r="BP83" s="1510">
        <f t="shared" si="195"/>
        <v>44794.498960805839</v>
      </c>
      <c r="BQ83" s="1510">
        <f t="shared" si="195"/>
        <v>50281.644016853097</v>
      </c>
      <c r="BR83" s="1510">
        <f t="shared" si="195"/>
        <v>55990.46973316466</v>
      </c>
      <c r="BS83" s="1015"/>
    </row>
    <row r="84" spans="1:71" s="704" customFormat="1" ht="15" customHeight="1">
      <c r="A84" s="124" t="str">
        <f>INDEX(MO_BSS_NTR,0,COLUMN())</f>
        <v>Net Technical Reserves</v>
      </c>
      <c r="B84" s="285"/>
      <c r="C84" s="1536">
        <f t="shared" si="196" ref="C84:AU84">INDEX(MO_BSS_NTR,0,COLUMN())</f>
        <v>10227.200000000001</v>
      </c>
      <c r="D84" s="1536">
        <f t="shared" si="196"/>
        <v>10632.60</v>
      </c>
      <c r="E84" s="1536">
        <f t="shared" si="196"/>
        <v>10969.700000000001</v>
      </c>
      <c r="F84" s="1536">
        <f t="shared" si="196"/>
        <v>11840.700000000001</v>
      </c>
      <c r="G84" s="1536">
        <f t="shared" si="196"/>
        <v>12533.40</v>
      </c>
      <c r="H84" s="1206">
        <f t="shared" si="196"/>
        <v>12893.90</v>
      </c>
      <c r="I84" s="1206">
        <f t="shared" si="196"/>
        <v>13032.80</v>
      </c>
      <c r="J84" s="1206">
        <f t="shared" si="196"/>
        <v>13286.60</v>
      </c>
      <c r="K84" s="1206">
        <f t="shared" si="196"/>
        <v>13026.299999999999</v>
      </c>
      <c r="L84" s="1536">
        <f t="shared" si="196"/>
        <v>13026.299999999999</v>
      </c>
      <c r="M84" s="1206">
        <f t="shared" si="196"/>
        <v>13549.90</v>
      </c>
      <c r="N84" s="1206">
        <f t="shared" si="196"/>
        <v>14754</v>
      </c>
      <c r="O84" s="1206">
        <f t="shared" si="196"/>
        <v>15208.50</v>
      </c>
      <c r="P84" s="1206">
        <f t="shared" si="196"/>
        <v>15018.80</v>
      </c>
      <c r="Q84" s="1536">
        <f t="shared" si="196"/>
        <v>15018.80</v>
      </c>
      <c r="R84" s="1206">
        <f t="shared" si="196"/>
        <v>15702</v>
      </c>
      <c r="S84" s="1206">
        <f t="shared" si="196"/>
        <v>16371</v>
      </c>
      <c r="T84" s="1206">
        <f t="shared" si="196"/>
        <v>17012</v>
      </c>
      <c r="U84" s="1206">
        <f t="shared" si="196"/>
        <v>16864.80</v>
      </c>
      <c r="V84" s="1536">
        <f t="shared" si="196"/>
        <v>16864.80</v>
      </c>
      <c r="W84" s="1206">
        <f t="shared" si="196"/>
        <v>17540.80</v>
      </c>
      <c r="X84" s="1206">
        <f t="shared" si="196"/>
        <v>18307.60</v>
      </c>
      <c r="Y84" s="1206">
        <f t="shared" si="196"/>
        <v>19522.20</v>
      </c>
      <c r="Z84" s="1206">
        <f t="shared" si="196"/>
        <v>19617</v>
      </c>
      <c r="AA84" s="1536">
        <f t="shared" si="196"/>
        <v>19617</v>
      </c>
      <c r="AB84" s="1206">
        <f t="shared" si="196"/>
        <v>20687</v>
      </c>
      <c r="AC84" s="1206">
        <f t="shared" si="196"/>
        <v>21733.799999999999</v>
      </c>
      <c r="AD84" s="1206">
        <f t="shared" si="196"/>
        <v>22874</v>
      </c>
      <c r="AE84" s="1206">
        <f t="shared" si="196"/>
        <v>23204.900000000001</v>
      </c>
      <c r="AF84" s="1536">
        <f t="shared" si="196"/>
        <v>23204.900000000001</v>
      </c>
      <c r="AG84" s="1206">
        <f t="shared" si="196"/>
        <v>24325.099999999999</v>
      </c>
      <c r="AH84" s="1206">
        <f t="shared" si="196"/>
        <v>25112.299999999999</v>
      </c>
      <c r="AI84" s="1206">
        <f t="shared" si="196"/>
        <v>26292.599999999999</v>
      </c>
      <c r="AJ84" s="1206">
        <f t="shared" si="196"/>
        <v>26655.50</v>
      </c>
      <c r="AK84" s="1536">
        <f t="shared" si="196"/>
        <v>26655.50</v>
      </c>
      <c r="AL84" s="1206">
        <f t="shared" si="196"/>
        <v>27065.700000000001</v>
      </c>
      <c r="AM84" s="1206">
        <f t="shared" si="196"/>
        <v>27703.60</v>
      </c>
      <c r="AN84" s="1206">
        <f t="shared" si="196"/>
        <v>29520.80</v>
      </c>
      <c r="AO84" s="1206">
        <f>INDEX(MO_BSS_NTR,0,COLUMN())</f>
        <v>29537</v>
      </c>
      <c r="AP84" s="1536">
        <f>INDEX(MO_BSS_NTR,0,COLUMN())</f>
        <v>29537</v>
      </c>
      <c r="AQ84" s="1206">
        <f t="shared" si="196"/>
        <v>31473.400000000001</v>
      </c>
      <c r="AR84" s="1206">
        <f t="shared" si="196"/>
        <v>34366.599999999999</v>
      </c>
      <c r="AS84" s="1206">
        <f>INDEX(MO_BSS_NTR,0,COLUMN())</f>
        <v>37114.099999999999</v>
      </c>
      <c r="AT84" s="1206">
        <f t="shared" si="196"/>
        <v>36588.699999999997</v>
      </c>
      <c r="AU84" s="1536">
        <f t="shared" si="196"/>
        <v>36588.699999999997</v>
      </c>
      <c r="AV84" s="1206">
        <f>INDEX(MO_BSS_NTR,0,COLUMN())</f>
        <v>38532.099999999999</v>
      </c>
      <c r="AW84" s="1206">
        <f>INDEX(MO_BSS_NTR,0,COLUMN())</f>
        <v>39937.900000000001</v>
      </c>
      <c r="AX84" s="1206">
        <f>INDEX(MO_BSS_NTR,0,COLUMN())</f>
        <v>42027.20</v>
      </c>
      <c r="AY84" s="1206">
        <f>INDEX(MO_BSS_NTR,0,COLUMN())</f>
        <v>41798.199999999997</v>
      </c>
      <c r="AZ84" s="1536">
        <f>INDEX(MO_BSS_NTR,0,COLUMN())</f>
        <v>41798.199999999997</v>
      </c>
      <c r="BA84" s="1206">
        <f t="shared" si="197" ref="BA84:BE84">INDEX(MO_BSS_NTR,0,COLUMN())</f>
        <v>45300</v>
      </c>
      <c r="BB84" s="1206">
        <f t="shared" si="197"/>
        <v>47516.099999999999</v>
      </c>
      <c r="BC84" s="1206">
        <f t="shared" si="197"/>
        <v>49162.800000000003</v>
      </c>
      <c r="BD84" s="1206">
        <f t="shared" si="197"/>
        <v>49484.099999999999</v>
      </c>
      <c r="BE84" s="1536">
        <f t="shared" si="197"/>
        <v>49484.099999999999</v>
      </c>
      <c r="BF84" s="1206">
        <f t="shared" si="198" ref="BF84:BJ84">INDEX(MO_BSS_NTR,0,COLUMN())</f>
        <v>52876.599999999999</v>
      </c>
      <c r="BG84" s="1206">
        <f t="shared" si="198"/>
        <v>55479.800000000003</v>
      </c>
      <c r="BH84" s="1207">
        <f t="shared" si="198"/>
        <v>58064</v>
      </c>
      <c r="BI84" s="1206">
        <f t="shared" si="198"/>
        <v>59438.111999000001</v>
      </c>
      <c r="BJ84" s="1536">
        <f t="shared" si="198"/>
        <v>59438.111999000001</v>
      </c>
      <c r="BK84" s="1206">
        <f t="shared" si="199" ref="BK84:BR84">INDEX(MO_BSS_NTR,0,COLUMN())</f>
        <v>61131.522577999996</v>
      </c>
      <c r="BL84" s="1206">
        <f t="shared" si="199"/>
        <v>63265.834752000002</v>
      </c>
      <c r="BM84" s="1206">
        <f t="shared" si="199"/>
        <v>65423.307868999997</v>
      </c>
      <c r="BN84" s="1206">
        <f t="shared" si="199"/>
        <v>66934.902975000005</v>
      </c>
      <c r="BO84" s="1536">
        <f t="shared" si="199"/>
        <v>66934.902975000005</v>
      </c>
      <c r="BP84" s="1536">
        <f t="shared" si="199"/>
        <v>74985.930110000001</v>
      </c>
      <c r="BQ84" s="1536">
        <f t="shared" si="199"/>
        <v>83362.218741000004</v>
      </c>
      <c r="BR84" s="1536">
        <f t="shared" si="199"/>
        <v>92076.909432</v>
      </c>
      <c r="BS84" s="1016"/>
    </row>
    <row r="85" spans="1:71" s="707" customFormat="1" ht="15" customHeight="1">
      <c r="A85" s="147"/>
      <c r="B85" s="139"/>
      <c r="C85" s="1537"/>
      <c r="D85" s="1537"/>
      <c r="E85" s="1537"/>
      <c r="F85" s="1537"/>
      <c r="G85" s="1537"/>
      <c r="H85" s="246"/>
      <c r="I85" s="246"/>
      <c r="J85" s="246"/>
      <c r="K85" s="246"/>
      <c r="L85" s="1537"/>
      <c r="M85" s="246"/>
      <c r="N85" s="246"/>
      <c r="O85" s="246"/>
      <c r="P85" s="246"/>
      <c r="Q85" s="1537"/>
      <c r="R85" s="246"/>
      <c r="S85" s="246"/>
      <c r="T85" s="246"/>
      <c r="U85" s="246"/>
      <c r="V85" s="1537"/>
      <c r="W85" s="246"/>
      <c r="X85" s="246"/>
      <c r="Y85" s="246"/>
      <c r="Z85" s="246"/>
      <c r="AA85" s="1537"/>
      <c r="AB85" s="246"/>
      <c r="AC85" s="246"/>
      <c r="AD85" s="246"/>
      <c r="AE85" s="246"/>
      <c r="AF85" s="1537"/>
      <c r="AG85" s="246"/>
      <c r="AH85" s="246"/>
      <c r="AI85" s="246"/>
      <c r="AJ85" s="246"/>
      <c r="AK85" s="1537"/>
      <c r="AL85" s="246"/>
      <c r="AM85" s="246"/>
      <c r="AN85" s="246"/>
      <c r="AO85" s="246"/>
      <c r="AP85" s="1537"/>
      <c r="AQ85" s="246"/>
      <c r="AR85" s="246"/>
      <c r="AS85" s="246"/>
      <c r="AT85" s="246"/>
      <c r="AU85" s="1537"/>
      <c r="AV85" s="246"/>
      <c r="AW85" s="246"/>
      <c r="AX85" s="246"/>
      <c r="AY85" s="246"/>
      <c r="AZ85" s="1537"/>
      <c r="BA85" s="246"/>
      <c r="BB85" s="246"/>
      <c r="BC85" s="246"/>
      <c r="BD85" s="246"/>
      <c r="BE85" s="1537"/>
      <c r="BF85" s="246"/>
      <c r="BG85" s="246"/>
      <c r="BH85" s="857"/>
      <c r="BI85" s="94"/>
      <c r="BJ85" s="1538"/>
      <c r="BK85" s="94"/>
      <c r="BL85" s="94"/>
      <c r="BM85" s="94"/>
      <c r="BN85" s="94"/>
      <c r="BO85" s="1538"/>
      <c r="BP85" s="1537"/>
      <c r="BQ85" s="1537"/>
      <c r="BR85" s="1538"/>
      <c r="BS85" s="83"/>
    </row>
    <row r="86" spans="1:71" s="709" customFormat="1" ht="15">
      <c r="A86" s="140" t="str">
        <f>INDEX(MO_BSS_BVPS,0,COLUMN())</f>
        <v>Book Value per Common Share</v>
      </c>
      <c r="B86" s="141"/>
      <c r="C86" s="1539">
        <f t="shared" si="200" ref="C86:AU86">INDEX(MO_BSS_BVPS,0,COLUMN())</f>
        <v>8.5468329999999995</v>
      </c>
      <c r="D86" s="1539">
        <f t="shared" si="200"/>
        <v>9.131793</v>
      </c>
      <c r="E86" s="1539">
        <f t="shared" si="200"/>
        <v>9.4725940000000008</v>
      </c>
      <c r="F86" s="1539">
        <f t="shared" si="200"/>
        <v>9.9354949999999995</v>
      </c>
      <c r="G86" s="1539">
        <f t="shared" si="200"/>
        <v>10.388553</v>
      </c>
      <c r="H86" s="257">
        <f t="shared" si="200"/>
        <v>10.855842000000001</v>
      </c>
      <c r="I86" s="257">
        <f t="shared" si="200"/>
        <v>11.477937000000001</v>
      </c>
      <c r="J86" s="257">
        <f t="shared" si="200"/>
        <v>11.770706000000001</v>
      </c>
      <c r="K86" s="257">
        <f t="shared" si="200"/>
        <v>11.787343</v>
      </c>
      <c r="L86" s="1539">
        <f t="shared" si="200"/>
        <v>11.787343</v>
      </c>
      <c r="M86" s="257">
        <f t="shared" si="200"/>
        <v>12.262727999999999</v>
      </c>
      <c r="N86" s="257">
        <f t="shared" si="200"/>
        <v>12.561529</v>
      </c>
      <c r="O86" s="257">
        <f t="shared" si="200"/>
        <v>12.764283000000001</v>
      </c>
      <c r="P86" s="257">
        <f t="shared" si="200"/>
        <v>12.490404</v>
      </c>
      <c r="Q86" s="1539">
        <f t="shared" si="200"/>
        <v>12.490404</v>
      </c>
      <c r="R86" s="257">
        <f t="shared" si="200"/>
        <v>12.967238</v>
      </c>
      <c r="S86" s="257">
        <f t="shared" si="200"/>
        <v>13.465372</v>
      </c>
      <c r="T86" s="257">
        <f t="shared" si="200"/>
        <v>13.937156</v>
      </c>
      <c r="U86" s="257">
        <f t="shared" si="200"/>
        <v>13.721503999999999</v>
      </c>
      <c r="V86" s="1539">
        <f t="shared" si="200"/>
        <v>13.721503999999999</v>
      </c>
      <c r="W86" s="257">
        <f t="shared" si="200"/>
        <v>14.671887999999999</v>
      </c>
      <c r="X86" s="257">
        <f t="shared" si="200"/>
        <v>15.475904</v>
      </c>
      <c r="Y86" s="257">
        <f t="shared" si="200"/>
        <v>15.972146</v>
      </c>
      <c r="Z86" s="257">
        <f t="shared" si="200"/>
        <v>15.961492</v>
      </c>
      <c r="AA86" s="1539">
        <f t="shared" si="200"/>
        <v>15.961492</v>
      </c>
      <c r="AB86" s="257">
        <f t="shared" si="200"/>
        <v>16.877231999999999</v>
      </c>
      <c r="AC86" s="257">
        <f t="shared" si="200"/>
        <v>18.037597000000002</v>
      </c>
      <c r="AD86" s="257">
        <f t="shared" si="200"/>
        <v>19.490482</v>
      </c>
      <c r="AE86" s="257">
        <f t="shared" si="200"/>
        <v>17.709019000000001</v>
      </c>
      <c r="AF86" s="1539">
        <f t="shared" si="200"/>
        <v>17.709019000000001</v>
      </c>
      <c r="AG86" s="257">
        <f t="shared" si="200"/>
        <v>19.946428999999998</v>
      </c>
      <c r="AH86" s="257">
        <f t="shared" si="200"/>
        <v>21.977229999999999</v>
      </c>
      <c r="AI86" s="257">
        <f t="shared" si="200"/>
        <v>23.314060999999999</v>
      </c>
      <c r="AJ86" s="257">
        <f t="shared" si="200"/>
        <v>22.544132999999999</v>
      </c>
      <c r="AK86" s="1539">
        <f t="shared" si="200"/>
        <v>22.544132999999999</v>
      </c>
      <c r="AL86" s="257">
        <f t="shared" si="200"/>
        <v>23.676064</v>
      </c>
      <c r="AM86" s="257">
        <f t="shared" si="200"/>
        <v>27.633583999999999</v>
      </c>
      <c r="AN86" s="257">
        <f t="shared" si="200"/>
        <v>30.043203999999999</v>
      </c>
      <c r="AO86" s="257">
        <f>INDEX(MO_BSS_BVPS,0,COLUMN())</f>
        <v>28.271872999999999</v>
      </c>
      <c r="AP86" s="1539">
        <f>INDEX(MO_BSS_BVPS,0,COLUMN())</f>
        <v>28.271872999999999</v>
      </c>
      <c r="AQ86" s="257">
        <f t="shared" si="200"/>
        <v>29.635338000000001</v>
      </c>
      <c r="AR86" s="257">
        <f t="shared" si="200"/>
        <v>31.069206999999999</v>
      </c>
      <c r="AS86" s="257">
        <f>INDEX(MO_BSS_BVPS,0,COLUMN())</f>
        <v>30.878973999999999</v>
      </c>
      <c r="AT86" s="257">
        <f t="shared" si="200"/>
        <v>30.351984999999999</v>
      </c>
      <c r="AU86" s="1539">
        <f t="shared" si="200"/>
        <v>30.351984999999999</v>
      </c>
      <c r="AV86" s="257">
        <f>INDEX(MO_BSS_BVPS,0,COLUMN())</f>
        <v>28.307915999999999</v>
      </c>
      <c r="AW86" s="257">
        <f>INDEX(MO_BSS_BVPS,0,COLUMN())</f>
        <v>25.916909</v>
      </c>
      <c r="AX86" s="257">
        <f>INDEX(MO_BSS_BVPS,0,COLUMN())</f>
        <v>24.410015000000001</v>
      </c>
      <c r="AY86" s="257">
        <f>INDEX(MO_BSS_BVPS,0,COLUMN())</f>
        <v>26.324328999999999</v>
      </c>
      <c r="AZ86" s="1539">
        <f>INDEX(MO_BSS_BVPS,0,COLUMN())</f>
        <v>26.324328999999999</v>
      </c>
      <c r="BA86" s="257">
        <f t="shared" si="201" ref="BA86:BE86">INDEX(MO_BSS_BVPS,0,COLUMN())</f>
        <v>27.971471999999999</v>
      </c>
      <c r="BB86" s="257">
        <f t="shared" si="201"/>
        <v>27.707841999999999</v>
      </c>
      <c r="BC86" s="257">
        <f t="shared" si="201"/>
        <v>28.891282</v>
      </c>
      <c r="BD86" s="257">
        <f t="shared" si="201"/>
        <v>33.800103</v>
      </c>
      <c r="BE86" s="1539">
        <f t="shared" si="201"/>
        <v>33.800103</v>
      </c>
      <c r="BF86" s="257">
        <f t="shared" si="202" ref="BF86:BJ86">INDEX(MO_BSS_BVPS,0,COLUMN())</f>
        <v>37.239713000000002</v>
      </c>
      <c r="BG86" s="257">
        <f t="shared" si="202"/>
        <v>39.850434999999997</v>
      </c>
      <c r="BH86" s="858">
        <f t="shared" si="202"/>
        <v>46.362752</v>
      </c>
      <c r="BI86" s="258">
        <f t="shared" ca="1" si="202"/>
        <v>49.081530999999998</v>
      </c>
      <c r="BJ86" s="1540">
        <f t="shared" ca="1" si="202"/>
        <v>49.081530999999998</v>
      </c>
      <c r="BK86" s="258">
        <f ca="1" t="shared" si="203" ref="BK86:BR86">INDEX(MO_BSS_BVPS,0,COLUMN())</f>
        <v>52.464699000000003</v>
      </c>
      <c r="BL86" s="258">
        <f t="shared" ca="1" si="203"/>
        <v>54.815613999999997</v>
      </c>
      <c r="BM86" s="258">
        <f t="shared" ca="1" si="203"/>
        <v>56.860174999999998</v>
      </c>
      <c r="BN86" s="258">
        <f t="shared" ca="1" si="203"/>
        <v>60.524149999999999</v>
      </c>
      <c r="BO86" s="1540">
        <f t="shared" ca="1" si="203"/>
        <v>60.524149999999999</v>
      </c>
      <c r="BP86" s="1539">
        <f t="shared" ca="1" si="203"/>
        <v>72.851703000000001</v>
      </c>
      <c r="BQ86" s="1539">
        <f t="shared" ca="1" si="203"/>
        <v>85.894553999999999</v>
      </c>
      <c r="BR86" s="1540">
        <f t="shared" ca="1" si="203"/>
        <v>99.689688000000004</v>
      </c>
      <c r="BS86" s="164"/>
    </row>
    <row r="87" spans="1:71" s="709" customFormat="1" ht="15">
      <c r="A87" s="140" t="str">
        <f>INDEX(MO_BSS_TBVPS,0,COLUMN())</f>
        <v>Tangible Book Value per Common Share</v>
      </c>
      <c r="B87" s="141"/>
      <c r="C87" s="1539">
        <f t="shared" si="204" ref="C87:AU87">INDEX(MO_BSS_TBVPS,0,COLUMN())</f>
        <v>8.5468329999999995</v>
      </c>
      <c r="D87" s="1539">
        <f t="shared" si="204"/>
        <v>9.131793</v>
      </c>
      <c r="E87" s="1539">
        <f t="shared" si="204"/>
        <v>9.4725940000000008</v>
      </c>
      <c r="F87" s="1539">
        <f t="shared" si="204"/>
        <v>9.9354949999999995</v>
      </c>
      <c r="G87" s="1539">
        <f t="shared" si="204"/>
        <v>10.388553</v>
      </c>
      <c r="H87" s="257">
        <f t="shared" si="204"/>
        <v>10.855842000000001</v>
      </c>
      <c r="I87" s="257">
        <f t="shared" si="204"/>
        <v>11.456128</v>
      </c>
      <c r="J87" s="257">
        <f t="shared" si="204"/>
        <v>11.748811999999999</v>
      </c>
      <c r="K87" s="257">
        <f t="shared" si="204"/>
        <v>11.765396000000001</v>
      </c>
      <c r="L87" s="1539">
        <f t="shared" si="204"/>
        <v>11.765396000000001</v>
      </c>
      <c r="M87" s="257">
        <f t="shared" si="204"/>
        <v>12.240762999999999</v>
      </c>
      <c r="N87" s="257">
        <f t="shared" si="204"/>
        <v>10.856631</v>
      </c>
      <c r="O87" s="257">
        <f t="shared" si="204"/>
        <v>11.127438</v>
      </c>
      <c r="P87" s="257">
        <f t="shared" si="204"/>
        <v>10.875427999999999</v>
      </c>
      <c r="Q87" s="1539">
        <f t="shared" si="204"/>
        <v>10.875427999999999</v>
      </c>
      <c r="R87" s="257">
        <f t="shared" si="204"/>
        <v>11.377186999999999</v>
      </c>
      <c r="S87" s="257">
        <f t="shared" si="204"/>
        <v>11.89603</v>
      </c>
      <c r="T87" s="257">
        <f t="shared" si="204"/>
        <v>12.391529</v>
      </c>
      <c r="U87" s="257">
        <f t="shared" si="204"/>
        <v>12.200207000000001</v>
      </c>
      <c r="V87" s="1539">
        <f t="shared" si="204"/>
        <v>12.200207000000001</v>
      </c>
      <c r="W87" s="257">
        <f t="shared" si="204"/>
        <v>13.179893</v>
      </c>
      <c r="X87" s="257">
        <f t="shared" si="204"/>
        <v>14.005164000000001</v>
      </c>
      <c r="Y87" s="257">
        <f t="shared" si="204"/>
        <v>14.532496999999999</v>
      </c>
      <c r="Z87" s="257">
        <f t="shared" si="204"/>
        <v>14.553034</v>
      </c>
      <c r="AA87" s="1539">
        <f t="shared" si="204"/>
        <v>14.553034</v>
      </c>
      <c r="AB87" s="257">
        <f t="shared" si="204"/>
        <v>15.501374</v>
      </c>
      <c r="AC87" s="257">
        <f t="shared" si="204"/>
        <v>16.692875999999998</v>
      </c>
      <c r="AD87" s="257">
        <f t="shared" si="204"/>
        <v>18.178014000000001</v>
      </c>
      <c r="AE87" s="257">
        <f t="shared" si="204"/>
        <v>16.427641000000001</v>
      </c>
      <c r="AF87" s="1539">
        <f t="shared" si="204"/>
        <v>16.427641000000001</v>
      </c>
      <c r="AG87" s="257">
        <f t="shared" si="204"/>
        <v>18.694025</v>
      </c>
      <c r="AH87" s="257">
        <f t="shared" si="204"/>
        <v>20.759288000000002</v>
      </c>
      <c r="AI87" s="257">
        <f t="shared" si="204"/>
        <v>22.124186999999999</v>
      </c>
      <c r="AJ87" s="257">
        <f t="shared" si="204"/>
        <v>21.379234</v>
      </c>
      <c r="AK87" s="1539">
        <f t="shared" si="204"/>
        <v>21.379234</v>
      </c>
      <c r="AL87" s="257">
        <f t="shared" si="204"/>
        <v>22.537330999999998</v>
      </c>
      <c r="AM87" s="257">
        <f t="shared" si="204"/>
        <v>26.519131999999999</v>
      </c>
      <c r="AN87" s="257">
        <f t="shared" si="204"/>
        <v>28.953381</v>
      </c>
      <c r="AO87" s="257">
        <f>INDEX(MO_BSS_TBVPS,0,COLUMN())</f>
        <v>27.205400000000001</v>
      </c>
      <c r="AP87" s="1539">
        <f>INDEX(MO_BSS_TBVPS,0,COLUMN())</f>
        <v>27.205400000000001</v>
      </c>
      <c r="AQ87" s="257">
        <f t="shared" si="204"/>
        <v>28.593131</v>
      </c>
      <c r="AR87" s="257">
        <f t="shared" si="204"/>
        <v>30.045283999999999</v>
      </c>
      <c r="AS87" s="257">
        <f>INDEX(MO_BSS_TBVPS,0,COLUMN())</f>
        <v>29.879657999999999</v>
      </c>
      <c r="AT87" s="257">
        <f t="shared" si="204"/>
        <v>29.376626000000002</v>
      </c>
      <c r="AU87" s="1539">
        <f t="shared" si="204"/>
        <v>29.376626000000002</v>
      </c>
      <c r="AV87" s="257">
        <f>INDEX(MO_BSS_TBVPS,0,COLUMN())</f>
        <v>27.358352</v>
      </c>
      <c r="AW87" s="257">
        <f>INDEX(MO_BSS_TBVPS,0,COLUMN())</f>
        <v>25.361087000000001</v>
      </c>
      <c r="AX87" s="257">
        <f>INDEX(MO_BSS_TBVPS,0,COLUMN())</f>
        <v>23.863613000000001</v>
      </c>
      <c r="AY87" s="257">
        <f>INDEX(MO_BSS_TBVPS,0,COLUMN())</f>
        <v>25.787143</v>
      </c>
      <c r="AZ87" s="1539">
        <f>INDEX(MO_BSS_TBVPS,0,COLUMN())</f>
        <v>25.787143</v>
      </c>
      <c r="BA87" s="257">
        <f t="shared" si="205" ref="BA87:BE87">INDEX(MO_BSS_TBVPS,0,COLUMN())</f>
        <v>27.44397</v>
      </c>
      <c r="BB87" s="257">
        <f t="shared" si="205"/>
        <v>27.185545999999999</v>
      </c>
      <c r="BC87" s="257">
        <f t="shared" si="205"/>
        <v>28.373674999999999</v>
      </c>
      <c r="BD87" s="257">
        <f t="shared" si="205"/>
        <v>33.282761000000001</v>
      </c>
      <c r="BE87" s="1539">
        <f t="shared" si="205"/>
        <v>33.282761000000001</v>
      </c>
      <c r="BF87" s="257">
        <f t="shared" si="206" ref="BF87:BJ87">INDEX(MO_BSS_TBVPS,0,COLUMN())</f>
        <v>37.239713000000002</v>
      </c>
      <c r="BG87" s="257">
        <f t="shared" si="206"/>
        <v>39.850434999999997</v>
      </c>
      <c r="BH87" s="858">
        <f t="shared" si="206"/>
        <v>46.362752</v>
      </c>
      <c r="BI87" s="258">
        <f t="shared" ca="1" si="206"/>
        <v>49.081530999999998</v>
      </c>
      <c r="BJ87" s="1540">
        <f t="shared" ca="1" si="206"/>
        <v>49.081530999999998</v>
      </c>
      <c r="BK87" s="258">
        <f ca="1" t="shared" si="207" ref="BK87:BR87">INDEX(MO_BSS_TBVPS,0,COLUMN())</f>
        <v>52.464699000000003</v>
      </c>
      <c r="BL87" s="258">
        <f t="shared" ca="1" si="207"/>
        <v>54.815613999999997</v>
      </c>
      <c r="BM87" s="258">
        <f t="shared" ca="1" si="207"/>
        <v>56.860174999999998</v>
      </c>
      <c r="BN87" s="258">
        <f t="shared" ca="1" si="207"/>
        <v>60.524149999999999</v>
      </c>
      <c r="BO87" s="1540">
        <f t="shared" ca="1" si="207"/>
        <v>60.524149999999999</v>
      </c>
      <c r="BP87" s="1539">
        <f t="shared" ca="1" si="207"/>
        <v>72.851703000000001</v>
      </c>
      <c r="BQ87" s="1539">
        <f t="shared" ca="1" si="207"/>
        <v>85.894553999999999</v>
      </c>
      <c r="BR87" s="1540">
        <f t="shared" ca="1" si="207"/>
        <v>99.689688000000004</v>
      </c>
      <c r="BS87" s="164"/>
    </row>
    <row r="88" spans="1:71" s="709" customFormat="1" ht="15">
      <c r="A88" s="140"/>
      <c r="B88" s="141"/>
      <c r="C88" s="1539"/>
      <c r="D88" s="1539"/>
      <c r="E88" s="1539"/>
      <c r="F88" s="1539"/>
      <c r="G88" s="1539"/>
      <c r="H88" s="257"/>
      <c r="I88" s="257"/>
      <c r="J88" s="257"/>
      <c r="K88" s="257"/>
      <c r="L88" s="1539"/>
      <c r="M88" s="257"/>
      <c r="N88" s="257"/>
      <c r="O88" s="257"/>
      <c r="P88" s="257"/>
      <c r="Q88" s="1539"/>
      <c r="R88" s="257"/>
      <c r="S88" s="257"/>
      <c r="T88" s="257"/>
      <c r="U88" s="257"/>
      <c r="V88" s="1539"/>
      <c r="W88" s="257"/>
      <c r="X88" s="257"/>
      <c r="Y88" s="257"/>
      <c r="Z88" s="257"/>
      <c r="AA88" s="1539"/>
      <c r="AB88" s="257"/>
      <c r="AC88" s="257"/>
      <c r="AD88" s="257"/>
      <c r="AE88" s="257"/>
      <c r="AF88" s="1539"/>
      <c r="AG88" s="257"/>
      <c r="AH88" s="257"/>
      <c r="AI88" s="257"/>
      <c r="AJ88" s="257"/>
      <c r="AK88" s="1539"/>
      <c r="AL88" s="257"/>
      <c r="AM88" s="257"/>
      <c r="AN88" s="257"/>
      <c r="AO88" s="257"/>
      <c r="AP88" s="1539"/>
      <c r="AQ88" s="257"/>
      <c r="AR88" s="257"/>
      <c r="AS88" s="257"/>
      <c r="AT88" s="257"/>
      <c r="AU88" s="1539"/>
      <c r="AV88" s="257"/>
      <c r="AW88" s="257"/>
      <c r="AX88" s="257"/>
      <c r="AY88" s="257"/>
      <c r="AZ88" s="1539"/>
      <c r="BA88" s="257"/>
      <c r="BB88" s="257"/>
      <c r="BC88" s="257"/>
      <c r="BD88" s="257"/>
      <c r="BE88" s="1539"/>
      <c r="BF88" s="257"/>
      <c r="BG88" s="257"/>
      <c r="BH88" s="858"/>
      <c r="BI88" s="258"/>
      <c r="BJ88" s="1540"/>
      <c r="BK88" s="258"/>
      <c r="BL88" s="258"/>
      <c r="BM88" s="258"/>
      <c r="BN88" s="258"/>
      <c r="BO88" s="1540"/>
      <c r="BP88" s="1539"/>
      <c r="BQ88" s="1539"/>
      <c r="BR88" s="1540"/>
      <c r="BS88" s="164"/>
    </row>
    <row r="89" spans="1:71" ht="15">
      <c r="A89" s="74" t="s">
        <v>288</v>
      </c>
      <c r="B89" s="1012"/>
      <c r="C89" s="1185"/>
      <c r="D89" s="1185"/>
      <c r="E89" s="1185"/>
      <c r="F89" s="1185"/>
      <c r="G89" s="1185"/>
      <c r="H89" s="1185"/>
      <c r="I89" s="1185"/>
      <c r="J89" s="1185"/>
      <c r="K89" s="1185"/>
      <c r="L89" s="1185"/>
      <c r="M89" s="1185"/>
      <c r="N89" s="1185"/>
      <c r="O89" s="1185"/>
      <c r="P89" s="1185"/>
      <c r="Q89" s="1185"/>
      <c r="R89" s="1185"/>
      <c r="S89" s="1185"/>
      <c r="T89" s="1185"/>
      <c r="U89" s="1185"/>
      <c r="V89" s="1185"/>
      <c r="W89" s="1185"/>
      <c r="X89" s="1185"/>
      <c r="Y89" s="1185"/>
      <c r="Z89" s="1185"/>
      <c r="AA89" s="1185"/>
      <c r="AB89" s="1185"/>
      <c r="AC89" s="1185"/>
      <c r="AD89" s="1185"/>
      <c r="AE89" s="1185"/>
      <c r="AF89" s="1185"/>
      <c r="AG89" s="1185"/>
      <c r="AH89" s="1185"/>
      <c r="AI89" s="1185"/>
      <c r="AJ89" s="1185"/>
      <c r="AK89" s="1185"/>
      <c r="AL89" s="1185"/>
      <c r="AM89" s="1185"/>
      <c r="AN89" s="1185"/>
      <c r="AO89" s="1185"/>
      <c r="AP89" s="1185"/>
      <c r="AQ89" s="1185"/>
      <c r="AR89" s="1185"/>
      <c r="AS89" s="1185"/>
      <c r="AT89" s="1185"/>
      <c r="AU89" s="1185"/>
      <c r="AV89" s="1185"/>
      <c r="AW89" s="1185"/>
      <c r="AX89" s="1185"/>
      <c r="AY89" s="1185"/>
      <c r="AZ89" s="1185"/>
      <c r="BA89" s="1185"/>
      <c r="BB89" s="1185"/>
      <c r="BC89" s="1185"/>
      <c r="BD89" s="1185"/>
      <c r="BE89" s="1185"/>
      <c r="BF89" s="1185"/>
      <c r="BG89" s="1185"/>
      <c r="BH89" s="1186"/>
      <c r="BI89" s="1187"/>
      <c r="BJ89" s="1187"/>
      <c r="BK89" s="1187"/>
      <c r="BL89" s="1187"/>
      <c r="BM89" s="1187"/>
      <c r="BN89" s="1187"/>
      <c r="BO89" s="1187"/>
      <c r="BP89" s="1185"/>
      <c r="BQ89" s="1185"/>
      <c r="BR89" s="1187"/>
      <c r="BS89" s="1015"/>
    </row>
    <row r="90" spans="1:71" s="711" customFormat="1" ht="15">
      <c r="A90" s="148" t="str">
        <f>INDEX(MO_VA_P_ToE,0,COLUMN())</f>
        <v>P/E - EoP</v>
      </c>
      <c r="B90" s="149"/>
      <c r="C90" s="1541">
        <f>INDEX(MO_VA_P_ToE,0,COLUMN())</f>
        <v>11.473484633569736</v>
      </c>
      <c r="D90" s="1541">
        <f>INDEX(MO_VA_P_ToE,0,COLUMN())</f>
        <v>12.337144060657112</v>
      </c>
      <c r="E90" s="1541">
        <f>INDEX(MO_VA_P_ToE,0,COLUMN())</f>
        <v>12.236257016248139</v>
      </c>
      <c r="F90" s="1541">
        <f>INDEX(MO_VA_P_ToE,0,COLUMN())</f>
        <v>14.044807713620784</v>
      </c>
      <c r="G90" s="1541">
        <f>INDEX(MO_VA_P_ToE,0,COLUMN())</f>
        <v>14.067080830616074</v>
      </c>
      <c r="H90" s="248"/>
      <c r="I90" s="248"/>
      <c r="J90" s="248"/>
      <c r="K90" s="248"/>
      <c r="L90" s="1541">
        <f>INDEX(MO_VA_P_ToE,0,COLUMN())</f>
        <v>12.638919594067119</v>
      </c>
      <c r="M90" s="248"/>
      <c r="N90" s="248"/>
      <c r="O90" s="248"/>
      <c r="P90" s="248"/>
      <c r="Q90" s="1541">
        <f>INDEX(MO_VA_P_ToE,0,COLUMN())</f>
        <v>15.022833701483126</v>
      </c>
      <c r="R90" s="248"/>
      <c r="S90" s="249"/>
      <c r="T90" s="249"/>
      <c r="U90" s="248"/>
      <c r="V90" s="1541">
        <f>INDEX(MO_VA_P_ToE,0,COLUMN())</f>
        <v>20.143064985450952</v>
      </c>
      <c r="W90" s="249"/>
      <c r="X90" s="249"/>
      <c r="Y90" s="249"/>
      <c r="Z90" s="248"/>
      <c r="AA90" s="1541">
        <f>INDEX(MO_VA_P_ToE,0,COLUMN())</f>
        <v>20.717638487627188</v>
      </c>
      <c r="AB90" s="249"/>
      <c r="AC90" s="249"/>
      <c r="AD90" s="249"/>
      <c r="AE90" s="248"/>
      <c r="AF90" s="1541">
        <f>INDEX(MO_VA_P_ToE,0,COLUMN())</f>
        <v>13.491906010254832</v>
      </c>
      <c r="AG90" s="249"/>
      <c r="AH90" s="249"/>
      <c r="AI90" s="249"/>
      <c r="AJ90" s="248"/>
      <c r="AK90" s="1541">
        <f>INDEX(MO_VA_P_ToE,0,COLUMN())</f>
        <v>10.768956737840455</v>
      </c>
      <c r="AL90" s="249"/>
      <c r="AM90" s="249"/>
      <c r="AN90" s="249"/>
      <c r="AO90" s="248"/>
      <c r="AP90" s="1541">
        <f>INDEX(MO_VA_P_ToE,0,COLUMN())</f>
        <v>10.081215280835551</v>
      </c>
      <c r="AQ90" s="249"/>
      <c r="AR90" s="249"/>
      <c r="AS90" s="249"/>
      <c r="AT90" s="249"/>
      <c r="AU90" s="1541">
        <f>INDEX(MO_VA_P_ToE,0,COLUMN())</f>
        <v>18.201159747292447</v>
      </c>
      <c r="AV90" s="249"/>
      <c r="AW90" s="249"/>
      <c r="AX90" s="249"/>
      <c r="AY90" s="249"/>
      <c r="AZ90" s="1541">
        <f>INDEX(MO_VA_P_ToE,0,COLUMN())</f>
        <v>109.63538871292711</v>
      </c>
      <c r="BA90" s="249"/>
      <c r="BB90" s="249"/>
      <c r="BC90" s="249"/>
      <c r="BD90" s="249"/>
      <c r="BE90" s="1541">
        <f>INDEX(MO_VA_P_ToE,0,COLUMN())</f>
        <v>24.212637135168698</v>
      </c>
      <c r="BF90" s="249"/>
      <c r="BG90" s="249"/>
      <c r="BH90" s="940"/>
      <c r="BI90" s="96"/>
      <c r="BJ90" s="1542">
        <f ca="1">INDEX(MO_VA_P_ToE,0,COLUMN())</f>
        <v>19.537220014267927</v>
      </c>
      <c r="BK90" s="96"/>
      <c r="BL90" s="96"/>
      <c r="BM90" s="96"/>
      <c r="BN90" s="96"/>
      <c r="BO90" s="1542">
        <f ca="1">INDEX(MO_VA_P_ToE,0,COLUMN())</f>
        <v>22.010858207003448</v>
      </c>
      <c r="BP90" s="1541">
        <f ca="1">INDEX(MO_VA_P_ToE,0,COLUMN())</f>
        <v>20.406206624641502</v>
      </c>
      <c r="BQ90" s="1541">
        <f ca="1">INDEX(MO_VA_P_ToE,0,COLUMN())</f>
        <v>19.316677471610781</v>
      </c>
      <c r="BR90" s="1542">
        <f ca="1">INDEX(MO_VA_P_ToE,0,COLUMN())</f>
        <v>18.289665761834232</v>
      </c>
      <c r="BS90" s="96"/>
    </row>
    <row r="91" spans="1:71" s="711" customFormat="1" ht="15">
      <c r="A91" s="148" t="str">
        <f>INDEX(MO_VA_P_ToB,0,COLUMN())</f>
        <v>P/B - EoP</v>
      </c>
      <c r="B91" s="149"/>
      <c r="C91" s="1541">
        <f>INDEX(MO_VA_P_ToB,0,COLUMN())</f>
        <v>2.1118933761780534</v>
      </c>
      <c r="D91" s="1541">
        <f>INDEX(MO_VA_P_ToB,0,COLUMN())</f>
        <v>2.1759144124270011</v>
      </c>
      <c r="E91" s="1541">
        <f>INDEX(MO_VA_P_ToB,0,COLUMN())</f>
        <v>2.0596259060612119</v>
      </c>
      <c r="F91" s="1541">
        <f>INDEX(MO_VA_P_ToB,0,COLUMN())</f>
        <v>2.0985366104054206</v>
      </c>
      <c r="G91" s="1541">
        <f>INDEX(MO_VA_P_ToB,0,COLUMN())</f>
        <v>2.614416078928413</v>
      </c>
      <c r="H91" s="248"/>
      <c r="I91" s="248"/>
      <c r="J91" s="248"/>
      <c r="K91" s="248"/>
      <c r="L91" s="1541">
        <f>INDEX(MO_VA_P_ToB,0,COLUMN())</f>
        <v>2.3092566323046677</v>
      </c>
      <c r="M91" s="248"/>
      <c r="N91" s="248"/>
      <c r="O91" s="248"/>
      <c r="P91" s="248"/>
      <c r="Q91" s="1541">
        <f>INDEX(MO_VA_P_ToB,0,COLUMN())</f>
        <v>2.5875864383569978</v>
      </c>
      <c r="R91" s="248"/>
      <c r="S91" s="249"/>
      <c r="T91" s="249"/>
      <c r="U91" s="248"/>
      <c r="V91" s="1541">
        <f>INDEX(MO_VA_P_ToB,0,COLUMN())</f>
        <v>2.5871799476209021</v>
      </c>
      <c r="W91" s="249"/>
      <c r="X91" s="249"/>
      <c r="Y91" s="249"/>
      <c r="Z91" s="248"/>
      <c r="AA91" s="1541">
        <f>INDEX(MO_VA_P_ToB,0,COLUMN())</f>
        <v>3.5284921985989781</v>
      </c>
      <c r="AB91" s="249"/>
      <c r="AC91" s="249"/>
      <c r="AD91" s="249"/>
      <c r="AE91" s="248"/>
      <c r="AF91" s="1541">
        <f>INDEX(MO_VA_P_ToB,0,COLUMN())</f>
        <v>3.3683401661040624</v>
      </c>
      <c r="AG91" s="249"/>
      <c r="AH91" s="249"/>
      <c r="AI91" s="249"/>
      <c r="AJ91" s="248"/>
      <c r="AK91" s="1541">
        <f>INDEX(MO_VA_P_ToB,0,COLUMN())</f>
        <v>3.2079299745082235</v>
      </c>
      <c r="AL91" s="249"/>
      <c r="AM91" s="249"/>
      <c r="AN91" s="249"/>
      <c r="AO91" s="248"/>
      <c r="AP91" s="1541">
        <f>INDEX(MO_VA_P_ToB,0,COLUMN())</f>
        <v>3.4454738814085646</v>
      </c>
      <c r="AQ91" s="249"/>
      <c r="AR91" s="249"/>
      <c r="AS91" s="249"/>
      <c r="AT91" s="249"/>
      <c r="AU91" s="1541">
        <f>INDEX(MO_VA_P_ToB,0,COLUMN())</f>
        <v>3.3951650938151161</v>
      </c>
      <c r="AV91" s="249"/>
      <c r="AW91" s="249"/>
      <c r="AX91" s="249"/>
      <c r="AY91" s="249"/>
      <c r="AZ91" s="1541">
        <f>INDEX(MO_VA_P_ToB,0,COLUMN())</f>
        <v>4.9273810549928934</v>
      </c>
      <c r="BA91" s="249"/>
      <c r="BB91" s="249"/>
      <c r="BC91" s="249"/>
      <c r="BD91" s="249"/>
      <c r="BE91" s="1541">
        <f>INDEX(MO_VA_P_ToB,0,COLUMN())</f>
        <v>4.7124116751951908</v>
      </c>
      <c r="BF91" s="249"/>
      <c r="BG91" s="249"/>
      <c r="BH91" s="940"/>
      <c r="BI91" s="96"/>
      <c r="BJ91" s="1542">
        <f ca="1">INDEX(MO_VA_P_ToB,0,COLUMN())</f>
        <v>5.2463726121338796</v>
      </c>
      <c r="BK91" s="96"/>
      <c r="BL91" s="96"/>
      <c r="BM91" s="96"/>
      <c r="BN91" s="96"/>
      <c r="BO91" s="1542">
        <f ca="1">INDEX(MO_VA_P_ToB,0,COLUMN())</f>
        <v>4.2545000631979137</v>
      </c>
      <c r="BP91" s="1541">
        <f ca="1">INDEX(MO_VA_P_ToB,0,COLUMN())</f>
        <v>3.5345776336896337</v>
      </c>
      <c r="BQ91" s="1541">
        <f ca="1">INDEX(MO_VA_P_ToB,0,COLUMN())</f>
        <v>2.9978617736346824</v>
      </c>
      <c r="BR91" s="1542">
        <f ca="1">INDEX(MO_VA_P_ToB,0,COLUMN())</f>
        <v>2.5830154067690532</v>
      </c>
      <c r="BS91" s="96"/>
    </row>
    <row r="92" spans="1:71" s="707" customFormat="1" ht="15">
      <c r="A92" s="147"/>
      <c r="B92" s="139"/>
      <c r="C92" s="1537"/>
      <c r="D92" s="1537"/>
      <c r="E92" s="1537"/>
      <c r="F92" s="1537"/>
      <c r="G92" s="1537"/>
      <c r="H92" s="246"/>
      <c r="I92" s="246"/>
      <c r="J92" s="246"/>
      <c r="K92" s="246"/>
      <c r="L92" s="1537"/>
      <c r="M92" s="246"/>
      <c r="N92" s="246"/>
      <c r="O92" s="246"/>
      <c r="P92" s="246"/>
      <c r="Q92" s="1537"/>
      <c r="R92" s="246"/>
      <c r="S92" s="246"/>
      <c r="T92" s="246"/>
      <c r="U92" s="246"/>
      <c r="V92" s="1537"/>
      <c r="W92" s="246"/>
      <c r="X92" s="246"/>
      <c r="Y92" s="246"/>
      <c r="Z92" s="246"/>
      <c r="AA92" s="1537"/>
      <c r="AB92" s="246"/>
      <c r="AC92" s="246"/>
      <c r="AD92" s="246"/>
      <c r="AE92" s="246"/>
      <c r="AF92" s="1537"/>
      <c r="AG92" s="246"/>
      <c r="AH92" s="246"/>
      <c r="AI92" s="246"/>
      <c r="AJ92" s="246"/>
      <c r="AK92" s="1537"/>
      <c r="AL92" s="246"/>
      <c r="AM92" s="246"/>
      <c r="AN92" s="246"/>
      <c r="AO92" s="246"/>
      <c r="AP92" s="1537"/>
      <c r="AQ92" s="246"/>
      <c r="AR92" s="246"/>
      <c r="AS92" s="246"/>
      <c r="AT92" s="246"/>
      <c r="AU92" s="1537"/>
      <c r="AV92" s="246"/>
      <c r="AW92" s="246"/>
      <c r="AX92" s="246"/>
      <c r="AY92" s="246"/>
      <c r="AZ92" s="1537"/>
      <c r="BA92" s="246"/>
      <c r="BB92" s="246"/>
      <c r="BC92" s="246"/>
      <c r="BD92" s="246"/>
      <c r="BE92" s="1537"/>
      <c r="BF92" s="246"/>
      <c r="BG92" s="246"/>
      <c r="BH92" s="857"/>
      <c r="BI92" s="94"/>
      <c r="BJ92" s="1538"/>
      <c r="BK92" s="94"/>
      <c r="BL92" s="94"/>
      <c r="BM92" s="94"/>
      <c r="BN92" s="94"/>
      <c r="BO92" s="1538"/>
      <c r="BP92" s="1537"/>
      <c r="BQ92" s="1537"/>
      <c r="BR92" s="1538"/>
      <c r="BS92" s="83"/>
    </row>
    <row r="93" spans="1:71" ht="15">
      <c r="A93" s="74" t="s">
        <v>289</v>
      </c>
      <c r="B93" s="1012"/>
      <c r="C93" s="1185"/>
      <c r="D93" s="1185"/>
      <c r="E93" s="1185"/>
      <c r="F93" s="1185"/>
      <c r="G93" s="1185"/>
      <c r="H93" s="1185"/>
      <c r="I93" s="1185"/>
      <c r="J93" s="1185"/>
      <c r="K93" s="1185"/>
      <c r="L93" s="1185"/>
      <c r="M93" s="1185"/>
      <c r="N93" s="1185"/>
      <c r="O93" s="1185"/>
      <c r="P93" s="1185"/>
      <c r="Q93" s="1185"/>
      <c r="R93" s="1185"/>
      <c r="S93" s="1185"/>
      <c r="T93" s="1185"/>
      <c r="U93" s="1185"/>
      <c r="V93" s="1185"/>
      <c r="W93" s="1185"/>
      <c r="X93" s="1185"/>
      <c r="Y93" s="1185"/>
      <c r="Z93" s="1185"/>
      <c r="AA93" s="1185"/>
      <c r="AB93" s="1185"/>
      <c r="AC93" s="1185"/>
      <c r="AD93" s="1185"/>
      <c r="AE93" s="1185"/>
      <c r="AF93" s="1185"/>
      <c r="AG93" s="1185"/>
      <c r="AH93" s="1185"/>
      <c r="AI93" s="1185"/>
      <c r="AJ93" s="1185"/>
      <c r="AK93" s="1185"/>
      <c r="AL93" s="1185"/>
      <c r="AM93" s="1185"/>
      <c r="AN93" s="1185"/>
      <c r="AO93" s="1185"/>
      <c r="AP93" s="1185"/>
      <c r="AQ93" s="1185"/>
      <c r="AR93" s="1185"/>
      <c r="AS93" s="1185"/>
      <c r="AT93" s="1185"/>
      <c r="AU93" s="1185"/>
      <c r="AV93" s="1185"/>
      <c r="AW93" s="1185"/>
      <c r="AX93" s="1185"/>
      <c r="AY93" s="1185"/>
      <c r="AZ93" s="1185"/>
      <c r="BA93" s="1185"/>
      <c r="BB93" s="1185"/>
      <c r="BC93" s="1185"/>
      <c r="BD93" s="1185"/>
      <c r="BE93" s="1185"/>
      <c r="BF93" s="1185"/>
      <c r="BG93" s="1185"/>
      <c r="BH93" s="1186"/>
      <c r="BI93" s="1187"/>
      <c r="BJ93" s="1187"/>
      <c r="BK93" s="1187"/>
      <c r="BL93" s="1187"/>
      <c r="BM93" s="1187"/>
      <c r="BN93" s="1187"/>
      <c r="BO93" s="1187"/>
      <c r="BP93" s="1185"/>
      <c r="BQ93" s="1185"/>
      <c r="BR93" s="1187"/>
      <c r="BS93" s="83"/>
    </row>
    <row r="94" spans="1:71" ht="15" hidden="1" outlineLevel="1">
      <c r="A94" s="1015" t="s">
        <v>290</v>
      </c>
      <c r="B94" s="150"/>
      <c r="C94" s="1166">
        <f t="shared" si="208" ref="C94:AU94">ROUND(INDEX(SP_GF_NI,0,COLUMN())-INDEX(MO_RIS_NI_GAAP_Basic,0,COLUMN()),6)</f>
        <v>0</v>
      </c>
      <c r="D94" s="1166">
        <f t="shared" si="208"/>
        <v>0</v>
      </c>
      <c r="E94" s="1166">
        <f t="shared" si="208"/>
        <v>0</v>
      </c>
      <c r="F94" s="1166">
        <f t="shared" si="208"/>
        <v>0</v>
      </c>
      <c r="G94" s="1166">
        <f t="shared" si="208"/>
        <v>0</v>
      </c>
      <c r="H94" s="1166">
        <f t="shared" si="208"/>
        <v>0</v>
      </c>
      <c r="I94" s="1166">
        <f t="shared" si="208"/>
        <v>0</v>
      </c>
      <c r="J94" s="1166">
        <f t="shared" si="208"/>
        <v>0</v>
      </c>
      <c r="K94" s="1166">
        <f t="shared" si="208"/>
        <v>0</v>
      </c>
      <c r="L94" s="1166">
        <f t="shared" si="208"/>
        <v>0</v>
      </c>
      <c r="M94" s="1166">
        <f t="shared" si="208"/>
        <v>0</v>
      </c>
      <c r="N94" s="1166">
        <f t="shared" si="208"/>
        <v>0</v>
      </c>
      <c r="O94" s="1166">
        <f t="shared" si="208"/>
        <v>0</v>
      </c>
      <c r="P94" s="1166">
        <f t="shared" si="208"/>
        <v>0</v>
      </c>
      <c r="Q94" s="1166">
        <f t="shared" si="208"/>
        <v>0</v>
      </c>
      <c r="R94" s="1166">
        <f t="shared" si="208"/>
        <v>0</v>
      </c>
      <c r="S94" s="1166">
        <f t="shared" si="208"/>
        <v>0</v>
      </c>
      <c r="T94" s="1166">
        <f t="shared" si="208"/>
        <v>0</v>
      </c>
      <c r="U94" s="1166">
        <f t="shared" si="208"/>
        <v>0</v>
      </c>
      <c r="V94" s="1166">
        <f t="shared" si="208"/>
        <v>0</v>
      </c>
      <c r="W94" s="1166">
        <f t="shared" si="208"/>
        <v>0</v>
      </c>
      <c r="X94" s="1166">
        <f t="shared" si="208"/>
        <v>0</v>
      </c>
      <c r="Y94" s="1166">
        <f t="shared" si="208"/>
        <v>0</v>
      </c>
      <c r="Z94" s="1166">
        <f t="shared" si="208"/>
        <v>0</v>
      </c>
      <c r="AA94" s="1166">
        <f t="shared" si="208"/>
        <v>0</v>
      </c>
      <c r="AB94" s="1166">
        <f t="shared" si="208"/>
        <v>0</v>
      </c>
      <c r="AC94" s="1166">
        <f t="shared" si="208"/>
        <v>0</v>
      </c>
      <c r="AD94" s="1166">
        <f t="shared" si="208"/>
        <v>0</v>
      </c>
      <c r="AE94" s="1166">
        <f t="shared" si="208"/>
        <v>0</v>
      </c>
      <c r="AF94" s="1166">
        <f t="shared" si="208"/>
        <v>0</v>
      </c>
      <c r="AG94" s="1166">
        <f t="shared" si="208"/>
        <v>0</v>
      </c>
      <c r="AH94" s="1166">
        <f t="shared" si="208"/>
        <v>0</v>
      </c>
      <c r="AI94" s="1166">
        <f t="shared" si="208"/>
        <v>0</v>
      </c>
      <c r="AJ94" s="1166">
        <f t="shared" si="208"/>
        <v>0</v>
      </c>
      <c r="AK94" s="1166">
        <f t="shared" si="208"/>
        <v>0</v>
      </c>
      <c r="AL94" s="1166">
        <f t="shared" si="208"/>
        <v>0</v>
      </c>
      <c r="AM94" s="1166">
        <f t="shared" si="208"/>
        <v>0</v>
      </c>
      <c r="AN94" s="1166">
        <f t="shared" si="208"/>
        <v>0</v>
      </c>
      <c r="AO94" s="1166">
        <f>ROUND(INDEX(SP_GF_NI,0,COLUMN())-INDEX(MO_RIS_NI_GAAP_Basic,0,COLUMN()),6)</f>
        <v>0</v>
      </c>
      <c r="AP94" s="1166">
        <f>ROUND(INDEX(SP_GF_NI,0,COLUMN())-INDEX(MO_RIS_NI_GAAP_Basic,0,COLUMN()),6)</f>
        <v>0</v>
      </c>
      <c r="AQ94" s="1166">
        <f t="shared" si="208"/>
        <v>0</v>
      </c>
      <c r="AR94" s="1166">
        <f t="shared" si="208"/>
        <v>0</v>
      </c>
      <c r="AS94" s="1166">
        <f>ROUND(INDEX(SP_GF_NI,0,COLUMN())-INDEX(MO_RIS_NI_GAAP_Basic,0,COLUMN()),6)</f>
        <v>0</v>
      </c>
      <c r="AT94" s="1166">
        <f t="shared" si="208"/>
        <v>0</v>
      </c>
      <c r="AU94" s="1166">
        <f t="shared" si="208"/>
        <v>0</v>
      </c>
      <c r="AV94" s="1166">
        <f>ROUND(INDEX(SP_GF_NI,0,COLUMN())-INDEX(MO_RIS_NI_GAAP_Basic,0,COLUMN()),6)</f>
        <v>0</v>
      </c>
      <c r="AW94" s="1166">
        <f>ROUND(INDEX(SP_GF_NI,0,COLUMN())-INDEX(MO_RIS_NI_GAAP_Basic,0,COLUMN()),6)</f>
        <v>0</v>
      </c>
      <c r="AX94" s="1166">
        <f>ROUND(INDEX(SP_GF_NI,0,COLUMN())-INDEX(MO_RIS_NI_GAAP_Basic,0,COLUMN()),6)</f>
        <v>0</v>
      </c>
      <c r="AY94" s="1166">
        <f>ROUND(INDEX(SP_GF_NI,0,COLUMN())-INDEX(MO_RIS_NI_GAAP_Basic,0,COLUMN()),6)</f>
        <v>0</v>
      </c>
      <c r="AZ94" s="1166">
        <f>ROUND(INDEX(SP_GF_NI,0,COLUMN())-INDEX(MO_RIS_NI_GAAP_Basic,0,COLUMN()),6)</f>
        <v>0</v>
      </c>
      <c r="BA94" s="1166">
        <f t="shared" si="209" ref="BA94:BE94">ROUND(INDEX(SP_GF_NI,0,COLUMN())-INDEX(MO_RIS_NI_GAAP_Basic,0,COLUMN()),6)</f>
        <v>0</v>
      </c>
      <c r="BB94" s="1166">
        <f t="shared" si="209"/>
        <v>0</v>
      </c>
      <c r="BC94" s="1166">
        <f t="shared" si="209"/>
        <v>0</v>
      </c>
      <c r="BD94" s="1166">
        <f t="shared" si="209"/>
        <v>0</v>
      </c>
      <c r="BE94" s="1166">
        <f t="shared" si="209"/>
        <v>0</v>
      </c>
      <c r="BF94" s="1166">
        <f t="shared" si="210" ref="BF94:BJ94">ROUND(INDEX(SP_GF_NI,0,COLUMN())-INDEX(MO_RIS_NI_GAAP_Basic,0,COLUMN()),6)</f>
        <v>0</v>
      </c>
      <c r="BG94" s="1166">
        <f t="shared" si="210"/>
        <v>0</v>
      </c>
      <c r="BH94" s="1167">
        <f t="shared" si="210"/>
        <v>0</v>
      </c>
      <c r="BI94" s="1168">
        <f t="shared" si="210"/>
        <v>0</v>
      </c>
      <c r="BJ94" s="1168">
        <f t="shared" si="210"/>
        <v>0</v>
      </c>
      <c r="BK94" s="1168">
        <f t="shared" si="211" ref="BK94:BR94">ROUND(INDEX(SP_GF_NI,0,COLUMN())-INDEX(MO_RIS_NI_GAAP_Basic,0,COLUMN()),6)</f>
        <v>0</v>
      </c>
      <c r="BL94" s="1168">
        <f t="shared" si="211"/>
        <v>0</v>
      </c>
      <c r="BM94" s="1168">
        <f t="shared" si="211"/>
        <v>0</v>
      </c>
      <c r="BN94" s="1168">
        <f t="shared" si="211"/>
        <v>0</v>
      </c>
      <c r="BO94" s="1168">
        <f t="shared" si="211"/>
        <v>0</v>
      </c>
      <c r="BP94" s="1166">
        <f t="shared" si="211"/>
        <v>0</v>
      </c>
      <c r="BQ94" s="1166">
        <f t="shared" si="211"/>
        <v>0</v>
      </c>
      <c r="BR94" s="1168">
        <f t="shared" si="211"/>
        <v>0</v>
      </c>
      <c r="BS94" s="83"/>
    </row>
    <row r="95" spans="1:71" ht="15" hidden="1" outlineLevel="1">
      <c r="A95" s="1015" t="s">
        <v>291</v>
      </c>
      <c r="B95" s="150"/>
      <c r="C95" s="1166">
        <f t="shared" si="212" ref="C95:AH95">ROUND(INDEX(SP_UI_UI,0,COLUMN())-INDEX(MO_UI_UI,0,COLUMN()),5)</f>
        <v>0</v>
      </c>
      <c r="D95" s="1166">
        <f t="shared" si="212"/>
        <v>0</v>
      </c>
      <c r="E95" s="1166">
        <f t="shared" si="212"/>
        <v>0</v>
      </c>
      <c r="F95" s="1166">
        <f t="shared" si="212"/>
        <v>0</v>
      </c>
      <c r="G95" s="1166">
        <f t="shared" si="212"/>
        <v>0</v>
      </c>
      <c r="H95" s="1166">
        <f t="shared" si="212"/>
        <v>0</v>
      </c>
      <c r="I95" s="1166">
        <f t="shared" si="212"/>
        <v>0</v>
      </c>
      <c r="J95" s="1166">
        <f t="shared" si="212"/>
        <v>0</v>
      </c>
      <c r="K95" s="1166">
        <f t="shared" si="212"/>
        <v>0</v>
      </c>
      <c r="L95" s="1166">
        <f t="shared" si="212"/>
        <v>0</v>
      </c>
      <c r="M95" s="1166">
        <f t="shared" si="212"/>
        <v>0</v>
      </c>
      <c r="N95" s="1166">
        <f t="shared" si="212"/>
        <v>0</v>
      </c>
      <c r="O95" s="1166">
        <f t="shared" si="212"/>
        <v>0</v>
      </c>
      <c r="P95" s="1166">
        <f t="shared" si="212"/>
        <v>0</v>
      </c>
      <c r="Q95" s="1166">
        <f t="shared" si="212"/>
        <v>0</v>
      </c>
      <c r="R95" s="1166">
        <f t="shared" si="212"/>
        <v>0</v>
      </c>
      <c r="S95" s="1166">
        <f t="shared" si="212"/>
        <v>0</v>
      </c>
      <c r="T95" s="1166">
        <f t="shared" si="212"/>
        <v>0</v>
      </c>
      <c r="U95" s="1166">
        <f t="shared" si="212"/>
        <v>0</v>
      </c>
      <c r="V95" s="1166">
        <f t="shared" si="212"/>
        <v>0</v>
      </c>
      <c r="W95" s="1166">
        <f t="shared" si="212"/>
        <v>0</v>
      </c>
      <c r="X95" s="1166">
        <f t="shared" si="212"/>
        <v>0</v>
      </c>
      <c r="Y95" s="1166">
        <f t="shared" si="212"/>
        <v>0</v>
      </c>
      <c r="Z95" s="1166">
        <f t="shared" si="212"/>
        <v>0</v>
      </c>
      <c r="AA95" s="1166">
        <f t="shared" si="212"/>
        <v>0</v>
      </c>
      <c r="AB95" s="1166">
        <f t="shared" si="212"/>
        <v>0</v>
      </c>
      <c r="AC95" s="1166">
        <f t="shared" si="212"/>
        <v>0</v>
      </c>
      <c r="AD95" s="1166">
        <f t="shared" si="212"/>
        <v>0</v>
      </c>
      <c r="AE95" s="1166">
        <f t="shared" si="212"/>
        <v>0</v>
      </c>
      <c r="AF95" s="1166">
        <f t="shared" si="212"/>
        <v>0</v>
      </c>
      <c r="AG95" s="1166">
        <f t="shared" si="212"/>
        <v>0</v>
      </c>
      <c r="AH95" s="1166">
        <f t="shared" si="212"/>
        <v>0</v>
      </c>
      <c r="AI95" s="1166">
        <f t="shared" si="213" ref="AI95:AZ95">ROUND(INDEX(SP_UI_UI,0,COLUMN())-INDEX(MO_UI_UI,0,COLUMN()),5)</f>
        <v>0</v>
      </c>
      <c r="AJ95" s="1166">
        <f t="shared" si="213"/>
        <v>0</v>
      </c>
      <c r="AK95" s="1166">
        <f t="shared" si="213"/>
        <v>0</v>
      </c>
      <c r="AL95" s="1166">
        <f t="shared" si="213"/>
        <v>0</v>
      </c>
      <c r="AM95" s="1166">
        <f t="shared" si="213"/>
        <v>0</v>
      </c>
      <c r="AN95" s="1166">
        <f t="shared" si="213"/>
        <v>0</v>
      </c>
      <c r="AO95" s="1166">
        <f t="shared" si="213"/>
        <v>0</v>
      </c>
      <c r="AP95" s="1166">
        <f t="shared" si="213"/>
        <v>0</v>
      </c>
      <c r="AQ95" s="1166">
        <f t="shared" si="213"/>
        <v>0</v>
      </c>
      <c r="AR95" s="1166">
        <f t="shared" si="213"/>
        <v>0</v>
      </c>
      <c r="AS95" s="1166">
        <f>ROUND(INDEX(SP_UI_UI,0,COLUMN())-INDEX(MO_UI_UI,0,COLUMN()),5)</f>
        <v>0</v>
      </c>
      <c r="AT95" s="1166">
        <f t="shared" si="213"/>
        <v>0</v>
      </c>
      <c r="AU95" s="1166">
        <f t="shared" si="213"/>
        <v>0</v>
      </c>
      <c r="AV95" s="1166">
        <f>ROUND(INDEX(SP_UI_UI,0,COLUMN())-INDEX(MO_UI_UI,0,COLUMN()),5)</f>
        <v>0</v>
      </c>
      <c r="AW95" s="1166">
        <f t="shared" si="213"/>
        <v>0</v>
      </c>
      <c r="AX95" s="1166">
        <f>ROUND(INDEX(SP_UI_UI,0,COLUMN())-INDEX(MO_UI_UI,0,COLUMN()),5)</f>
        <v>0</v>
      </c>
      <c r="AY95" s="1166">
        <f t="shared" si="213"/>
        <v>0</v>
      </c>
      <c r="AZ95" s="1166">
        <f t="shared" si="213"/>
        <v>0</v>
      </c>
      <c r="BA95" s="1166">
        <f t="shared" si="214" ref="BA95:BE95">ROUND(INDEX(SP_UI_UI,0,COLUMN())-INDEX(MO_UI_UI,0,COLUMN()),5)</f>
        <v>0</v>
      </c>
      <c r="BB95" s="1166">
        <f t="shared" si="214"/>
        <v>0</v>
      </c>
      <c r="BC95" s="1166">
        <f t="shared" si="214"/>
        <v>0</v>
      </c>
      <c r="BD95" s="1166">
        <f t="shared" si="214"/>
        <v>0</v>
      </c>
      <c r="BE95" s="1166">
        <f t="shared" si="214"/>
        <v>0</v>
      </c>
      <c r="BF95" s="1166">
        <f t="shared" si="215" ref="BF95:BJ95">ROUND(INDEX(SP_UI_UI,0,COLUMN())-INDEX(MO_UI_UI,0,COLUMN()),5)</f>
        <v>0</v>
      </c>
      <c r="BG95" s="1166">
        <f t="shared" si="215"/>
        <v>0</v>
      </c>
      <c r="BH95" s="1167">
        <f t="shared" si="215"/>
        <v>0</v>
      </c>
      <c r="BI95" s="1168">
        <f t="shared" si="215"/>
        <v>0</v>
      </c>
      <c r="BJ95" s="1168">
        <f t="shared" si="215"/>
        <v>0</v>
      </c>
      <c r="BK95" s="1166">
        <f t="shared" si="216" ref="BK95:BR95">ROUND(INDEX(SP_UI_UI,0,COLUMN())-INDEX(MO_UI_UI,0,COLUMN()),5)</f>
        <v>0</v>
      </c>
      <c r="BL95" s="1168">
        <f t="shared" si="216"/>
        <v>0</v>
      </c>
      <c r="BM95" s="1168">
        <f t="shared" si="216"/>
        <v>0</v>
      </c>
      <c r="BN95" s="1168">
        <f t="shared" si="216"/>
        <v>0</v>
      </c>
      <c r="BO95" s="1168">
        <f t="shared" si="216"/>
        <v>0</v>
      </c>
      <c r="BP95" s="1166">
        <f t="shared" si="216"/>
        <v>0</v>
      </c>
      <c r="BQ95" s="1166">
        <f t="shared" si="216"/>
        <v>0</v>
      </c>
      <c r="BR95" s="1168">
        <f t="shared" si="216"/>
        <v>0</v>
      </c>
      <c r="BS95" s="83"/>
    </row>
    <row r="96" spans="1:71" ht="15" hidden="1" outlineLevel="1">
      <c r="A96" s="1015" t="s">
        <v>84</v>
      </c>
      <c r="B96" s="150"/>
      <c r="C96" s="1166">
        <f t="shared" si="217" ref="C96:AU96">ROUND(INDEX(SP_OI_OtherIncome,0,COLUMN())-INDEX(MO_OI_OtherIncome,0,COLUMN()),6)</f>
        <v>0</v>
      </c>
      <c r="D96" s="1166">
        <f t="shared" si="217"/>
        <v>0</v>
      </c>
      <c r="E96" s="1166">
        <f t="shared" si="217"/>
        <v>0</v>
      </c>
      <c r="F96" s="1166">
        <f t="shared" si="217"/>
        <v>0</v>
      </c>
      <c r="G96" s="1166">
        <f t="shared" si="217"/>
        <v>0</v>
      </c>
      <c r="H96" s="1166">
        <f t="shared" si="217"/>
        <v>0</v>
      </c>
      <c r="I96" s="1166">
        <f t="shared" si="217"/>
        <v>0</v>
      </c>
      <c r="J96" s="1166">
        <f t="shared" si="217"/>
        <v>0</v>
      </c>
      <c r="K96" s="1166">
        <f t="shared" si="217"/>
        <v>0</v>
      </c>
      <c r="L96" s="1166">
        <f t="shared" si="217"/>
        <v>0</v>
      </c>
      <c r="M96" s="1166">
        <f t="shared" si="217"/>
        <v>0</v>
      </c>
      <c r="N96" s="1166">
        <f t="shared" si="217"/>
        <v>0</v>
      </c>
      <c r="O96" s="1166">
        <f t="shared" si="217"/>
        <v>0</v>
      </c>
      <c r="P96" s="1166">
        <f t="shared" si="217"/>
        <v>0</v>
      </c>
      <c r="Q96" s="1166">
        <f t="shared" si="217"/>
        <v>0</v>
      </c>
      <c r="R96" s="1166">
        <f t="shared" si="217"/>
        <v>0</v>
      </c>
      <c r="S96" s="1166">
        <f t="shared" si="217"/>
        <v>0</v>
      </c>
      <c r="T96" s="1166">
        <f t="shared" si="217"/>
        <v>0</v>
      </c>
      <c r="U96" s="1166">
        <f t="shared" si="217"/>
        <v>0</v>
      </c>
      <c r="V96" s="1166">
        <f t="shared" si="217"/>
        <v>0</v>
      </c>
      <c r="W96" s="1166">
        <f t="shared" si="217"/>
        <v>0</v>
      </c>
      <c r="X96" s="1166">
        <f t="shared" si="217"/>
        <v>0</v>
      </c>
      <c r="Y96" s="1166">
        <f t="shared" si="217"/>
        <v>0</v>
      </c>
      <c r="Z96" s="1166">
        <f t="shared" si="217"/>
        <v>0</v>
      </c>
      <c r="AA96" s="1166">
        <f t="shared" si="217"/>
        <v>0</v>
      </c>
      <c r="AB96" s="1166">
        <f t="shared" si="217"/>
        <v>0</v>
      </c>
      <c r="AC96" s="1166">
        <f t="shared" si="217"/>
        <v>0</v>
      </c>
      <c r="AD96" s="1166">
        <f t="shared" si="217"/>
        <v>0</v>
      </c>
      <c r="AE96" s="1166">
        <f t="shared" si="217"/>
        <v>0</v>
      </c>
      <c r="AF96" s="1166">
        <f t="shared" si="217"/>
        <v>0</v>
      </c>
      <c r="AG96" s="1166">
        <f t="shared" si="217"/>
        <v>0</v>
      </c>
      <c r="AH96" s="1166">
        <f t="shared" si="217"/>
        <v>0</v>
      </c>
      <c r="AI96" s="1166">
        <f t="shared" si="217"/>
        <v>0</v>
      </c>
      <c r="AJ96" s="1166">
        <f t="shared" si="217"/>
        <v>0</v>
      </c>
      <c r="AK96" s="1166">
        <f t="shared" si="217"/>
        <v>0</v>
      </c>
      <c r="AL96" s="1166">
        <f t="shared" si="217"/>
        <v>0</v>
      </c>
      <c r="AM96" s="1166">
        <f t="shared" si="217"/>
        <v>0</v>
      </c>
      <c r="AN96" s="1166">
        <f t="shared" si="217"/>
        <v>0</v>
      </c>
      <c r="AO96" s="1166">
        <f>ROUND(INDEX(SP_OI_OtherIncome,0,COLUMN())-INDEX(MO_OI_OtherIncome,0,COLUMN()),6)</f>
        <v>0</v>
      </c>
      <c r="AP96" s="1166">
        <f>ROUND(INDEX(SP_OI_OtherIncome,0,COLUMN())-INDEX(MO_OI_OtherIncome,0,COLUMN()),6)</f>
        <v>0</v>
      </c>
      <c r="AQ96" s="1166">
        <f t="shared" si="217"/>
        <v>0</v>
      </c>
      <c r="AR96" s="1166">
        <f t="shared" si="217"/>
        <v>0</v>
      </c>
      <c r="AS96" s="1166">
        <f>ROUND(INDEX(SP_OI_OtherIncome,0,COLUMN())-INDEX(MO_OI_OtherIncome,0,COLUMN()),6)</f>
        <v>0</v>
      </c>
      <c r="AT96" s="1166">
        <f t="shared" si="217"/>
        <v>0</v>
      </c>
      <c r="AU96" s="1166">
        <f t="shared" si="217"/>
        <v>0</v>
      </c>
      <c r="AV96" s="1166">
        <f>ROUND(INDEX(SP_OI_OtherIncome,0,COLUMN())-INDEX(MO_OI_OtherIncome,0,COLUMN()),6)</f>
        <v>0</v>
      </c>
      <c r="AW96" s="1166">
        <f>ROUND(INDEX(SP_OI_OtherIncome,0,COLUMN())-INDEX(MO_OI_OtherIncome,0,COLUMN()),6)</f>
        <v>0</v>
      </c>
      <c r="AX96" s="1166">
        <f>ROUND(INDEX(SP_OI_OtherIncome,0,COLUMN())-INDEX(MO_OI_OtherIncome,0,COLUMN()),6)</f>
        <v>0</v>
      </c>
      <c r="AY96" s="1166">
        <f>ROUND(INDEX(SP_OI_OtherIncome,0,COLUMN())-INDEX(MO_OI_OtherIncome,0,COLUMN()),6)</f>
        <v>0</v>
      </c>
      <c r="AZ96" s="1166">
        <f>ROUND(INDEX(SP_OI_OtherIncome,0,COLUMN())-INDEX(MO_OI_OtherIncome,0,COLUMN()),6)</f>
        <v>0</v>
      </c>
      <c r="BA96" s="1166">
        <f t="shared" si="218" ref="BA96:BE96">ROUND(INDEX(SP_OI_OtherIncome,0,COLUMN())-INDEX(MO_OI_OtherIncome,0,COLUMN()),6)</f>
        <v>0</v>
      </c>
      <c r="BB96" s="1166">
        <f t="shared" si="218"/>
        <v>0</v>
      </c>
      <c r="BC96" s="1166">
        <f t="shared" si="218"/>
        <v>0</v>
      </c>
      <c r="BD96" s="1166">
        <f t="shared" si="218"/>
        <v>0</v>
      </c>
      <c r="BE96" s="1166">
        <f t="shared" si="218"/>
        <v>0</v>
      </c>
      <c r="BF96" s="1166">
        <f t="shared" si="219" ref="BF96:BJ96">ROUND(INDEX(SP_OI_OtherIncome,0,COLUMN())-INDEX(MO_OI_OtherIncome,0,COLUMN()),6)</f>
        <v>0</v>
      </c>
      <c r="BG96" s="1166">
        <f t="shared" si="219"/>
        <v>0</v>
      </c>
      <c r="BH96" s="1167">
        <f t="shared" si="219"/>
        <v>0</v>
      </c>
      <c r="BI96" s="1168">
        <f t="shared" si="219"/>
        <v>0</v>
      </c>
      <c r="BJ96" s="1168">
        <f t="shared" si="219"/>
        <v>0</v>
      </c>
      <c r="BK96" s="1168">
        <f t="shared" si="220" ref="BK96:BR96">ROUND(INDEX(SP_OI_OtherIncome,0,COLUMN())-INDEX(MO_OI_OtherIncome,0,COLUMN()),6)</f>
        <v>0</v>
      </c>
      <c r="BL96" s="1168">
        <f t="shared" si="220"/>
        <v>0</v>
      </c>
      <c r="BM96" s="1168">
        <f t="shared" si="220"/>
        <v>0</v>
      </c>
      <c r="BN96" s="1168">
        <f t="shared" si="220"/>
        <v>0</v>
      </c>
      <c r="BO96" s="1168">
        <f t="shared" si="220"/>
        <v>0</v>
      </c>
      <c r="BP96" s="1166">
        <f t="shared" si="220"/>
        <v>0</v>
      </c>
      <c r="BQ96" s="1166">
        <f t="shared" si="220"/>
        <v>0</v>
      </c>
      <c r="BR96" s="1168">
        <f t="shared" si="220"/>
        <v>0</v>
      </c>
      <c r="BS96" s="83"/>
    </row>
    <row r="97" spans="1:71" ht="15" collapsed="1">
      <c r="A97" s="83"/>
      <c r="B97" s="83"/>
      <c r="C97" s="1519"/>
      <c r="D97" s="1519"/>
      <c r="E97" s="1519"/>
      <c r="F97" s="1519"/>
      <c r="G97" s="1519"/>
      <c r="H97" s="233"/>
      <c r="I97" s="233"/>
      <c r="J97" s="233"/>
      <c r="K97" s="233"/>
      <c r="L97" s="1519"/>
      <c r="M97" s="233"/>
      <c r="N97" s="233"/>
      <c r="O97" s="233"/>
      <c r="P97" s="233"/>
      <c r="Q97" s="1519"/>
      <c r="R97" s="233"/>
      <c r="S97" s="233"/>
      <c r="T97" s="233"/>
      <c r="U97" s="233"/>
      <c r="V97" s="1519"/>
      <c r="W97" s="233"/>
      <c r="X97" s="233"/>
      <c r="Y97" s="233"/>
      <c r="Z97" s="233"/>
      <c r="AA97" s="1519"/>
      <c r="AB97" s="233"/>
      <c r="AC97" s="233"/>
      <c r="AD97" s="233"/>
      <c r="AE97" s="233"/>
      <c r="AF97" s="1519"/>
      <c r="AG97" s="233"/>
      <c r="AH97" s="233"/>
      <c r="AI97" s="233"/>
      <c r="AJ97" s="233"/>
      <c r="AK97" s="1519"/>
      <c r="AL97" s="233"/>
      <c r="AM97" s="233"/>
      <c r="AN97" s="233"/>
      <c r="AO97" s="233"/>
      <c r="AP97" s="1519"/>
      <c r="AQ97" s="233"/>
      <c r="AR97" s="233"/>
      <c r="AS97" s="233"/>
      <c r="AT97" s="233"/>
      <c r="AU97" s="1519"/>
      <c r="AV97" s="233"/>
      <c r="AW97" s="233"/>
      <c r="AX97" s="233"/>
      <c r="AY97" s="233"/>
      <c r="AZ97" s="1519"/>
      <c r="BA97" s="233"/>
      <c r="BB97" s="233"/>
      <c r="BC97" s="233"/>
      <c r="BD97" s="233"/>
      <c r="BE97" s="1519"/>
      <c r="BF97" s="233"/>
      <c r="BG97" s="233"/>
      <c r="BH97" s="849"/>
      <c r="BI97" s="83"/>
      <c r="BJ97" s="1520"/>
      <c r="BK97" s="83"/>
      <c r="BL97" s="83"/>
      <c r="BM97" s="83"/>
      <c r="BN97" s="83"/>
      <c r="BO97" s="1520"/>
      <c r="BP97" s="1519"/>
      <c r="BQ97" s="1519"/>
      <c r="BR97" s="1520"/>
      <c r="BS97" s="83"/>
    </row>
    <row r="98" spans="1:71" ht="15">
      <c r="A98" s="330" t="s">
        <v>791</v>
      </c>
      <c r="B98" s="76"/>
      <c r="C98" s="238"/>
      <c r="D98" s="238"/>
      <c r="E98" s="238"/>
      <c r="F98" s="238"/>
      <c r="G98" s="238"/>
      <c r="H98" s="238"/>
      <c r="I98" s="238"/>
      <c r="J98" s="238"/>
      <c r="K98" s="238"/>
      <c r="L98" s="238"/>
      <c r="M98" s="238"/>
      <c r="N98" s="238"/>
      <c r="O98" s="238"/>
      <c r="P98" s="238"/>
      <c r="Q98" s="238"/>
      <c r="R98" s="238"/>
      <c r="S98" s="238"/>
      <c r="T98" s="238"/>
      <c r="U98" s="238"/>
      <c r="V98" s="238"/>
      <c r="W98" s="238"/>
      <c r="X98" s="238"/>
      <c r="Y98" s="238"/>
      <c r="Z98" s="238"/>
      <c r="AA98" s="238"/>
      <c r="AB98" s="238"/>
      <c r="AC98" s="238"/>
      <c r="AD98" s="238"/>
      <c r="AE98" s="238"/>
      <c r="AF98" s="238"/>
      <c r="AG98" s="238"/>
      <c r="AH98" s="238"/>
      <c r="AI98" s="238"/>
      <c r="AJ98" s="238"/>
      <c r="AK98" s="238"/>
      <c r="AL98" s="238"/>
      <c r="AM98" s="238"/>
      <c r="AN98" s="238"/>
      <c r="AO98" s="238"/>
      <c r="AP98" s="238"/>
      <c r="AQ98" s="238"/>
      <c r="AR98" s="238"/>
      <c r="AS98" s="238"/>
      <c r="AT98" s="238"/>
      <c r="AU98" s="238"/>
      <c r="AV98" s="238"/>
      <c r="AW98" s="238"/>
      <c r="AX98" s="238"/>
      <c r="AY98" s="238"/>
      <c r="AZ98" s="238"/>
      <c r="BA98" s="238"/>
      <c r="BB98" s="238"/>
      <c r="BC98" s="238"/>
      <c r="BD98" s="238"/>
      <c r="BE98" s="238"/>
      <c r="BF98" s="238"/>
      <c r="BG98" s="238"/>
      <c r="BH98" s="238"/>
      <c r="BI98" s="76"/>
      <c r="BJ98" s="76"/>
      <c r="BK98" s="76"/>
      <c r="BL98" s="76"/>
      <c r="BM98" s="76"/>
      <c r="BN98" s="76"/>
      <c r="BO98" s="76"/>
      <c r="BP98" s="238"/>
      <c r="BQ98" s="238"/>
      <c r="BR98" s="76"/>
      <c r="BS98" s="83"/>
    </row>
    <row r="99" spans="1:71" ht="15" collapsed="1">
      <c r="A99" s="81"/>
      <c r="B99" s="83"/>
      <c r="C99" s="233"/>
      <c r="D99" s="233"/>
      <c r="E99" s="233"/>
      <c r="F99" s="233"/>
      <c r="G99" s="233"/>
      <c r="H99" s="233"/>
      <c r="I99" s="233"/>
      <c r="J99" s="233"/>
      <c r="K99" s="233"/>
      <c r="L99" s="233"/>
      <c r="M99" s="233"/>
      <c r="N99" s="233"/>
      <c r="O99" s="233"/>
      <c r="P99" s="233"/>
      <c r="Q99" s="233"/>
      <c r="R99" s="233"/>
      <c r="S99" s="233"/>
      <c r="T99" s="233"/>
      <c r="U99" s="233"/>
      <c r="V99" s="233"/>
      <c r="W99" s="233"/>
      <c r="X99" s="233"/>
      <c r="Y99" s="233"/>
      <c r="Z99" s="233"/>
      <c r="AA99" s="233"/>
      <c r="AB99" s="233"/>
      <c r="AC99" s="233"/>
      <c r="AD99" s="233"/>
      <c r="AE99" s="233"/>
      <c r="AF99" s="233"/>
      <c r="AG99" s="233"/>
      <c r="AH99" s="233"/>
      <c r="AI99" s="233"/>
      <c r="AJ99" s="233"/>
      <c r="AK99" s="233"/>
      <c r="AL99" s="233"/>
      <c r="AM99" s="233"/>
      <c r="AN99" s="233"/>
      <c r="AO99" s="233"/>
      <c r="AP99" s="233"/>
      <c r="AQ99" s="233"/>
      <c r="AR99" s="233"/>
      <c r="AS99" s="233"/>
      <c r="AT99" s="233"/>
      <c r="AU99" s="233"/>
      <c r="AV99" s="233"/>
      <c r="AW99" s="233"/>
      <c r="AX99" s="233"/>
      <c r="AY99" s="233"/>
      <c r="AZ99" s="233"/>
      <c r="BA99" s="233"/>
      <c r="BB99" s="233"/>
      <c r="BC99" s="233"/>
      <c r="BD99" s="233"/>
      <c r="BE99" s="233"/>
      <c r="BF99" s="233"/>
      <c r="BG99" s="233"/>
      <c r="BH99" s="233"/>
      <c r="BI99" s="83"/>
      <c r="BJ99" s="83"/>
      <c r="BK99" s="83"/>
      <c r="BL99" s="83"/>
      <c r="BM99" s="83"/>
      <c r="BN99" s="83"/>
      <c r="BO99" s="83"/>
      <c r="BP99" s="233"/>
      <c r="BQ99" s="233"/>
      <c r="BR99" s="83"/>
      <c r="BS99" s="83"/>
    </row>
  </sheetData>
  <conditionalFormatting sqref="C94:BR96">
    <cfRule type="cellIs" priority="150" dxfId="9" operator="equal">
      <formula>0</formula>
    </cfRule>
  </conditionalFormatting>
  <conditionalFormatting sqref="C94:BR96">
    <cfRule type="cellIs" priority="149" dxfId="8" operator="notEqual">
      <formula>0</formula>
    </cfRule>
  </conditionalFormatting>
  <dataValidations count="1">
    <dataValidation type="list" allowBlank="1" showInputMessage="1" showErrorMessage="1" sqref="B4">
      <formula1>OFFSET(tb_ValuationToggle,1,0,4,1)</formula1>
    </dataValidation>
  </dataValidations>
  <pageMargins left="0.7" right="0.7" top="0.75" bottom="0.75" header="0.3" footer="0.3"/>
  <pageSetup orientation="landscape" paperSize="1" scale="3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89A6E22-41F7-4E09-8045-2AC9E8821AFC}">
  <sheetPr codeName="Sheet41"/>
  <dimension ref="A1:J80"/>
  <sheetViews>
    <sheetView showGridLines="0" workbookViewId="0" topLeftCell="A1"/>
  </sheetViews>
  <sheetFormatPr defaultColWidth="8.85428571428571" defaultRowHeight="15"/>
  <cols>
    <col min="1" max="1" width="4.42857142857143" style="15" customWidth="1"/>
    <col min="2" max="2" width="9.85714285714286" style="15" customWidth="1"/>
    <col min="3" max="3" width="15.7142857142857" style="15" customWidth="1"/>
    <col min="4" max="4" width="20.7142857142857" style="15" customWidth="1"/>
    <col min="5" max="5" width="30.7142857142857" style="15" customWidth="1"/>
    <col min="6" max="6" width="20.7142857142857" style="15"/>
    <col min="7" max="7" width="23.7142857142857" style="15" customWidth="1"/>
    <col min="8" max="8" width="45.7142857142857" style="15" customWidth="1"/>
    <col min="9" max="9" width="7.85714285714286" style="15" customWidth="1"/>
    <col min="10" max="10" width="8.85714285714286" style="15" customWidth="1"/>
    <col min="11" max="16384" width="8.85714285714286" style="15"/>
  </cols>
  <sheetData>
    <row r="1" spans="1:10" ht="15">
      <c r="A1" s="761"/>
      <c r="B1" s="761"/>
      <c r="C1" s="761"/>
      <c r="D1" s="761"/>
      <c r="E1" s="761"/>
      <c r="F1" s="761"/>
      <c r="G1" s="761"/>
      <c r="H1" s="761"/>
      <c r="I1" s="761"/>
      <c r="J1" s="761"/>
    </row>
    <row r="2" spans="1:10" ht="15">
      <c r="A2" s="761"/>
      <c r="B2" s="761"/>
      <c r="C2" s="761"/>
      <c r="D2" s="761"/>
      <c r="E2" s="761"/>
      <c r="F2" s="761"/>
      <c r="G2" s="761"/>
      <c r="H2" s="761"/>
      <c r="I2" s="761"/>
      <c r="J2" s="761"/>
    </row>
    <row r="3" spans="1:10" ht="15">
      <c r="A3" s="761"/>
      <c r="B3" s="761"/>
      <c r="C3" s="761"/>
      <c r="D3" s="761"/>
      <c r="E3" s="761"/>
      <c r="F3" s="761"/>
      <c r="G3" s="761"/>
      <c r="H3" s="761"/>
      <c r="I3" s="761"/>
      <c r="J3" s="761"/>
    </row>
    <row r="4" spans="1:10" ht="15">
      <c r="A4" s="761"/>
      <c r="B4" s="761"/>
      <c r="C4" s="761"/>
      <c r="D4" s="761"/>
      <c r="E4" s="761"/>
      <c r="F4" s="761"/>
      <c r="G4" s="761"/>
      <c r="H4" s="761"/>
      <c r="I4" s="761"/>
      <c r="J4" s="761"/>
    </row>
    <row r="5" spans="1:10" ht="15">
      <c r="A5" s="761"/>
      <c r="B5" s="761"/>
      <c r="C5" s="761"/>
      <c r="D5" s="761"/>
      <c r="E5" s="761"/>
      <c r="F5" s="761"/>
      <c r="G5" s="761"/>
      <c r="H5" s="761"/>
      <c r="I5" s="761"/>
      <c r="J5" s="761"/>
    </row>
    <row r="6" spans="1:10" ht="15">
      <c r="A6" s="761"/>
      <c r="B6" s="761"/>
      <c r="C6" s="761"/>
      <c r="D6" s="761"/>
      <c r="E6" s="761"/>
      <c r="F6" s="761"/>
      <c r="G6" s="761"/>
      <c r="H6" s="761"/>
      <c r="I6" s="761"/>
      <c r="J6" s="761"/>
    </row>
    <row r="7" spans="1:10" ht="18.75">
      <c r="A7" s="761"/>
      <c r="B7" s="761"/>
      <c r="C7" s="761"/>
      <c r="D7" s="761"/>
      <c r="E7" s="777">
        <f>MO.MRFPColumnNumber</f>
        <v>60</v>
      </c>
      <c r="F7" s="767" t="str">
        <f>MO.MRFP</f>
        <v>Q3-2024</v>
      </c>
      <c r="G7" s="767"/>
      <c r="H7" s="778" t="str">
        <f>AA.CSIN</f>
        <v>FHFK200110</v>
      </c>
      <c r="I7" s="763"/>
      <c r="J7" s="762"/>
    </row>
    <row r="8" spans="1:10" ht="15">
      <c r="A8" s="761"/>
      <c r="B8" s="761"/>
      <c r="C8" s="761"/>
      <c r="D8" s="761"/>
      <c r="E8" s="761"/>
      <c r="F8" s="761"/>
      <c r="G8" s="761"/>
      <c r="H8" s="779" t="str">
        <f>+AA.ModelVersion</f>
        <v>Q3-2024.22</v>
      </c>
      <c r="I8" s="761"/>
      <c r="J8" s="761"/>
    </row>
    <row r="9" spans="1:10" ht="15">
      <c r="A9" s="761"/>
      <c r="B9" s="761"/>
      <c r="C9" s="761"/>
      <c r="D9" s="761"/>
      <c r="E9" s="761"/>
      <c r="F9" s="761"/>
      <c r="G9" s="761"/>
      <c r="H9" s="761"/>
      <c r="I9" s="761"/>
      <c r="J9" s="761"/>
    </row>
    <row r="10" spans="1:10" ht="15">
      <c r="A10" s="761"/>
      <c r="B10" s="761"/>
      <c r="C10" s="804" t="s">
        <v>292</v>
      </c>
      <c r="D10" s="804" t="s">
        <v>293</v>
      </c>
      <c r="E10" s="804" t="s">
        <v>294</v>
      </c>
      <c r="F10" s="804" t="s">
        <v>340</v>
      </c>
      <c r="G10" s="804" t="s">
        <v>295</v>
      </c>
      <c r="H10" s="805" t="s">
        <v>296</v>
      </c>
      <c r="I10" s="761"/>
      <c r="J10" s="761"/>
    </row>
    <row r="11" spans="1:10" ht="15">
      <c r="A11" s="761"/>
      <c r="B11" s="761"/>
      <c r="C11" s="780">
        <v>45600</v>
      </c>
      <c r="D11" s="781" t="s">
        <v>866</v>
      </c>
      <c r="E11" s="782" t="s">
        <v>341</v>
      </c>
      <c r="F11" s="782" t="s">
        <v>867</v>
      </c>
      <c r="G11" s="783"/>
      <c r="H11" s="305" t="s">
        <v>299</v>
      </c>
      <c r="I11" s="761"/>
      <c r="J11" s="761"/>
    </row>
    <row r="12" spans="1:10" ht="15">
      <c r="A12" s="761"/>
      <c r="B12" s="761"/>
      <c r="C12" s="780">
        <v>45580</v>
      </c>
      <c r="D12" s="781" t="s">
        <v>785</v>
      </c>
      <c r="E12" s="782" t="s">
        <v>354</v>
      </c>
      <c r="F12" s="782" t="s">
        <v>867</v>
      </c>
      <c r="G12" s="783"/>
      <c r="H12" s="333" t="s">
        <v>299</v>
      </c>
      <c r="I12" s="761"/>
      <c r="J12" s="761"/>
    </row>
    <row r="13" spans="1:10" ht="15">
      <c r="A13" s="761"/>
      <c r="B13" s="761"/>
      <c r="C13" s="780">
        <v>45516</v>
      </c>
      <c r="D13" s="781" t="s">
        <v>866</v>
      </c>
      <c r="E13" s="782" t="s">
        <v>341</v>
      </c>
      <c r="F13" s="782" t="s">
        <v>792</v>
      </c>
      <c r="G13" s="783"/>
      <c r="H13" s="305" t="s">
        <v>299</v>
      </c>
      <c r="I13" s="761"/>
      <c r="J13" s="761"/>
    </row>
    <row r="14" spans="1:10" ht="15">
      <c r="A14" s="761"/>
      <c r="B14" s="761"/>
      <c r="C14" s="780">
        <v>45488</v>
      </c>
      <c r="D14" s="781" t="s">
        <v>709</v>
      </c>
      <c r="E14" s="782" t="s">
        <v>354</v>
      </c>
      <c r="F14" s="782" t="s">
        <v>792</v>
      </c>
      <c r="G14" s="783"/>
      <c r="H14" s="958" t="s">
        <v>299</v>
      </c>
      <c r="I14" s="761"/>
      <c r="J14" s="761"/>
    </row>
    <row r="15" spans="1:10" ht="15">
      <c r="A15" s="761"/>
      <c r="B15" s="761"/>
      <c r="C15" s="780">
        <v>45421</v>
      </c>
      <c r="D15" s="781" t="s">
        <v>788</v>
      </c>
      <c r="E15" s="782" t="s">
        <v>341</v>
      </c>
      <c r="F15" s="782" t="s">
        <v>787</v>
      </c>
      <c r="G15" s="783"/>
      <c r="H15" s="868" t="s">
        <v>299</v>
      </c>
      <c r="I15" s="761"/>
      <c r="J15" s="761"/>
    </row>
    <row r="16" spans="1:10" ht="15">
      <c r="A16" s="761"/>
      <c r="B16" s="761"/>
      <c r="C16" s="780">
        <v>45394</v>
      </c>
      <c r="D16" s="781" t="s">
        <v>723</v>
      </c>
      <c r="E16" s="782" t="s">
        <v>354</v>
      </c>
      <c r="F16" s="782" t="s">
        <v>787</v>
      </c>
      <c r="G16" s="783"/>
      <c r="H16" s="867" t="s">
        <v>299</v>
      </c>
      <c r="I16" s="761"/>
      <c r="J16" s="761"/>
    </row>
    <row r="17" spans="1:10" ht="15">
      <c r="A17" s="761"/>
      <c r="B17" s="761"/>
      <c r="C17" s="780">
        <v>45348</v>
      </c>
      <c r="D17" s="781" t="s">
        <v>785</v>
      </c>
      <c r="E17" s="782" t="s">
        <v>313</v>
      </c>
      <c r="F17" s="782" t="s">
        <v>783</v>
      </c>
      <c r="G17" s="783"/>
      <c r="H17" s="333" t="s">
        <v>299</v>
      </c>
      <c r="I17" s="761"/>
      <c r="J17" s="761"/>
    </row>
    <row r="18" spans="1:10" ht="15">
      <c r="A18" s="761"/>
      <c r="B18" s="761"/>
      <c r="C18" s="780">
        <v>45315</v>
      </c>
      <c r="D18" s="781" t="s">
        <v>784</v>
      </c>
      <c r="E18" s="782" t="s">
        <v>354</v>
      </c>
      <c r="F18" s="782" t="s">
        <v>783</v>
      </c>
      <c r="G18" s="783"/>
      <c r="H18" s="333" t="s">
        <v>299</v>
      </c>
      <c r="I18" s="761"/>
      <c r="J18" s="761"/>
    </row>
    <row r="19" spans="1:10" ht="15">
      <c r="A19" s="761"/>
      <c r="B19" s="761"/>
      <c r="C19" s="780">
        <v>45230</v>
      </c>
      <c r="D19" s="781" t="s">
        <v>726</v>
      </c>
      <c r="E19" s="782" t="s">
        <v>341</v>
      </c>
      <c r="F19" s="782" t="s">
        <v>725</v>
      </c>
      <c r="G19" s="783"/>
      <c r="H19" s="333" t="s">
        <v>299</v>
      </c>
      <c r="I19" s="761"/>
      <c r="J19" s="761"/>
    </row>
    <row r="20" spans="1:10" ht="15">
      <c r="A20" s="761"/>
      <c r="B20" s="761"/>
      <c r="C20" s="780">
        <v>45212</v>
      </c>
      <c r="D20" s="781" t="s">
        <v>353</v>
      </c>
      <c r="E20" s="782" t="s">
        <v>354</v>
      </c>
      <c r="F20" s="782" t="s">
        <v>725</v>
      </c>
      <c r="G20" s="783"/>
      <c r="H20" s="333" t="s">
        <v>299</v>
      </c>
      <c r="I20" s="761"/>
      <c r="J20" s="761"/>
    </row>
    <row r="21" spans="1:10" ht="15">
      <c r="A21" s="761"/>
      <c r="B21" s="761"/>
      <c r="C21" s="780">
        <v>45139</v>
      </c>
      <c r="D21" s="781" t="s">
        <v>723</v>
      </c>
      <c r="E21" s="782" t="s">
        <v>341</v>
      </c>
      <c r="F21" s="782" t="s">
        <v>724</v>
      </c>
      <c r="G21" s="783"/>
      <c r="H21" s="333" t="s">
        <v>299</v>
      </c>
      <c r="I21" s="761"/>
      <c r="J21" s="761"/>
    </row>
    <row r="22" spans="1:10" ht="15">
      <c r="A22" s="761"/>
      <c r="B22" s="761"/>
      <c r="C22" s="780">
        <v>45119</v>
      </c>
      <c r="D22" s="781" t="s">
        <v>709</v>
      </c>
      <c r="E22" s="782" t="s">
        <v>354</v>
      </c>
      <c r="F22" s="782" t="s">
        <v>724</v>
      </c>
      <c r="G22" s="783"/>
      <c r="H22" s="784" t="s">
        <v>299</v>
      </c>
      <c r="I22" s="761"/>
      <c r="J22" s="761"/>
    </row>
    <row r="23" spans="1:10" ht="15">
      <c r="A23" s="761"/>
      <c r="B23" s="761"/>
      <c r="C23" s="780">
        <v>45051</v>
      </c>
      <c r="D23" s="781" t="s">
        <v>723</v>
      </c>
      <c r="E23" s="782" t="s">
        <v>341</v>
      </c>
      <c r="F23" s="782" t="s">
        <v>722</v>
      </c>
      <c r="G23" s="783"/>
      <c r="H23" s="333" t="s">
        <v>299</v>
      </c>
      <c r="I23" s="761"/>
      <c r="J23" s="761"/>
    </row>
    <row r="24" spans="1:10" ht="15">
      <c r="A24" s="761"/>
      <c r="B24" s="761"/>
      <c r="C24" s="780">
        <v>45029</v>
      </c>
      <c r="D24" s="781" t="s">
        <v>709</v>
      </c>
      <c r="E24" s="782" t="s">
        <v>354</v>
      </c>
      <c r="F24" s="782" t="s">
        <v>722</v>
      </c>
      <c r="G24" s="783"/>
      <c r="H24" s="784" t="s">
        <v>299</v>
      </c>
      <c r="I24" s="761"/>
      <c r="J24" s="761"/>
    </row>
    <row r="25" spans="1:10" ht="15">
      <c r="A25" s="761"/>
      <c r="B25" s="761"/>
      <c r="C25" s="780">
        <v>44993</v>
      </c>
      <c r="D25" s="781" t="s">
        <v>714</v>
      </c>
      <c r="E25" s="782" t="s">
        <v>313</v>
      </c>
      <c r="F25" s="782" t="s">
        <v>710</v>
      </c>
      <c r="G25" s="783"/>
      <c r="H25" s="333" t="s">
        <v>299</v>
      </c>
      <c r="I25" s="761"/>
      <c r="J25" s="761"/>
    </row>
    <row r="26" spans="1:10" ht="15">
      <c r="A26" s="761"/>
      <c r="B26" s="761"/>
      <c r="C26" s="780">
        <v>44958</v>
      </c>
      <c r="D26" s="781" t="s">
        <v>711</v>
      </c>
      <c r="E26" s="782" t="s">
        <v>354</v>
      </c>
      <c r="F26" s="782" t="s">
        <v>710</v>
      </c>
      <c r="G26" s="783"/>
      <c r="H26" s="784" t="s">
        <v>299</v>
      </c>
      <c r="I26" s="761"/>
      <c r="J26" s="761"/>
    </row>
    <row r="27" spans="1:10" ht="15">
      <c r="A27" s="761"/>
      <c r="B27" s="761"/>
      <c r="C27" s="780">
        <v>44867</v>
      </c>
      <c r="D27" s="781" t="s">
        <v>709</v>
      </c>
      <c r="E27" s="782" t="s">
        <v>341</v>
      </c>
      <c r="F27" s="782" t="s">
        <v>708</v>
      </c>
      <c r="G27" s="783"/>
      <c r="H27" s="785" t="s">
        <v>299</v>
      </c>
      <c r="I27" s="761"/>
      <c r="J27" s="761"/>
    </row>
    <row r="28" spans="1:10" ht="15">
      <c r="A28" s="761"/>
      <c r="B28" s="761"/>
      <c r="C28" s="780">
        <v>44866</v>
      </c>
      <c r="D28" s="781" t="s">
        <v>709</v>
      </c>
      <c r="E28" s="782" t="s">
        <v>354</v>
      </c>
      <c r="F28" s="782" t="s">
        <v>708</v>
      </c>
      <c r="G28" s="786"/>
      <c r="H28" s="785" t="s">
        <v>299</v>
      </c>
      <c r="I28" s="761"/>
      <c r="J28" s="761"/>
    </row>
    <row r="29" spans="1:10" ht="15">
      <c r="A29" s="761"/>
      <c r="B29" s="761"/>
      <c r="C29" s="780">
        <v>44785</v>
      </c>
      <c r="D29" s="781" t="s">
        <v>457</v>
      </c>
      <c r="E29" s="782" t="s">
        <v>341</v>
      </c>
      <c r="F29" s="782" t="s">
        <v>704</v>
      </c>
      <c r="G29" s="783"/>
      <c r="H29" s="333" t="s">
        <v>299</v>
      </c>
      <c r="I29" s="761"/>
      <c r="J29" s="761"/>
    </row>
    <row r="30" spans="1:10" ht="15">
      <c r="A30" s="761"/>
      <c r="B30" s="761"/>
      <c r="C30" s="780">
        <v>44757</v>
      </c>
      <c r="D30" s="781" t="s">
        <v>457</v>
      </c>
      <c r="E30" s="782" t="s">
        <v>354</v>
      </c>
      <c r="F30" s="782" t="s">
        <v>704</v>
      </c>
      <c r="G30" s="783"/>
      <c r="H30" s="333" t="s">
        <v>299</v>
      </c>
      <c r="I30" s="761"/>
      <c r="J30" s="761"/>
    </row>
    <row r="31" spans="1:10" ht="15">
      <c r="A31" s="761"/>
      <c r="B31" s="761"/>
      <c r="C31" s="780">
        <v>44715</v>
      </c>
      <c r="D31" s="781" t="s">
        <v>457</v>
      </c>
      <c r="E31" s="782" t="s">
        <v>341</v>
      </c>
      <c r="F31" s="782" t="s">
        <v>689</v>
      </c>
      <c r="G31" s="783"/>
      <c r="H31" s="305" t="s">
        <v>299</v>
      </c>
      <c r="I31" s="761"/>
      <c r="J31" s="761"/>
    </row>
    <row r="32" spans="1:10" ht="15">
      <c r="A32" s="761"/>
      <c r="B32" s="761"/>
      <c r="C32" s="780">
        <v>44620</v>
      </c>
      <c r="D32" s="781" t="s">
        <v>353</v>
      </c>
      <c r="E32" s="782" t="s">
        <v>313</v>
      </c>
      <c r="F32" s="782" t="s">
        <v>456</v>
      </c>
      <c r="G32" s="783"/>
      <c r="H32" s="333" t="s">
        <v>299</v>
      </c>
      <c r="I32" s="761"/>
      <c r="J32" s="761"/>
    </row>
    <row r="33" spans="1:10" ht="15">
      <c r="A33" s="761"/>
      <c r="B33" s="761"/>
      <c r="C33" s="780">
        <v>44587</v>
      </c>
      <c r="D33" s="781" t="s">
        <v>457</v>
      </c>
      <c r="E33" s="782" t="s">
        <v>354</v>
      </c>
      <c r="F33" s="782" t="s">
        <v>456</v>
      </c>
      <c r="G33" s="783"/>
      <c r="H33" s="333" t="s">
        <v>299</v>
      </c>
      <c r="I33" s="761"/>
      <c r="J33" s="761"/>
    </row>
    <row r="34" spans="1:10" ht="15">
      <c r="A34" s="761"/>
      <c r="B34" s="761"/>
      <c r="C34" s="780">
        <v>44502</v>
      </c>
      <c r="D34" s="781" t="s">
        <v>353</v>
      </c>
      <c r="E34" s="782" t="s">
        <v>341</v>
      </c>
      <c r="F34" s="782" t="s">
        <v>454</v>
      </c>
      <c r="G34" s="783"/>
      <c r="H34" s="333" t="s">
        <v>299</v>
      </c>
      <c r="I34" s="761"/>
      <c r="J34" s="761"/>
    </row>
    <row r="35" spans="1:10" ht="15">
      <c r="A35" s="761"/>
      <c r="B35" s="761"/>
      <c r="C35" s="780">
        <v>44413</v>
      </c>
      <c r="D35" s="781" t="s">
        <v>353</v>
      </c>
      <c r="E35" s="782" t="s">
        <v>341</v>
      </c>
      <c r="F35" s="782" t="s">
        <v>452</v>
      </c>
      <c r="G35" s="783"/>
      <c r="H35" s="333" t="s">
        <v>299</v>
      </c>
      <c r="I35" s="761"/>
      <c r="J35" s="761"/>
    </row>
    <row r="36" spans="1:10" ht="15">
      <c r="A36" s="761"/>
      <c r="B36" s="761"/>
      <c r="C36" s="780">
        <v>44392</v>
      </c>
      <c r="D36" s="781" t="s">
        <v>345</v>
      </c>
      <c r="E36" s="782" t="s">
        <v>354</v>
      </c>
      <c r="F36" s="782" t="s">
        <v>452</v>
      </c>
      <c r="G36" s="783"/>
      <c r="H36" s="333" t="s">
        <v>299</v>
      </c>
      <c r="I36" s="761"/>
      <c r="J36" s="761"/>
    </row>
    <row r="37" spans="1:10" ht="15">
      <c r="A37" s="761"/>
      <c r="B37" s="761"/>
      <c r="C37" s="780">
        <v>44320</v>
      </c>
      <c r="D37" s="781" t="s">
        <v>345</v>
      </c>
      <c r="E37" s="782" t="s">
        <v>341</v>
      </c>
      <c r="F37" s="782" t="s">
        <v>451</v>
      </c>
      <c r="G37" s="783"/>
      <c r="H37" s="333" t="s">
        <v>299</v>
      </c>
      <c r="I37" s="761"/>
      <c r="J37" s="761"/>
    </row>
    <row r="38" spans="1:10" ht="15">
      <c r="A38" s="761"/>
      <c r="B38" s="761"/>
      <c r="C38" s="780">
        <v>44301</v>
      </c>
      <c r="D38" s="781" t="s">
        <v>345</v>
      </c>
      <c r="E38" s="782" t="s">
        <v>354</v>
      </c>
      <c r="F38" s="782" t="s">
        <v>451</v>
      </c>
      <c r="G38" s="783"/>
      <c r="H38" s="333" t="s">
        <v>299</v>
      </c>
      <c r="I38" s="761"/>
      <c r="J38" s="761"/>
    </row>
    <row r="39" spans="1:10" ht="15">
      <c r="A39" s="761"/>
      <c r="B39" s="761"/>
      <c r="C39" s="780">
        <v>44256</v>
      </c>
      <c r="D39" s="781" t="s">
        <v>345</v>
      </c>
      <c r="E39" s="782" t="s">
        <v>313</v>
      </c>
      <c r="F39" s="782" t="s">
        <v>382</v>
      </c>
      <c r="G39" s="783"/>
      <c r="H39" s="333" t="s">
        <v>299</v>
      </c>
      <c r="I39" s="761"/>
      <c r="J39" s="761"/>
    </row>
    <row r="40" spans="1:10" ht="15">
      <c r="A40" s="761"/>
      <c r="B40" s="761"/>
      <c r="C40" s="780">
        <v>44140</v>
      </c>
      <c r="D40" s="781" t="s">
        <v>345</v>
      </c>
      <c r="E40" s="782" t="s">
        <v>341</v>
      </c>
      <c r="F40" s="782" t="s">
        <v>380</v>
      </c>
      <c r="G40" s="783"/>
      <c r="H40" s="305" t="s">
        <v>299</v>
      </c>
      <c r="I40" s="761"/>
      <c r="J40" s="761"/>
    </row>
    <row r="41" spans="1:10" ht="15">
      <c r="A41" s="761"/>
      <c r="B41" s="761"/>
      <c r="C41" s="780">
        <v>44118</v>
      </c>
      <c r="D41" s="781" t="s">
        <v>345</v>
      </c>
      <c r="E41" s="782" t="s">
        <v>354</v>
      </c>
      <c r="F41" s="782" t="s">
        <v>380</v>
      </c>
      <c r="G41" s="783"/>
      <c r="H41" s="333" t="s">
        <v>299</v>
      </c>
      <c r="I41" s="761"/>
      <c r="J41" s="761"/>
    </row>
    <row r="42" spans="1:10" ht="15">
      <c r="A42" s="761"/>
      <c r="B42" s="761"/>
      <c r="C42" s="780">
        <v>44047</v>
      </c>
      <c r="D42" s="781" t="s">
        <v>345</v>
      </c>
      <c r="E42" s="782" t="s">
        <v>341</v>
      </c>
      <c r="F42" s="782" t="s">
        <v>378</v>
      </c>
      <c r="G42" s="783"/>
      <c r="H42" s="787" t="s">
        <v>299</v>
      </c>
      <c r="I42" s="761"/>
      <c r="J42" s="761"/>
    </row>
    <row r="43" spans="1:10" ht="15">
      <c r="A43" s="761"/>
      <c r="B43" s="761"/>
      <c r="C43" s="780">
        <v>44027</v>
      </c>
      <c r="D43" s="781" t="s">
        <v>353</v>
      </c>
      <c r="E43" s="782" t="s">
        <v>354</v>
      </c>
      <c r="F43" s="782" t="s">
        <v>378</v>
      </c>
      <c r="G43" s="783"/>
      <c r="H43" s="787" t="s">
        <v>299</v>
      </c>
      <c r="I43" s="761"/>
      <c r="J43" s="761"/>
    </row>
    <row r="44" spans="1:10" ht="15">
      <c r="A44" s="761"/>
      <c r="B44" s="761"/>
      <c r="C44" s="780">
        <v>43959</v>
      </c>
      <c r="D44" s="781" t="s">
        <v>345</v>
      </c>
      <c r="E44" s="782" t="s">
        <v>341</v>
      </c>
      <c r="F44" s="782" t="s">
        <v>352</v>
      </c>
      <c r="G44" s="783"/>
      <c r="H44" s="305" t="s">
        <v>299</v>
      </c>
      <c r="I44" s="761"/>
      <c r="J44" s="761"/>
    </row>
    <row r="45" spans="1:10" ht="15">
      <c r="A45" s="761"/>
      <c r="B45" s="761"/>
      <c r="C45" s="780">
        <v>43936</v>
      </c>
      <c r="D45" s="781" t="s">
        <v>353</v>
      </c>
      <c r="E45" s="782" t="s">
        <v>354</v>
      </c>
      <c r="F45" s="782" t="s">
        <v>352</v>
      </c>
      <c r="G45" s="783"/>
      <c r="H45" s="305" t="s">
        <v>299</v>
      </c>
      <c r="I45" s="761"/>
      <c r="J45" s="761"/>
    </row>
    <row r="46" spans="1:10" ht="15">
      <c r="A46" s="761"/>
      <c r="B46" s="761"/>
      <c r="C46" s="780">
        <v>43892</v>
      </c>
      <c r="D46" s="781" t="s">
        <v>345</v>
      </c>
      <c r="E46" s="782" t="s">
        <v>313</v>
      </c>
      <c r="F46" s="782" t="s">
        <v>344</v>
      </c>
      <c r="G46" s="783"/>
      <c r="H46" s="784" t="s">
        <v>299</v>
      </c>
      <c r="I46" s="761"/>
      <c r="J46" s="761"/>
    </row>
    <row r="47" spans="1:10" ht="15">
      <c r="A47" s="761"/>
      <c r="B47" s="761"/>
      <c r="C47" s="780">
        <v>43775</v>
      </c>
      <c r="D47" s="781" t="s">
        <v>326</v>
      </c>
      <c r="E47" s="782" t="s">
        <v>341</v>
      </c>
      <c r="F47" s="782" t="s">
        <v>320</v>
      </c>
      <c r="G47" s="783"/>
      <c r="H47" s="785" t="s">
        <v>299</v>
      </c>
      <c r="I47" s="761"/>
      <c r="J47" s="761"/>
    </row>
    <row r="48" spans="1:10" ht="15">
      <c r="A48" s="761"/>
      <c r="B48" s="761"/>
      <c r="C48" s="780">
        <v>43686</v>
      </c>
      <c r="D48" s="781" t="s">
        <v>318</v>
      </c>
      <c r="E48" s="782" t="s">
        <v>341</v>
      </c>
      <c r="F48" s="782" t="s">
        <v>317</v>
      </c>
      <c r="G48" s="783"/>
      <c r="H48" s="785" t="s">
        <v>299</v>
      </c>
      <c r="I48" s="761"/>
      <c r="J48" s="761"/>
    </row>
    <row r="49" spans="1:10" ht="15">
      <c r="A49" s="761"/>
      <c r="B49" s="761"/>
      <c r="C49" s="788">
        <v>43595</v>
      </c>
      <c r="D49" s="789" t="s">
        <v>312</v>
      </c>
      <c r="E49" s="790" t="s">
        <v>341</v>
      </c>
      <c r="F49" s="790" t="s">
        <v>316</v>
      </c>
      <c r="G49" s="791"/>
      <c r="H49" s="792" t="s">
        <v>299</v>
      </c>
      <c r="I49" s="761"/>
      <c r="J49" s="761"/>
    </row>
    <row r="50" spans="1:10" ht="15">
      <c r="A50" s="761"/>
      <c r="B50" s="761"/>
      <c r="C50" s="788">
        <v>43531</v>
      </c>
      <c r="D50" s="789" t="s">
        <v>312</v>
      </c>
      <c r="E50" s="790" t="s">
        <v>313</v>
      </c>
      <c r="F50" s="790" t="s">
        <v>342</v>
      </c>
      <c r="G50" s="791"/>
      <c r="H50" s="793" t="s">
        <v>299</v>
      </c>
      <c r="I50" s="761"/>
      <c r="J50" s="761"/>
    </row>
    <row r="51" spans="1:10" ht="15">
      <c r="A51" s="761"/>
      <c r="B51" s="761"/>
      <c r="C51" s="788">
        <v>43404</v>
      </c>
      <c r="D51" s="789" t="s">
        <v>297</v>
      </c>
      <c r="E51" s="790" t="s">
        <v>341</v>
      </c>
      <c r="F51" s="790" t="s">
        <v>298</v>
      </c>
      <c r="G51" s="791"/>
      <c r="H51" s="792" t="s">
        <v>299</v>
      </c>
      <c r="I51" s="761"/>
      <c r="J51" s="761"/>
    </row>
    <row r="52" spans="1:10" ht="15">
      <c r="A52" s="761"/>
      <c r="B52" s="761"/>
      <c r="C52" s="788">
        <v>43312</v>
      </c>
      <c r="D52" s="789" t="s">
        <v>300</v>
      </c>
      <c r="E52" s="790" t="s">
        <v>341</v>
      </c>
      <c r="F52" s="790" t="s">
        <v>301</v>
      </c>
      <c r="G52" s="791"/>
      <c r="H52" s="792" t="s">
        <v>299</v>
      </c>
      <c r="I52" s="761"/>
      <c r="J52" s="761"/>
    </row>
    <row r="53" spans="1:10" ht="15">
      <c r="A53" s="761"/>
      <c r="B53" s="761"/>
      <c r="C53" s="794">
        <v>43222</v>
      </c>
      <c r="D53" s="795" t="s">
        <v>302</v>
      </c>
      <c r="E53" s="796" t="s">
        <v>341</v>
      </c>
      <c r="F53" s="796" t="s">
        <v>303</v>
      </c>
      <c r="G53" s="797"/>
      <c r="H53" s="798" t="s">
        <v>299</v>
      </c>
      <c r="I53" s="761"/>
      <c r="J53" s="761"/>
    </row>
    <row r="54" spans="1:10" ht="15">
      <c r="A54" s="761"/>
      <c r="B54" s="761"/>
      <c r="C54" s="780">
        <v>43160</v>
      </c>
      <c r="D54" s="781" t="s">
        <v>304</v>
      </c>
      <c r="E54" s="782" t="s">
        <v>313</v>
      </c>
      <c r="F54" s="782" t="s">
        <v>305</v>
      </c>
      <c r="G54" s="783"/>
      <c r="H54" s="799" t="s">
        <v>299</v>
      </c>
      <c r="I54" s="761"/>
      <c r="J54" s="761"/>
    </row>
    <row r="55" spans="1:10" ht="15">
      <c r="A55" s="761"/>
      <c r="B55" s="761"/>
      <c r="C55" s="780">
        <v>43041</v>
      </c>
      <c r="D55" s="781" t="s">
        <v>306</v>
      </c>
      <c r="E55" s="782" t="s">
        <v>341</v>
      </c>
      <c r="F55" s="782" t="s">
        <v>307</v>
      </c>
      <c r="G55" s="783"/>
      <c r="H55" s="799" t="s">
        <v>299</v>
      </c>
      <c r="I55" s="761"/>
      <c r="J55" s="761"/>
    </row>
    <row r="56" spans="1:10" ht="15">
      <c r="A56" s="761"/>
      <c r="B56" s="761"/>
      <c r="C56" s="780">
        <v>42949</v>
      </c>
      <c r="D56" s="781" t="s">
        <v>308</v>
      </c>
      <c r="E56" s="782" t="s">
        <v>341</v>
      </c>
      <c r="F56" s="782" t="s">
        <v>309</v>
      </c>
      <c r="G56" s="783"/>
      <c r="H56" s="799" t="s">
        <v>299</v>
      </c>
      <c r="I56" s="761"/>
      <c r="J56" s="761"/>
    </row>
    <row r="57" spans="1:10" ht="15">
      <c r="A57" s="761"/>
      <c r="B57" s="761"/>
      <c r="C57" s="780">
        <v>42874</v>
      </c>
      <c r="D57" s="781" t="s">
        <v>310</v>
      </c>
      <c r="E57" s="782" t="s">
        <v>311</v>
      </c>
      <c r="F57" s="782" t="s">
        <v>343</v>
      </c>
      <c r="G57" s="783"/>
      <c r="H57" s="799"/>
      <c r="I57" s="761"/>
      <c r="J57" s="761"/>
    </row>
    <row r="58" spans="1:10" ht="15">
      <c r="A58" s="761"/>
      <c r="B58" s="761"/>
      <c r="C58" s="761"/>
      <c r="D58" s="761"/>
      <c r="E58" s="761"/>
      <c r="F58" s="761"/>
      <c r="G58" s="761"/>
      <c r="H58" s="761"/>
      <c r="I58" s="761"/>
      <c r="J58" s="761"/>
    </row>
    <row r="59" spans="1:10" ht="15">
      <c r="A59" s="761"/>
      <c r="B59" s="761"/>
      <c r="C59" s="761"/>
      <c r="D59" s="761"/>
      <c r="E59" s="761"/>
      <c r="F59" s="761"/>
      <c r="G59" s="761"/>
      <c r="H59" s="761"/>
      <c r="I59" s="761"/>
      <c r="J59" s="761"/>
    </row>
    <row r="60" spans="1:10" ht="15">
      <c r="A60" s="761"/>
      <c r="B60" s="761"/>
      <c r="C60" s="761"/>
      <c r="D60" s="761"/>
      <c r="E60" s="761"/>
      <c r="F60" s="761"/>
      <c r="G60" s="761"/>
      <c r="H60" s="761"/>
      <c r="I60" s="761"/>
      <c r="J60" s="761"/>
    </row>
    <row r="61" spans="1:10" ht="15">
      <c r="A61" s="761"/>
      <c r="B61" s="761"/>
      <c r="C61" s="761"/>
      <c r="D61" s="761"/>
      <c r="E61" s="761"/>
      <c r="F61" s="761"/>
      <c r="G61" s="761"/>
      <c r="H61" s="761"/>
      <c r="I61" s="761"/>
      <c r="J61" s="761"/>
    </row>
    <row r="62" spans="1:10" ht="15">
      <c r="A62" s="761"/>
      <c r="B62" s="761"/>
      <c r="C62" s="761"/>
      <c r="D62" s="761"/>
      <c r="E62" s="761"/>
      <c r="F62" s="761"/>
      <c r="G62" s="761"/>
      <c r="H62" s="761"/>
      <c r="I62" s="761"/>
      <c r="J62" s="761"/>
    </row>
    <row r="63" spans="1:10" ht="15">
      <c r="A63" s="761"/>
      <c r="B63" s="761"/>
      <c r="C63" s="761"/>
      <c r="D63" s="761"/>
      <c r="E63" s="761"/>
      <c r="F63" s="761"/>
      <c r="G63" s="761"/>
      <c r="H63" s="761"/>
      <c r="I63" s="761"/>
      <c r="J63" s="761"/>
    </row>
    <row r="64" spans="1:10" ht="15">
      <c r="A64" s="761"/>
      <c r="B64" s="761"/>
      <c r="C64" s="761"/>
      <c r="D64" s="761"/>
      <c r="E64" s="761"/>
      <c r="F64" s="761"/>
      <c r="G64" s="761"/>
      <c r="H64" s="761"/>
      <c r="I64" s="761"/>
      <c r="J64" s="761"/>
    </row>
    <row r="65" spans="1:10" ht="15">
      <c r="A65" s="761"/>
      <c r="B65" s="761"/>
      <c r="C65" s="761"/>
      <c r="D65" s="761"/>
      <c r="E65" s="761"/>
      <c r="F65" s="761"/>
      <c r="G65" s="761"/>
      <c r="H65" s="761"/>
      <c r="I65" s="761"/>
      <c r="J65" s="761"/>
    </row>
    <row r="66" spans="1:10" ht="15">
      <c r="A66" s="761"/>
      <c r="B66" s="761"/>
      <c r="C66" s="761"/>
      <c r="D66" s="761"/>
      <c r="E66" s="761"/>
      <c r="F66" s="761"/>
      <c r="G66" s="761"/>
      <c r="H66" s="761"/>
      <c r="I66" s="761"/>
      <c r="J66" s="761"/>
    </row>
    <row r="67" spans="1:10" ht="15">
      <c r="A67" s="761"/>
      <c r="B67" s="761"/>
      <c r="C67" s="761"/>
      <c r="D67" s="761"/>
      <c r="E67" s="761"/>
      <c r="F67" s="761"/>
      <c r="G67" s="761"/>
      <c r="H67" s="761"/>
      <c r="I67" s="761"/>
      <c r="J67" s="761"/>
    </row>
    <row r="68" spans="1:10" ht="15">
      <c r="A68" s="761"/>
      <c r="B68" s="761"/>
      <c r="C68" s="761"/>
      <c r="D68" s="761"/>
      <c r="E68" s="761"/>
      <c r="F68" s="761"/>
      <c r="G68" s="761"/>
      <c r="H68" s="761"/>
      <c r="I68" s="761"/>
      <c r="J68" s="761"/>
    </row>
    <row r="69" spans="1:10" ht="15">
      <c r="A69" s="761"/>
      <c r="B69" s="761"/>
      <c r="C69" s="761"/>
      <c r="D69" s="761"/>
      <c r="E69" s="761"/>
      <c r="F69" s="761"/>
      <c r="G69" s="761"/>
      <c r="H69" s="761"/>
      <c r="I69" s="761"/>
      <c r="J69" s="761"/>
    </row>
    <row r="70" spans="1:10" ht="15">
      <c r="A70" s="761"/>
      <c r="B70" s="761"/>
      <c r="C70" s="761"/>
      <c r="D70" s="761"/>
      <c r="E70" s="761"/>
      <c r="F70" s="761"/>
      <c r="G70" s="761"/>
      <c r="H70" s="761"/>
      <c r="I70" s="761"/>
      <c r="J70" s="761"/>
    </row>
    <row r="71" spans="1:10" ht="15">
      <c r="A71" s="761"/>
      <c r="B71" s="761"/>
      <c r="C71" s="761"/>
      <c r="D71" s="761"/>
      <c r="E71" s="761"/>
      <c r="F71" s="761"/>
      <c r="G71" s="761"/>
      <c r="H71" s="761"/>
      <c r="I71" s="761"/>
      <c r="J71" s="761"/>
    </row>
    <row r="72" spans="1:10" ht="15">
      <c r="A72" s="761"/>
      <c r="B72" s="761"/>
      <c r="C72" s="761"/>
      <c r="D72" s="761"/>
      <c r="E72" s="761"/>
      <c r="F72" s="761"/>
      <c r="G72" s="761"/>
      <c r="H72" s="761"/>
      <c r="I72" s="761"/>
      <c r="J72" s="761"/>
    </row>
    <row r="73" spans="1:10" ht="15">
      <c r="A73" s="761"/>
      <c r="B73" s="761"/>
      <c r="C73" s="761"/>
      <c r="D73" s="761"/>
      <c r="E73" s="761"/>
      <c r="F73" s="761"/>
      <c r="G73" s="761"/>
      <c r="H73" s="761"/>
      <c r="I73" s="761"/>
      <c r="J73" s="761"/>
    </row>
    <row r="74" spans="1:10" ht="15">
      <c r="A74" s="761"/>
      <c r="B74" s="761"/>
      <c r="C74" s="761"/>
      <c r="D74" s="761"/>
      <c r="E74" s="761"/>
      <c r="F74" s="761"/>
      <c r="G74" s="761"/>
      <c r="H74" s="761"/>
      <c r="I74" s="761"/>
      <c r="J74" s="761"/>
    </row>
    <row r="75" spans="1:10" ht="15">
      <c r="A75" s="761"/>
      <c r="B75" s="761"/>
      <c r="C75" s="761"/>
      <c r="D75" s="761"/>
      <c r="E75" s="761"/>
      <c r="F75" s="761"/>
      <c r="G75" s="761"/>
      <c r="H75" s="761"/>
      <c r="I75" s="761"/>
      <c r="J75" s="761"/>
    </row>
    <row r="76" spans="1:10" ht="15">
      <c r="A76" s="761"/>
      <c r="B76" s="761"/>
      <c r="C76" s="761"/>
      <c r="D76" s="761"/>
      <c r="E76" s="761"/>
      <c r="F76" s="761"/>
      <c r="G76" s="761"/>
      <c r="H76" s="761"/>
      <c r="I76" s="761"/>
      <c r="J76" s="761"/>
    </row>
    <row r="77" spans="1:10" ht="15">
      <c r="A77" s="761"/>
      <c r="B77" s="761"/>
      <c r="C77" s="761"/>
      <c r="D77" s="761"/>
      <c r="E77" s="761"/>
      <c r="F77" s="761"/>
      <c r="G77" s="761"/>
      <c r="H77" s="761"/>
      <c r="I77" s="761"/>
      <c r="J77" s="761"/>
    </row>
    <row r="78" spans="1:10" ht="15">
      <c r="A78" s="761"/>
      <c r="B78" s="761"/>
      <c r="C78" s="761"/>
      <c r="D78" s="761"/>
      <c r="E78" s="761"/>
      <c r="F78" s="761"/>
      <c r="G78" s="761"/>
      <c r="H78" s="761"/>
      <c r="I78" s="761"/>
      <c r="J78" s="761"/>
    </row>
    <row r="79" spans="1:10" ht="15">
      <c r="A79" s="761"/>
      <c r="B79" s="761"/>
      <c r="C79" s="761"/>
      <c r="D79" s="761"/>
      <c r="E79" s="761"/>
      <c r="F79" s="761"/>
      <c r="G79" s="761"/>
      <c r="H79" s="761"/>
      <c r="I79" s="761"/>
      <c r="J79" s="761"/>
    </row>
    <row r="80" spans="1:10" ht="15">
      <c r="A80" s="761"/>
      <c r="B80" s="761"/>
      <c r="C80" s="761"/>
      <c r="D80" s="761"/>
      <c r="E80" s="761"/>
      <c r="F80" s="761"/>
      <c r="G80" s="761"/>
      <c r="H80" s="761"/>
      <c r="I80" s="761"/>
      <c r="J80" s="761"/>
    </row>
  </sheetData>
  <hyperlinks>
    <hyperlink ref="H51" r:id="rId1" tooltip="Website Link" display="Earnings Press Release"/>
    <hyperlink ref="H52" r:id="rId2" tooltip="Website Link" display="Earnings Press Release"/>
    <hyperlink ref="H53" r:id="rId3" tooltip="Website Link" display="Earnings Press Release"/>
    <hyperlink ref="H54" r:id="rId4" tooltip="Website Link" display="Earnings Press Release"/>
    <hyperlink ref="H55" r:id="rId5" tooltip="Website Link" display="Earnings Press Release"/>
    <hyperlink ref="H56" r:id="rId6" tooltip="Website Link" display="Earnings Press Release"/>
    <hyperlink ref="H50" r:id="rId7" tooltip="Website Link" display="Earnings Press Release"/>
    <hyperlink ref="H49" r:id="rId8" tooltip="Website Link" display="Earnings Press Release"/>
    <hyperlink ref="H48" r:id="rId9" tooltip="Website Link" display="Earnings Press Release"/>
    <hyperlink ref="H47" r:id="rId10" tooltip="Website Link" display="Earnings Press Release"/>
    <hyperlink ref="H46" r:id="rId11" tooltip="Website Link" display="Earnings Press Release"/>
    <hyperlink ref="H45" r:id="rId12" tooltip="Website Link" display="Earnings Press Release"/>
    <hyperlink ref="H44" r:id="rId13" tooltip="Website Link" display="Earnings Press Release"/>
    <hyperlink ref="H43" r:id="rId14" tooltip="Website Link" display="Earnings Press Release"/>
    <hyperlink ref="H42" r:id="rId15" tooltip="Website Link" display="Earnings Press Release"/>
    <hyperlink ref="H41" r:id="rId16" tooltip="Website Link" display="Earnings Press Release"/>
    <hyperlink ref="H40" r:id="rId17" tooltip="Website Link" display="Earnings Press Release"/>
    <hyperlink ref="H39" r:id="rId18" tooltip="Website Link" display="Earnings Press Release"/>
    <hyperlink ref="H38" r:id="rId19" tooltip="Website Link" display="Earnings Press Release"/>
    <hyperlink ref="H37" r:id="rId20" tooltip="Website Link" display="Earnings Press Release"/>
    <hyperlink ref="H36" r:id="rId21" tooltip="Website Link" display="Earnings Press Release"/>
    <hyperlink ref="H35" r:id="rId22" tooltip="Website Link" display="Earnings Press Release"/>
    <hyperlink ref="H34" r:id="rId23" tooltip="Website Link" display="Earnings Press Release"/>
    <hyperlink ref="H33" r:id="rId24" tooltip="Website Link" display="Earnings Press Release"/>
    <hyperlink ref="H32" r:id="rId25" tooltip="Website Link" display="Earnings Press Release"/>
    <hyperlink ref="H31" r:id="rId26" tooltip="Website Link" display="Earnings Press Release"/>
    <hyperlink ref="H30" r:id="rId27" display="Earnings Press Release"/>
    <hyperlink ref="H29" r:id="rId28" tooltip="Website Link" display="Earnings Press Release"/>
    <hyperlink ref="H28" r:id="rId29" display="Earnings Press Release"/>
    <hyperlink ref="H27" r:id="rId30" display="Earnings Press Release"/>
    <hyperlink ref="H26" r:id="rId31" display="Earnings Press Release"/>
    <hyperlink ref="H25" r:id="rId32" tooltip="Website Link" display="Earnings Press Release"/>
    <hyperlink ref="H24" r:id="rId33" display="Earnings Press Release"/>
    <hyperlink ref="H23" r:id="rId34" tooltip="Website Link" display="Earnings Press Release"/>
    <hyperlink ref="H22" r:id="rId35" display="Earnings Press Release"/>
    <hyperlink ref="H21" r:id="rId36" tooltip="Website Link" display="Earnings Press Release"/>
    <hyperlink ref="H20" r:id="rId37" tooltip="Website Link" display="Earnings Press Release"/>
    <hyperlink ref="H19" r:id="rId38" tooltip="Website Link" display="Earnings Press Release"/>
    <hyperlink ref="H18" r:id="rId39" tooltip="Website Link" display="Earnings Press Release"/>
    <hyperlink ref="H17" r:id="rId40" tooltip="Website Link" display="Earnings Press Release"/>
    <hyperlink ref="H16" r:id="rId41" tooltip="Website Link" display="Earnings Press Release"/>
    <hyperlink ref="H15" r:id="rId42" tooltip="Website Link" display="Earnings Press Release"/>
    <hyperlink ref="H14" r:id="rId43" display="Earnings Press Release"/>
    <hyperlink ref="H13" r:id="rId44" tooltip="Website Link" display="Earnings Press Release"/>
    <hyperlink ref="H12" r:id="rId45" tooltip="Website Link" display="Earnings Press Release"/>
    <hyperlink ref="H11" r:id="rId46" tooltip="Website Link" display="Earnings Press Release"/>
  </hyperlinks>
  <pageMargins left="0.7" right="0.7" top="0.75" bottom="0.75" header="0.3" footer="0.3"/>
  <pageSetup orientation="portrait" paperSize="1"/>
  <drawing r:id="rId47"/>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1 6 " ? > < C u s t o m X M L O b j e c t   x m l n s : x s i = " h t t p : / / w w w . w 3 . o r g / 2 0 0 1 / X M L S c h e m a - i n s t a n c e "   x m l n s : x s d = " h t t p : / / w w w . w 3 . o r g / 2 0 0 1 / X M L S c h e m a " >  
     < N a m e > S t a t i c M e t a d a t a < / N a m e >  
     < V a l u e > { " o r i g i n " : " T e g u s " } < / V a l u e >  
 < / C u s t o m X M L O b j e c t > 
</file>

<file path=customXml/itemProps1.xml><?xml version="1.0" encoding="utf-8"?>
<ds:datastoreItem xmlns:ds="http://schemas.openxmlformats.org/officeDocument/2006/customXml" ds:itemID="{243E26E5-8487-462A-AE4A-3BB774B49837}">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5</vt:i4>
      </vt:variant>
    </vt:vector>
  </HeadingPairs>
  <TitlesOfParts>
    <vt:vector size="5" baseType="lpstr">
      <vt:lpstr>Front Page</vt:lpstr>
      <vt:lpstr>Model</vt:lpstr>
      <vt:lpstr>Exec Comp</vt:lpstr>
      <vt:lpstr>Summary Page</vt:lpstr>
      <vt:lpstr>Update Log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Tegus (YaM)</cp:lastModifiedBy>
  <cp:lastPrinted>2024-05-10T17:10:07Z</cp:lastPrinted>
  <dcterms:created xsi:type="dcterms:W3CDTF">2016-04-22T21:21:10Z</dcterms:created>
  <dcterms:modified xsi:type="dcterms:W3CDTF">2024-11-16T00:19:29Z</dcterms:modified>
  <cp:category/>
</cp:coreProperties>
</file>